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5184" windowHeight="889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'Лист1'!$A$2:$N$33</definedName>
  </definedNames>
  <calcPr fullCalcOnLoad="1"/>
</workbook>
</file>

<file path=xl/sharedStrings.xml><?xml version="1.0" encoding="utf-8"?>
<sst xmlns="http://schemas.openxmlformats.org/spreadsheetml/2006/main" count="66" uniqueCount="41">
  <si>
    <t xml:space="preserve">Расчёт </t>
  </si>
  <si>
    <t>Суоярвского муниципального района</t>
  </si>
  <si>
    <t>(наименование муниципального образования)</t>
  </si>
  <si>
    <t>условный переход под факт - 2008г</t>
  </si>
  <si>
    <t>Тип ОУ</t>
  </si>
  <si>
    <t>Вид ОУ</t>
  </si>
  <si>
    <t>Наименование ОУ</t>
  </si>
  <si>
    <r>
      <t>Среднегодовая численность обучающихся (включая численность обучающихся по общеобразовательным программам дошкольного образования, при наличии соответствующей лицензии) муниципальных общеобразовательных учреждений</t>
    </r>
    <r>
      <rPr>
        <sz val="8"/>
        <rFont val="Times New Roman"/>
        <family val="1"/>
      </rPr>
      <t xml:space="preserve"> человек</t>
    </r>
  </si>
  <si>
    <t>в том числе</t>
  </si>
  <si>
    <t>Среднегодовая численность обучающихся по программам дополнительного образования, лицензированным и реализуемым в муниципальных общеобразовательных учреждениях), человек</t>
  </si>
  <si>
    <t>Расчёт объёма средств из бюджета РК по дейст.финанс. Нормат. (при расчете межб. Трансфертов)</t>
  </si>
  <si>
    <t>Муниципальный коэффиц</t>
  </si>
  <si>
    <t>Месячный ФОТ</t>
  </si>
  <si>
    <t>среднегодовая численность обучающихся по дополнительным (углубленным), профильным, гимназическим, лицейским, кадетским общеобразовательным программам, человек</t>
  </si>
  <si>
    <t>% заработная плата с налогами</t>
  </si>
  <si>
    <t>Городская местность</t>
  </si>
  <si>
    <t>х</t>
  </si>
  <si>
    <t>Общеобразовательное учреждение</t>
  </si>
  <si>
    <t>средняя</t>
  </si>
  <si>
    <t>Суоярвская</t>
  </si>
  <si>
    <t>основная</t>
  </si>
  <si>
    <t>Кайпинская</t>
  </si>
  <si>
    <t>Итого по городской местности:</t>
  </si>
  <si>
    <t>Сельская местность</t>
  </si>
  <si>
    <t>Поросозерская</t>
  </si>
  <si>
    <t>Найстеньярвская</t>
  </si>
  <si>
    <t>Лахколампинская</t>
  </si>
  <si>
    <t>Лоймольская</t>
  </si>
  <si>
    <t>Пийтсиёкская</t>
  </si>
  <si>
    <t>Вешкельская</t>
  </si>
  <si>
    <t>Суоёкская</t>
  </si>
  <si>
    <t>Итого по сельской местности:</t>
  </si>
  <si>
    <t>Всего по муниципальному образованию</t>
  </si>
  <si>
    <t>начальная</t>
  </si>
  <si>
    <t>Приложение № 2 к Порядку установления и исполнения</t>
  </si>
  <si>
    <t>расходных обязательств муниципального образования</t>
  </si>
  <si>
    <t xml:space="preserve"> Годовой Фонд опдаты труда (12 мес) </t>
  </si>
  <si>
    <t>Предусмотрено в бюджете ОМСУ на 2017 год за счёт средств соответствующей субвенции</t>
  </si>
  <si>
    <t>"Суоярвский район" на 2018 год</t>
  </si>
  <si>
    <t>объёмов финансовых средств по муниципальным общеобразовательным учреждениям, необходимых на реализацию государственных гарантий прав граждан на получение общедоступного и бесплатного дошкольного, начального общего,  основного общего, среднего (полного) общего образования, а также дополнительного образования на 2018 год</t>
  </si>
  <si>
    <r>
      <t xml:space="preserve"> классы-комплекты в сельских муниципальных общеобразовательных учреждений </t>
    </r>
    <r>
      <rPr>
        <b/>
        <sz val="8"/>
        <rFont val="Times New Roman"/>
        <family val="1"/>
      </rPr>
      <t>в 2018-2019 году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</si>
</sst>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10"/>
      <name val="Times New Roman"/>
      <family val="1"/>
    </font>
    <font>
      <sz val="10"/>
      <color indexed="5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2" fontId="13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1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%20&#1064;&#1091;&#1088;&#1072;\&#1073;&#1102;&#1076;&#1078;&#1077;&#1090;%202014\&#1053;&#1055;&#106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а 2013 г"/>
      <sheetName val="Расчет на 2009год"/>
      <sheetName val="расчёт 2008 года )"/>
      <sheetName val="не использовать!"/>
      <sheetName val="факт с 01.01.08"/>
      <sheetName val="план с 01.09.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6"/>
  <sheetViews>
    <sheetView tabSelected="1" view="pageBreakPreview" zoomScale="60" zoomScaleNormal="120" workbookViewId="0" topLeftCell="A8">
      <selection activeCell="V13" sqref="V13"/>
    </sheetView>
  </sheetViews>
  <sheetFormatPr defaultColWidth="9.00390625" defaultRowHeight="12.75"/>
  <cols>
    <col min="1" max="1" width="12.625" style="0" customWidth="1"/>
    <col min="2" max="2" width="9.75390625" style="0" customWidth="1"/>
    <col min="3" max="3" width="14.75390625" style="0" customWidth="1"/>
    <col min="4" max="4" width="10.125" style="0" customWidth="1"/>
    <col min="5" max="5" width="16.75390625" style="0" hidden="1" customWidth="1"/>
    <col min="6" max="6" width="13.25390625" style="0" hidden="1" customWidth="1"/>
    <col min="7" max="7" width="19.75390625" style="0" hidden="1" customWidth="1"/>
    <col min="8" max="8" width="8.25390625" style="0" customWidth="1"/>
    <col min="9" max="9" width="9.00390625" style="0" customWidth="1"/>
    <col min="10" max="10" width="6.25390625" style="0" customWidth="1"/>
    <col min="11" max="11" width="9.75390625" style="0" customWidth="1"/>
    <col min="12" max="12" width="13.875" style="0" customWidth="1"/>
    <col min="13" max="13" width="10.125" style="0" customWidth="1"/>
    <col min="14" max="14" width="9.375" style="0" customWidth="1"/>
    <col min="15" max="15" width="7.00390625" style="0" customWidth="1"/>
    <col min="16" max="16" width="0.12890625" style="0" customWidth="1"/>
    <col min="17" max="17" width="6.25390625" style="0" hidden="1" customWidth="1"/>
    <col min="18" max="18" width="10.625" style="0" customWidth="1"/>
    <col min="19" max="19" width="6.625" style="0" customWidth="1"/>
    <col min="20" max="20" width="9.875" style="0" customWidth="1"/>
    <col min="21" max="21" width="10.125" style="0" customWidth="1"/>
  </cols>
  <sheetData>
    <row r="2" ht="12.75">
      <c r="I2" t="s">
        <v>34</v>
      </c>
    </row>
    <row r="3" ht="12.75">
      <c r="I3" t="s">
        <v>35</v>
      </c>
    </row>
    <row r="4" ht="12.75">
      <c r="I4" t="s">
        <v>38</v>
      </c>
    </row>
    <row r="6" spans="1:10" s="1" customFormat="1" ht="13.5" customHeight="1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</row>
    <row r="7" spans="1:13" s="1" customFormat="1" ht="52.5" customHeight="1">
      <c r="A7" s="87" t="s">
        <v>39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0" s="1" customFormat="1" ht="32.25" customHeight="1">
      <c r="A8" s="89" t="s">
        <v>1</v>
      </c>
      <c r="B8" s="89"/>
      <c r="C8" s="89"/>
      <c r="D8" s="89"/>
      <c r="E8" s="89"/>
      <c r="F8" s="89"/>
      <c r="G8" s="89"/>
      <c r="H8" s="89"/>
      <c r="I8" s="89"/>
      <c r="J8" s="89"/>
    </row>
    <row r="9" spans="1:13" s="1" customFormat="1" ht="0.75" customHeight="1" thickBot="1">
      <c r="A9" s="90" t="s">
        <v>2</v>
      </c>
      <c r="B9" s="90"/>
      <c r="C9" s="90"/>
      <c r="D9" s="90"/>
      <c r="E9" s="90"/>
      <c r="F9" s="90"/>
      <c r="G9" s="90"/>
      <c r="H9" s="90"/>
      <c r="I9" s="90"/>
      <c r="J9" s="90"/>
      <c r="L9" s="88" t="s">
        <v>3</v>
      </c>
      <c r="M9" s="88"/>
    </row>
    <row r="10" spans="1:14" s="1" customFormat="1" ht="17.25" customHeight="1">
      <c r="A10" s="73" t="s">
        <v>4</v>
      </c>
      <c r="B10" s="73" t="s">
        <v>5</v>
      </c>
      <c r="C10" s="73" t="s">
        <v>6</v>
      </c>
      <c r="D10" s="73" t="s">
        <v>7</v>
      </c>
      <c r="E10" s="91" t="s">
        <v>8</v>
      </c>
      <c r="F10" s="92"/>
      <c r="G10" s="73" t="s">
        <v>9</v>
      </c>
      <c r="H10" s="73" t="s">
        <v>40</v>
      </c>
      <c r="I10" s="73" t="s">
        <v>10</v>
      </c>
      <c r="J10" s="73" t="s">
        <v>11</v>
      </c>
      <c r="K10" s="76" t="s">
        <v>37</v>
      </c>
      <c r="L10" s="82" t="s">
        <v>12</v>
      </c>
      <c r="M10" s="85" t="s">
        <v>36</v>
      </c>
      <c r="N10" s="79" t="s">
        <v>14</v>
      </c>
    </row>
    <row r="11" spans="1:14" s="1" customFormat="1" ht="12.75" customHeight="1">
      <c r="A11" s="74"/>
      <c r="B11" s="74"/>
      <c r="C11" s="74"/>
      <c r="D11" s="74"/>
      <c r="E11" s="77" t="s">
        <v>13</v>
      </c>
      <c r="F11" s="77"/>
      <c r="G11" s="74"/>
      <c r="H11" s="74"/>
      <c r="I11" s="74"/>
      <c r="J11" s="74"/>
      <c r="K11" s="76"/>
      <c r="L11" s="83"/>
      <c r="M11" s="76"/>
      <c r="N11" s="80"/>
    </row>
    <row r="12" spans="1:21" s="1" customFormat="1" ht="12.75" customHeight="1">
      <c r="A12" s="74"/>
      <c r="B12" s="74"/>
      <c r="C12" s="74"/>
      <c r="D12" s="74"/>
      <c r="E12" s="78"/>
      <c r="F12" s="78"/>
      <c r="G12" s="74"/>
      <c r="H12" s="74"/>
      <c r="I12" s="74"/>
      <c r="J12" s="74"/>
      <c r="K12" s="76"/>
      <c r="L12" s="83"/>
      <c r="M12" s="76"/>
      <c r="N12" s="80"/>
      <c r="P12" s="2"/>
      <c r="Q12" s="3"/>
      <c r="R12" s="3"/>
      <c r="S12" s="3"/>
      <c r="T12" s="3"/>
      <c r="U12" s="3"/>
    </row>
    <row r="13" spans="1:21" s="1" customFormat="1" ht="191.25" customHeight="1" thickBot="1">
      <c r="A13" s="75"/>
      <c r="B13" s="75"/>
      <c r="C13" s="75"/>
      <c r="D13" s="75"/>
      <c r="E13" s="78"/>
      <c r="F13" s="78"/>
      <c r="G13" s="75"/>
      <c r="H13" s="75"/>
      <c r="I13" s="75"/>
      <c r="J13" s="75"/>
      <c r="K13" s="76"/>
      <c r="L13" s="84"/>
      <c r="M13" s="86"/>
      <c r="N13" s="81"/>
      <c r="P13" s="3"/>
      <c r="Q13" s="3"/>
      <c r="R13" s="3"/>
      <c r="S13" s="3"/>
      <c r="T13" s="3"/>
      <c r="U13" s="3"/>
    </row>
    <row r="14" spans="1:21" s="10" customFormat="1" ht="14.25" customHeight="1">
      <c r="A14" s="66" t="s">
        <v>15</v>
      </c>
      <c r="B14" s="66"/>
      <c r="C14" s="66"/>
      <c r="D14" s="4">
        <v>1</v>
      </c>
      <c r="E14" s="5" t="e">
        <f>E18/D18</f>
        <v>#REF!</v>
      </c>
      <c r="F14" s="6"/>
      <c r="G14" s="7" t="e">
        <f>G18/D18</f>
        <v>#REF!</v>
      </c>
      <c r="H14" s="8" t="s">
        <v>16</v>
      </c>
      <c r="I14" s="8" t="s">
        <v>16</v>
      </c>
      <c r="J14" s="8" t="s">
        <v>16</v>
      </c>
      <c r="K14" s="8" t="s">
        <v>16</v>
      </c>
      <c r="L14" s="9"/>
      <c r="M14" s="9"/>
      <c r="N14" s="9"/>
      <c r="P14" s="11"/>
      <c r="Q14" s="11"/>
      <c r="R14" s="11"/>
      <c r="S14" s="11"/>
      <c r="T14" s="11"/>
      <c r="U14" s="11"/>
    </row>
    <row r="15" spans="1:22" s="10" customFormat="1" ht="14.25" customHeight="1">
      <c r="A15" s="70" t="s">
        <v>17</v>
      </c>
      <c r="B15" s="48" t="s">
        <v>18</v>
      </c>
      <c r="C15" s="49" t="s">
        <v>19</v>
      </c>
      <c r="D15" s="50">
        <v>939</v>
      </c>
      <c r="E15" s="50" t="e">
        <f>ROUND(('[1]факт с 01.01.08'!F10*8+'[1]план с 01.09.08'!F10*4)/12,0)</f>
        <v>#REF!</v>
      </c>
      <c r="F15" s="50"/>
      <c r="G15" s="50" t="e">
        <f>ROUND(('[1]факт с 01.01.08'!H10*8+'[1]план с 01.09.08'!H10*4)/12,0)</f>
        <v>#REF!</v>
      </c>
      <c r="H15" s="93">
        <v>35</v>
      </c>
      <c r="I15" s="50">
        <v>34872.7</v>
      </c>
      <c r="J15" s="64">
        <f>K15/I15</f>
        <v>0.9645166562956125</v>
      </c>
      <c r="K15" s="95">
        <f>32405+1230.3</f>
        <v>33635.3</v>
      </c>
      <c r="L15" s="52">
        <f>1948+30+78.7</f>
        <v>2056.7</v>
      </c>
      <c r="M15" s="65">
        <f>(L15*12*1.302)</f>
        <v>32133.8808</v>
      </c>
      <c r="N15" s="96">
        <f>M15/K15*100</f>
        <v>95.5361801440748</v>
      </c>
      <c r="P15" s="13"/>
      <c r="Q15" s="11"/>
      <c r="R15" s="14"/>
      <c r="S15" s="11"/>
      <c r="T15" s="3"/>
      <c r="U15" s="15"/>
      <c r="V15" s="16"/>
    </row>
    <row r="16" spans="1:22" s="10" customFormat="1" ht="0.75" customHeight="1">
      <c r="A16" s="71"/>
      <c r="B16" s="49"/>
      <c r="C16" s="49"/>
      <c r="D16" s="50"/>
      <c r="E16" s="50"/>
      <c r="F16" s="50"/>
      <c r="G16" s="50"/>
      <c r="H16" s="94"/>
      <c r="I16" s="50"/>
      <c r="J16" s="50"/>
      <c r="K16" s="95">
        <f>M16*1.03</f>
        <v>0</v>
      </c>
      <c r="L16" s="54"/>
      <c r="M16" s="53">
        <f>L16*12+(L16*0.342*12)</f>
        <v>0</v>
      </c>
      <c r="N16" s="96" t="e">
        <f>M16/K16*100</f>
        <v>#DIV/0!</v>
      </c>
      <c r="O16" s="17"/>
      <c r="P16" s="18"/>
      <c r="R16" s="14"/>
      <c r="S16" s="11"/>
      <c r="T16" s="3"/>
      <c r="U16" s="15"/>
      <c r="V16" s="16"/>
    </row>
    <row r="17" spans="1:22" s="10" customFormat="1" ht="14.25" customHeight="1">
      <c r="A17" s="71"/>
      <c r="B17" s="49" t="s">
        <v>20</v>
      </c>
      <c r="C17" s="49" t="s">
        <v>21</v>
      </c>
      <c r="D17" s="50">
        <v>208</v>
      </c>
      <c r="E17" s="50" t="e">
        <f>ROUND(('[1]факт с 01.01.08'!F12*8+'[1]план с 01.09.08'!F12*4)/12,0)</f>
        <v>#REF!</v>
      </c>
      <c r="F17" s="50"/>
      <c r="G17" s="50" t="e">
        <f>ROUND(('[1]факт с 01.01.08'!H12*8+'[1]план с 01.09.08'!H12*4)/12,0)</f>
        <v>#REF!</v>
      </c>
      <c r="H17" s="93">
        <v>9</v>
      </c>
      <c r="I17" s="50">
        <v>7250</v>
      </c>
      <c r="J17" s="64">
        <f>K17/I17</f>
        <v>0.9929931034482758</v>
      </c>
      <c r="K17" s="95">
        <f>6767+50+290.5+87.7+4</f>
        <v>7199.2</v>
      </c>
      <c r="L17" s="52">
        <f>402.5+10+24.2</f>
        <v>436.7</v>
      </c>
      <c r="M17" s="65">
        <f>(L17*12*1.302)</f>
        <v>6823.0008</v>
      </c>
      <c r="N17" s="96">
        <f>M17/K17*100</f>
        <v>94.77443049227692</v>
      </c>
      <c r="O17" s="19"/>
      <c r="P17" s="20"/>
      <c r="Q17" s="21">
        <f>I16/I17-100%</f>
        <v>-1</v>
      </c>
      <c r="R17" s="14"/>
      <c r="S17" s="11"/>
      <c r="T17" s="3"/>
      <c r="U17" s="15"/>
      <c r="V17" s="16"/>
    </row>
    <row r="18" spans="1:22" s="10" customFormat="1" ht="12.75">
      <c r="A18" s="67" t="s">
        <v>22</v>
      </c>
      <c r="B18" s="68"/>
      <c r="C18" s="68"/>
      <c r="D18" s="24">
        <f>SUM(D15:D17)</f>
        <v>1147</v>
      </c>
      <c r="E18" s="24" t="e">
        <f>SUM(E15:E17)</f>
        <v>#REF!</v>
      </c>
      <c r="F18" s="24"/>
      <c r="G18" s="24" t="e">
        <f>SUM(G15:G17)</f>
        <v>#REF!</v>
      </c>
      <c r="H18" s="23">
        <f>H15+H17</f>
        <v>44</v>
      </c>
      <c r="I18" s="24">
        <f>SUM(I15:I17)</f>
        <v>42122.7</v>
      </c>
      <c r="J18" s="24">
        <f>SUM(J15:J17)</f>
        <v>1.9575097597438882</v>
      </c>
      <c r="K18" s="24"/>
      <c r="L18" s="60"/>
      <c r="M18" s="58"/>
      <c r="N18" s="96"/>
      <c r="P18" s="27"/>
      <c r="Q18" s="11"/>
      <c r="R18" s="11"/>
      <c r="S18" s="11"/>
      <c r="T18" s="11"/>
      <c r="U18" s="28"/>
      <c r="V18" s="28"/>
    </row>
    <row r="19" spans="1:22" s="10" customFormat="1" ht="12.75" customHeight="1">
      <c r="A19" s="66" t="s">
        <v>23</v>
      </c>
      <c r="B19" s="66"/>
      <c r="C19" s="66"/>
      <c r="D19" s="23" t="s">
        <v>16</v>
      </c>
      <c r="E19" s="23" t="s">
        <v>16</v>
      </c>
      <c r="F19" s="23"/>
      <c r="G19" s="23" t="s">
        <v>16</v>
      </c>
      <c r="H19" s="23" t="s">
        <v>16</v>
      </c>
      <c r="I19" s="24" t="s">
        <v>16</v>
      </c>
      <c r="J19" s="24" t="s">
        <v>16</v>
      </c>
      <c r="K19" s="24"/>
      <c r="L19" s="60"/>
      <c r="M19" s="59"/>
      <c r="N19" s="96"/>
      <c r="P19" s="27"/>
      <c r="Q19" s="11"/>
      <c r="R19" s="11"/>
      <c r="S19" s="11"/>
      <c r="T19" s="11"/>
      <c r="U19" s="11"/>
      <c r="V19" s="29"/>
    </row>
    <row r="20" spans="1:22" s="10" customFormat="1" ht="13.5" customHeight="1">
      <c r="A20" s="66"/>
      <c r="B20" s="66"/>
      <c r="C20" s="66"/>
      <c r="D20" s="23"/>
      <c r="E20" s="30" t="e">
        <f>E31/D31</f>
        <v>#REF!</v>
      </c>
      <c r="F20" s="26"/>
      <c r="G20" s="31" t="e">
        <f>G31/D31</f>
        <v>#REF!</v>
      </c>
      <c r="H20" s="23" t="s">
        <v>16</v>
      </c>
      <c r="I20" s="24" t="s">
        <v>16</v>
      </c>
      <c r="J20" s="32" t="s">
        <v>16</v>
      </c>
      <c r="K20" s="32"/>
      <c r="L20" s="62"/>
      <c r="M20" s="61"/>
      <c r="N20" s="96"/>
      <c r="P20" s="33"/>
      <c r="Q20" s="11"/>
      <c r="R20" s="3"/>
      <c r="S20" s="11"/>
      <c r="T20" s="11"/>
      <c r="U20" s="11"/>
      <c r="V20" s="29"/>
    </row>
    <row r="21" spans="1:22" s="10" customFormat="1" ht="13.5" customHeight="1">
      <c r="A21" s="70" t="s">
        <v>17</v>
      </c>
      <c r="B21" s="49" t="s">
        <v>18</v>
      </c>
      <c r="C21" s="63" t="s">
        <v>24</v>
      </c>
      <c r="D21" s="50">
        <v>305</v>
      </c>
      <c r="E21" s="50">
        <v>0</v>
      </c>
      <c r="F21" s="50"/>
      <c r="G21" s="50">
        <v>20</v>
      </c>
      <c r="H21" s="56">
        <v>22</v>
      </c>
      <c r="I21" s="50">
        <v>22027</v>
      </c>
      <c r="J21" s="64">
        <f aca="true" t="shared" si="0" ref="J21:J27">K21/I21</f>
        <v>1.059835656240069</v>
      </c>
      <c r="K21" s="95">
        <f>22027+100+1218</f>
        <v>23345</v>
      </c>
      <c r="L21" s="52">
        <f>1340+77.9</f>
        <v>1417.9</v>
      </c>
      <c r="M21" s="53">
        <f>L21*12*1.302</f>
        <v>22153.269600000003</v>
      </c>
      <c r="N21" s="52">
        <f aca="true" t="shared" si="1" ref="N21:N30">M21/K21*100</f>
        <v>94.89513643178412</v>
      </c>
      <c r="P21" s="18"/>
      <c r="Q21" s="11"/>
      <c r="R21" s="34"/>
      <c r="S21" s="11"/>
      <c r="T21" s="3"/>
      <c r="U21" s="15"/>
      <c r="V21" s="16"/>
    </row>
    <row r="22" spans="1:22" s="10" customFormat="1" ht="13.5" customHeight="1">
      <c r="A22" s="71"/>
      <c r="B22" s="49" t="s">
        <v>18</v>
      </c>
      <c r="C22" s="63" t="s">
        <v>25</v>
      </c>
      <c r="D22" s="50">
        <v>143</v>
      </c>
      <c r="E22" s="50" t="e">
        <f>ROUND(('[1]факт с 01.01.08'!F17*8+'[1]план с 01.09.08'!F17*4)/12,0)</f>
        <v>#REF!</v>
      </c>
      <c r="F22" s="50"/>
      <c r="G22" s="50" t="e">
        <f>ROUND(('[1]факт с 01.01.08'!H17*8+'[1]план с 01.09.08'!H17*4)/12,0)</f>
        <v>#REF!</v>
      </c>
      <c r="H22" s="56">
        <v>11</v>
      </c>
      <c r="I22" s="50">
        <v>9798</v>
      </c>
      <c r="J22" s="64">
        <f t="shared" si="0"/>
        <v>1.0576852418860994</v>
      </c>
      <c r="K22" s="95">
        <f>9605+100+505.5+152.7</f>
        <v>10363.2</v>
      </c>
      <c r="L22" s="52">
        <f>585.5+42</f>
        <v>627.5</v>
      </c>
      <c r="M22" s="53">
        <f aca="true" t="shared" si="2" ref="M22:M29">L22*12*1.302</f>
        <v>9804.06</v>
      </c>
      <c r="N22" s="52">
        <f>M22/K22*100</f>
        <v>94.60456229735988</v>
      </c>
      <c r="O22" s="18"/>
      <c r="P22" s="18"/>
      <c r="Q22" s="11"/>
      <c r="R22" s="34"/>
      <c r="S22" s="11"/>
      <c r="T22" s="3"/>
      <c r="U22" s="15"/>
      <c r="V22" s="16"/>
    </row>
    <row r="23" spans="1:22" s="10" customFormat="1" ht="13.5" customHeight="1">
      <c r="A23" s="71"/>
      <c r="B23" s="49" t="s">
        <v>18</v>
      </c>
      <c r="C23" s="63" t="s">
        <v>26</v>
      </c>
      <c r="D23" s="50">
        <v>95</v>
      </c>
      <c r="E23" s="50" t="e">
        <f>ROUND(('[1]факт с 01.01.08'!F18*8+'[1]план с 01.09.08'!F18*4)/12,0)</f>
        <v>#REF!</v>
      </c>
      <c r="F23" s="50"/>
      <c r="G23" s="50">
        <v>0</v>
      </c>
      <c r="H23" s="56">
        <v>10</v>
      </c>
      <c r="I23" s="50">
        <v>7045</v>
      </c>
      <c r="J23" s="64">
        <f t="shared" si="0"/>
        <v>1.4741376863023423</v>
      </c>
      <c r="K23" s="95">
        <f>9598+100+527.1+159.2+1</f>
        <v>10385.300000000001</v>
      </c>
      <c r="L23" s="52">
        <f>585.1+43.9</f>
        <v>629</v>
      </c>
      <c r="M23" s="53">
        <f t="shared" si="2"/>
        <v>9827.496000000001</v>
      </c>
      <c r="N23" s="52">
        <f t="shared" si="1"/>
        <v>94.62890816827631</v>
      </c>
      <c r="O23" s="18"/>
      <c r="P23" s="18"/>
      <c r="Q23" s="11"/>
      <c r="R23" s="34"/>
      <c r="S23" s="11"/>
      <c r="T23" s="3"/>
      <c r="U23" s="15"/>
      <c r="V23" s="16"/>
    </row>
    <row r="24" spans="1:22" s="10" customFormat="1" ht="13.5" customHeight="1">
      <c r="A24" s="71"/>
      <c r="B24" s="49" t="s">
        <v>18</v>
      </c>
      <c r="C24" s="63" t="s">
        <v>27</v>
      </c>
      <c r="D24" s="50">
        <v>133</v>
      </c>
      <c r="E24" s="50" t="e">
        <f>ROUND(('[1]факт с 01.01.08'!F19*8+'[1]план с 01.09.08'!F19*4)/12,0)</f>
        <v>#REF!</v>
      </c>
      <c r="F24" s="50"/>
      <c r="G24" s="50" t="e">
        <f>ROUND(('[1]факт с 01.01.08'!H19*8+'[1]план с 01.09.08'!H19*4)/12,0)</f>
        <v>#REF!</v>
      </c>
      <c r="H24" s="56">
        <v>23</v>
      </c>
      <c r="I24" s="50">
        <v>17381.8</v>
      </c>
      <c r="J24" s="64">
        <f t="shared" si="0"/>
        <v>0.9675292547377143</v>
      </c>
      <c r="K24" s="95">
        <f>15743+100+763+230.4-19</f>
        <v>16817.4</v>
      </c>
      <c r="L24" s="52">
        <f>959.7+63</f>
        <v>1022.7</v>
      </c>
      <c r="M24" s="53">
        <f t="shared" si="2"/>
        <v>15978.664800000002</v>
      </c>
      <c r="N24" s="52">
        <f t="shared" si="1"/>
        <v>95.01269399550466</v>
      </c>
      <c r="P24" s="35"/>
      <c r="Q24" s="11"/>
      <c r="R24" s="34"/>
      <c r="S24" s="11"/>
      <c r="T24" s="3"/>
      <c r="U24" s="15"/>
      <c r="V24" s="16"/>
    </row>
    <row r="25" spans="1:22" s="10" customFormat="1" ht="0.75" customHeight="1">
      <c r="A25" s="71"/>
      <c r="B25" s="49" t="s">
        <v>20</v>
      </c>
      <c r="C25" s="63"/>
      <c r="D25" s="50"/>
      <c r="E25" s="50"/>
      <c r="F25" s="50"/>
      <c r="G25" s="50"/>
      <c r="H25" s="56"/>
      <c r="I25" s="50"/>
      <c r="J25" s="64"/>
      <c r="K25" s="95"/>
      <c r="L25" s="52"/>
      <c r="M25" s="53"/>
      <c r="N25" s="52"/>
      <c r="P25" s="35"/>
      <c r="Q25" s="11"/>
      <c r="R25" s="34"/>
      <c r="S25" s="11"/>
      <c r="T25" s="3"/>
      <c r="U25" s="15"/>
      <c r="V25" s="16"/>
    </row>
    <row r="26" spans="1:22" s="10" customFormat="1" ht="13.5" customHeight="1">
      <c r="A26" s="71"/>
      <c r="B26" s="49" t="s">
        <v>20</v>
      </c>
      <c r="C26" s="63" t="s">
        <v>28</v>
      </c>
      <c r="D26" s="50">
        <v>36</v>
      </c>
      <c r="E26" s="50" t="e">
        <f>ROUND(('[1]факт с 01.01.08'!F21*8+'[1]план с 01.09.08'!F21*4)/12,0)</f>
        <v>#REF!</v>
      </c>
      <c r="F26" s="50"/>
      <c r="G26" s="50" t="e">
        <f>ROUND(('[1]факт с 01.01.08'!H21*8+'[1]план с 01.09.08'!H21*4)/12,0)</f>
        <v>#REF!</v>
      </c>
      <c r="H26" s="56">
        <v>6</v>
      </c>
      <c r="I26" s="50">
        <v>6197.5</v>
      </c>
      <c r="J26" s="64">
        <f t="shared" si="0"/>
        <v>0.9875272287212585</v>
      </c>
      <c r="K26" s="95">
        <f>5737+290.5+87.7+5</f>
        <v>6120.2</v>
      </c>
      <c r="L26" s="52">
        <f>349.7+24.2</f>
        <v>373.9</v>
      </c>
      <c r="M26" s="53">
        <f t="shared" si="2"/>
        <v>5841.8135999999995</v>
      </c>
      <c r="N26" s="52">
        <f>M26/K26*100</f>
        <v>95.45135126303062</v>
      </c>
      <c r="P26" s="35"/>
      <c r="Q26" s="11"/>
      <c r="R26" s="34"/>
      <c r="S26" s="11"/>
      <c r="T26" s="3"/>
      <c r="U26" s="15"/>
      <c r="V26" s="16"/>
    </row>
    <row r="27" spans="1:22" s="1" customFormat="1" ht="12.75" customHeight="1">
      <c r="A27" s="71"/>
      <c r="B27" s="49" t="s">
        <v>18</v>
      </c>
      <c r="C27" s="63" t="s">
        <v>29</v>
      </c>
      <c r="D27" s="50">
        <v>49</v>
      </c>
      <c r="E27" s="50">
        <v>0</v>
      </c>
      <c r="F27" s="50"/>
      <c r="G27" s="50" t="e">
        <f>ROUND(('[1]факт с 01.01.08'!H23*8+'[1]план с 01.09.08'!H23*4)/12,0)</f>
        <v>#REF!</v>
      </c>
      <c r="H27" s="56">
        <v>9</v>
      </c>
      <c r="I27" s="50">
        <v>8392</v>
      </c>
      <c r="J27" s="64">
        <f t="shared" si="0"/>
        <v>0.9862488083889419</v>
      </c>
      <c r="K27" s="95">
        <f>7838+333+100.6+5</f>
        <v>8276.6</v>
      </c>
      <c r="L27" s="52">
        <f>487.8-10+27.75</f>
        <v>505.55</v>
      </c>
      <c r="M27" s="53">
        <f>L27*12*1.302</f>
        <v>7898.713200000001</v>
      </c>
      <c r="N27" s="52">
        <f>M27/K27*100</f>
        <v>95.43427494381753</v>
      </c>
      <c r="P27" s="35"/>
      <c r="Q27" s="3"/>
      <c r="R27" s="34"/>
      <c r="S27" s="11"/>
      <c r="T27" s="36"/>
      <c r="U27" s="15"/>
      <c r="V27" s="16"/>
    </row>
    <row r="28" spans="1:22" s="1" customFormat="1" ht="12.75" hidden="1">
      <c r="A28" s="71"/>
      <c r="B28" s="49" t="s">
        <v>20</v>
      </c>
      <c r="C28" s="63"/>
      <c r="D28" s="50"/>
      <c r="E28" s="50"/>
      <c r="F28" s="50"/>
      <c r="G28" s="50"/>
      <c r="H28" s="56"/>
      <c r="I28" s="50"/>
      <c r="J28" s="50"/>
      <c r="K28" s="95">
        <f>M28*1.03</f>
        <v>0</v>
      </c>
      <c r="L28" s="54"/>
      <c r="M28" s="53">
        <f t="shared" si="2"/>
        <v>0</v>
      </c>
      <c r="N28" s="12" t="e">
        <f t="shared" si="1"/>
        <v>#DIV/0!</v>
      </c>
      <c r="P28" s="35"/>
      <c r="Q28" s="3"/>
      <c r="R28" s="34"/>
      <c r="S28" s="11"/>
      <c r="T28" s="37"/>
      <c r="U28" s="15"/>
      <c r="V28" s="16"/>
    </row>
    <row r="29" spans="1:22" s="1" customFormat="1" ht="12.75">
      <c r="A29" s="71"/>
      <c r="B29" s="49" t="s">
        <v>33</v>
      </c>
      <c r="C29" s="63" t="s">
        <v>30</v>
      </c>
      <c r="D29" s="50">
        <v>2</v>
      </c>
      <c r="E29" s="50" t="e">
        <f>ROUND(('[1]факт с 01.01.08'!F26*8+'[1]план с 01.09.08'!F26*4)/12,0)</f>
        <v>#REF!</v>
      </c>
      <c r="F29" s="50"/>
      <c r="G29" s="50" t="e">
        <f>ROUND(('[1]факт с 01.01.08'!H26*8+'[1]план с 01.09.08'!H26*4)/12,0)</f>
        <v>#REF!</v>
      </c>
      <c r="H29" s="56">
        <v>1</v>
      </c>
      <c r="I29" s="50">
        <v>338.9</v>
      </c>
      <c r="J29" s="64">
        <f>K29/I29</f>
        <v>3.383593980525229</v>
      </c>
      <c r="K29" s="95">
        <f>976+128.8+38.9+3</f>
        <v>1146.7</v>
      </c>
      <c r="L29" s="52">
        <f>59.5+10.7</f>
        <v>70.2</v>
      </c>
      <c r="M29" s="53">
        <f>L29*12*1.302</f>
        <v>1096.8048000000001</v>
      </c>
      <c r="N29" s="52">
        <f>M29/K29*100</f>
        <v>95.64880090695038</v>
      </c>
      <c r="P29" s="35"/>
      <c r="Q29" s="3"/>
      <c r="R29" s="34"/>
      <c r="S29" s="11"/>
      <c r="T29" s="37"/>
      <c r="U29" s="15"/>
      <c r="V29" s="16"/>
    </row>
    <row r="30" spans="1:22" s="1" customFormat="1" ht="12.75" hidden="1">
      <c r="A30" s="72"/>
      <c r="B30" s="49" t="s">
        <v>20</v>
      </c>
      <c r="C30" s="55"/>
      <c r="D30" s="50"/>
      <c r="E30" s="50"/>
      <c r="F30" s="50"/>
      <c r="G30" s="50"/>
      <c r="H30" s="56"/>
      <c r="I30" s="50"/>
      <c r="J30" s="50"/>
      <c r="K30" s="57"/>
      <c r="L30" s="51">
        <v>2.2</v>
      </c>
      <c r="M30" s="53">
        <f>L30*12+(L30*0.342*12)</f>
        <v>35.4288</v>
      </c>
      <c r="N30" s="12" t="e">
        <f t="shared" si="1"/>
        <v>#DIV/0!</v>
      </c>
      <c r="P30" s="35"/>
      <c r="Q30" s="3"/>
      <c r="R30" s="34"/>
      <c r="S30" s="11"/>
      <c r="T30" s="34"/>
      <c r="U30" s="15"/>
      <c r="V30" s="16"/>
    </row>
    <row r="31" spans="1:22" s="1" customFormat="1" ht="12.75">
      <c r="A31" s="67" t="s">
        <v>31</v>
      </c>
      <c r="B31" s="68"/>
      <c r="C31" s="68"/>
      <c r="D31" s="24">
        <f aca="true" t="shared" si="3" ref="D31:J31">SUM(D21:D30)</f>
        <v>763</v>
      </c>
      <c r="E31" s="24" t="e">
        <f t="shared" si="3"/>
        <v>#REF!</v>
      </c>
      <c r="F31" s="24"/>
      <c r="G31" s="24" t="e">
        <f t="shared" si="3"/>
        <v>#REF!</v>
      </c>
      <c r="H31" s="24">
        <f>SUM(H21:H30)</f>
        <v>82</v>
      </c>
      <c r="I31" s="24">
        <f t="shared" si="3"/>
        <v>71180.2</v>
      </c>
      <c r="J31" s="24">
        <f t="shared" si="3"/>
        <v>9.916557856801655</v>
      </c>
      <c r="K31" s="58"/>
      <c r="L31" s="25" t="s">
        <v>16</v>
      </c>
      <c r="M31" s="24"/>
      <c r="N31" s="12"/>
      <c r="P31" s="18"/>
      <c r="Q31" s="34">
        <f>D31/H31</f>
        <v>9.304878048780488</v>
      </c>
      <c r="R31" s="3"/>
      <c r="T31" s="11"/>
      <c r="U31" s="28"/>
      <c r="V31" s="28"/>
    </row>
    <row r="32" spans="1:22" s="1" customFormat="1" ht="12.75">
      <c r="A32" s="22" t="s">
        <v>32</v>
      </c>
      <c r="B32" s="23"/>
      <c r="C32" s="23"/>
      <c r="D32" s="24">
        <f>D18+D31</f>
        <v>1910</v>
      </c>
      <c r="E32" s="24" t="e">
        <f>E18+E31</f>
        <v>#REF!</v>
      </c>
      <c r="F32" s="24"/>
      <c r="G32" s="24" t="e">
        <f>G18+G31</f>
        <v>#REF!</v>
      </c>
      <c r="H32" s="23" t="s">
        <v>16</v>
      </c>
      <c r="I32" s="24">
        <f>I18+I31</f>
        <v>113302.9</v>
      </c>
      <c r="J32" s="24">
        <f>J18+J31</f>
        <v>11.874067616545542</v>
      </c>
      <c r="K32" s="58">
        <f>SUM(K15:K29)</f>
        <v>117288.9</v>
      </c>
      <c r="L32" s="25" t="s">
        <v>16</v>
      </c>
      <c r="M32" s="24">
        <f>SUM(M15:M29)</f>
        <v>111557.7036</v>
      </c>
      <c r="N32" s="12">
        <f>M32/K32*100</f>
        <v>95.11360716998796</v>
      </c>
      <c r="P32" s="13"/>
      <c r="Q32" s="3"/>
      <c r="R32" s="3"/>
      <c r="S32" s="3"/>
      <c r="T32" s="11"/>
      <c r="U32" s="28"/>
      <c r="V32" s="28"/>
    </row>
    <row r="33" spans="1:21" s="1" customFormat="1" ht="12.75">
      <c r="A33" s="38"/>
      <c r="B33" s="38"/>
      <c r="C33" s="38"/>
      <c r="D33" s="38"/>
      <c r="E33" s="38"/>
      <c r="F33" s="38"/>
      <c r="G33" s="69"/>
      <c r="H33" s="69"/>
      <c r="I33" s="69"/>
      <c r="J33" s="39"/>
      <c r="K33" s="40"/>
      <c r="L33" s="47"/>
      <c r="M33" s="41"/>
      <c r="N33" s="42"/>
      <c r="P33" s="3"/>
      <c r="Q33" s="3"/>
      <c r="R33" s="3"/>
      <c r="S33" s="3"/>
      <c r="T33" s="3"/>
      <c r="U33" s="3"/>
    </row>
    <row r="34" spans="9:21" s="1" customFormat="1" ht="12.75">
      <c r="I34" s="43"/>
      <c r="J34" s="44"/>
      <c r="K34" s="45"/>
      <c r="L34" s="2"/>
      <c r="M34" s="43"/>
      <c r="P34" s="3"/>
      <c r="Q34" s="3"/>
      <c r="R34" s="3"/>
      <c r="S34" s="3"/>
      <c r="T34" s="3"/>
      <c r="U34" s="3"/>
    </row>
    <row r="35" spans="3:13" s="1" customFormat="1" ht="13.5">
      <c r="C35" s="46"/>
      <c r="L35" s="2"/>
      <c r="M35" s="41"/>
    </row>
    <row r="36" spans="12:13" s="1" customFormat="1" ht="12.75">
      <c r="L36" s="2"/>
      <c r="M36" s="2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</sheetData>
  <sheetProtection/>
  <mergeCells count="27">
    <mergeCell ref="N10:N13"/>
    <mergeCell ref="L10:L13"/>
    <mergeCell ref="M10:M13"/>
    <mergeCell ref="A7:M7"/>
    <mergeCell ref="L9:M9"/>
    <mergeCell ref="A6:J6"/>
    <mergeCell ref="A8:J8"/>
    <mergeCell ref="A9:J9"/>
    <mergeCell ref="D10:D13"/>
    <mergeCell ref="E10:F10"/>
    <mergeCell ref="J10:J13"/>
    <mergeCell ref="A10:A13"/>
    <mergeCell ref="K10:K13"/>
    <mergeCell ref="G10:G13"/>
    <mergeCell ref="B10:B13"/>
    <mergeCell ref="C10:C13"/>
    <mergeCell ref="H10:H13"/>
    <mergeCell ref="I10:I13"/>
    <mergeCell ref="E11:E13"/>
    <mergeCell ref="F11:F13"/>
    <mergeCell ref="A14:C14"/>
    <mergeCell ref="A31:C31"/>
    <mergeCell ref="G33:I33"/>
    <mergeCell ref="A15:A17"/>
    <mergeCell ref="A18:C18"/>
    <mergeCell ref="A19:C20"/>
    <mergeCell ref="A21:A30"/>
  </mergeCells>
  <printOptions/>
  <pageMargins left="0.7480314960629921" right="0.7480314960629921" top="0.5511811023622047" bottom="0.2755905511811024" header="0.5118110236220472" footer="0.275590551181102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Dovbush28</cp:lastModifiedBy>
  <cp:lastPrinted>2018-01-18T07:08:27Z</cp:lastPrinted>
  <dcterms:created xsi:type="dcterms:W3CDTF">2013-01-30T07:33:25Z</dcterms:created>
  <dcterms:modified xsi:type="dcterms:W3CDTF">2018-01-18T07:08:56Z</dcterms:modified>
  <cp:category/>
  <cp:version/>
  <cp:contentType/>
  <cp:contentStatus/>
</cp:coreProperties>
</file>