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xpsp3-pc\общая папка\входящие\ЕЖЕМЕСЯЧНО до 20 числа\2023 год\3_март 2023\"/>
    </mc:Choice>
  </mc:AlternateContent>
  <bookViews>
    <workbookView xWindow="0" yWindow="0" windowWidth="28800" windowHeight="11700" firstSheet="1" activeTab="1"/>
  </bookViews>
  <sheets>
    <sheet name="консолидированный (короткая)" sheetId="11" state="hidden" r:id="rId1"/>
    <sheet name="конс." sheetId="1" r:id="rId2"/>
    <sheet name="пояснения" sheetId="14" r:id="rId3"/>
    <sheet name="сортавала" sheetId="5" state="hidden" r:id="rId4"/>
    <sheet name="бюджет округа (района)" sheetId="8" state="hidden" r:id="rId5"/>
    <sheet name="бюджеты поселений" sheetId="9" state="hidden" r:id="rId6"/>
    <sheet name="КРЕДИТ ДЛЯ ПОСЕЛЕНИЯ" sheetId="10" state="hidden" r:id="rId7"/>
    <sheet name="Лист1" sheetId="12" state="hidden" r:id="rId8"/>
  </sheets>
  <externalReferences>
    <externalReference r:id="rId9"/>
    <externalReference r:id="rId10"/>
    <externalReference r:id="rId11"/>
  </externalReferences>
  <definedNames>
    <definedName name="_xlnm.Print_Titles" localSheetId="4">'бюджет округа (района)'!$A:$B,'бюджет округа (района)'!$5:$8</definedName>
    <definedName name="_xlnm.Print_Titles" localSheetId="5">'бюджеты поселений'!$A:$B,'бюджеты поселений'!$5:$8</definedName>
    <definedName name="_xlnm.Print_Titles" localSheetId="1">конс.!$A:$B,конс.!$6:$9</definedName>
    <definedName name="_xlnm.Print_Titles" localSheetId="0">'консолидированный (короткая)'!$A:$B,'консолидированный (короткая)'!$5:$8</definedName>
    <definedName name="_xlnm.Print_Titles" localSheetId="6">'КРЕДИТ ДЛЯ ПОСЕЛЕНИЯ'!$A:$B,'КРЕДИТ ДЛЯ ПОСЕЛЕНИЯ'!$5:$8</definedName>
    <definedName name="_xlnm.Print_Titles" localSheetId="2">пояснения!$A:$B,пояснения!$6:$9</definedName>
    <definedName name="_xlnm.Print_Titles" localSheetId="3">сортавала!$4:$7</definedName>
    <definedName name="_xlnm.Print_Area" localSheetId="4">'бюджет округа (района)'!$A$2:$BL$131</definedName>
    <definedName name="_xlnm.Print_Area" localSheetId="5">'бюджеты поселений'!$A$2:$BL$131</definedName>
    <definedName name="_xlnm.Print_Area" localSheetId="0">'консолидированный (короткая)'!$A$2:$DV$130</definedName>
    <definedName name="_xlnm.Print_Area" localSheetId="6">'КРЕДИТ ДЛЯ ПОСЕЛЕНИЯ'!$A$2:$BL$128</definedName>
    <definedName name="_xlnm.Print_Area" localSheetId="2">пояснения!$A$1:$H$73</definedName>
    <definedName name="_xlnm.Print_Area" localSheetId="3">сортавала!$A$1:$DV$111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87" i="1" l="1"/>
  <c r="BA74" i="1"/>
  <c r="BA56" i="1" l="1"/>
  <c r="DT101" i="1" l="1"/>
  <c r="DS101" i="1"/>
  <c r="DT91" i="1"/>
  <c r="DS91" i="1"/>
  <c r="H12" i="1" l="1"/>
  <c r="G12" i="1"/>
  <c r="F12" i="1" l="1"/>
  <c r="E12" i="1"/>
  <c r="F33" i="1"/>
  <c r="E33" i="1"/>
  <c r="F101" i="1"/>
  <c r="E101" i="1"/>
  <c r="F91" i="1"/>
  <c r="E91" i="1"/>
  <c r="F84" i="1"/>
  <c r="E84" i="1"/>
  <c r="F81" i="1"/>
  <c r="E81" i="1"/>
  <c r="F78" i="1"/>
  <c r="E78" i="1"/>
  <c r="F62" i="1"/>
  <c r="E62" i="1"/>
  <c r="F45" i="1"/>
  <c r="E45" i="1"/>
  <c r="F44" i="1"/>
  <c r="E44" i="1"/>
  <c r="D101" i="1" l="1"/>
  <c r="C101" i="1"/>
  <c r="D91" i="1"/>
  <c r="C91" i="1"/>
  <c r="D87" i="1"/>
  <c r="C87" i="1"/>
  <c r="D84" i="1"/>
  <c r="C84" i="1"/>
  <c r="D81" i="1"/>
  <c r="C81" i="1"/>
  <c r="D78" i="1"/>
  <c r="C78" i="1"/>
  <c r="D62" i="1"/>
  <c r="C62" i="1"/>
  <c r="D45" i="1"/>
  <c r="C45" i="1"/>
  <c r="D44" i="1"/>
  <c r="C44" i="1"/>
  <c r="BC91" i="1" l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66" i="14" l="1"/>
  <c r="C66" i="14"/>
  <c r="AX126" i="1" l="1"/>
  <c r="AW126" i="1"/>
  <c r="AX125" i="1"/>
  <c r="AW125" i="1"/>
  <c r="AX122" i="1"/>
  <c r="AW122" i="1"/>
  <c r="AX121" i="1"/>
  <c r="AW121" i="1"/>
  <c r="DL84" i="1" l="1"/>
  <c r="H59" i="14" l="1"/>
  <c r="H60" i="14"/>
  <c r="H61" i="14"/>
  <c r="H63" i="14"/>
  <c r="H65" i="14"/>
  <c r="H66" i="14"/>
  <c r="H67" i="14"/>
  <c r="H68" i="14"/>
  <c r="H69" i="14"/>
  <c r="H70" i="14"/>
  <c r="H71" i="14"/>
  <c r="H72" i="14"/>
  <c r="H73" i="14"/>
  <c r="G59" i="14"/>
  <c r="G60" i="14"/>
  <c r="G61" i="14"/>
  <c r="G63" i="14"/>
  <c r="G65" i="14"/>
  <c r="G66" i="14"/>
  <c r="G67" i="14"/>
  <c r="G68" i="14"/>
  <c r="G69" i="14"/>
  <c r="G70" i="14"/>
  <c r="G71" i="14"/>
  <c r="G72" i="14"/>
  <c r="G73" i="14"/>
  <c r="H58" i="14"/>
  <c r="G58" i="14"/>
  <c r="H13" i="14"/>
  <c r="H14" i="14"/>
  <c r="H15" i="14"/>
  <c r="H16" i="14"/>
  <c r="H17" i="14"/>
  <c r="H18" i="14"/>
  <c r="H19" i="14"/>
  <c r="H21" i="14"/>
  <c r="H22" i="14"/>
  <c r="H23" i="14"/>
  <c r="H24" i="14"/>
  <c r="H25" i="14"/>
  <c r="H27" i="14"/>
  <c r="H28" i="14"/>
  <c r="H29" i="14"/>
  <c r="H30" i="14"/>
  <c r="H31" i="14"/>
  <c r="H32" i="14"/>
  <c r="H34" i="14"/>
  <c r="H35" i="14"/>
  <c r="H36" i="14"/>
  <c r="H37" i="14"/>
  <c r="H39" i="14"/>
  <c r="H40" i="14"/>
  <c r="H41" i="14"/>
  <c r="H42" i="14"/>
  <c r="H43" i="14"/>
  <c r="H46" i="14"/>
  <c r="H47" i="14"/>
  <c r="H48" i="14"/>
  <c r="H49" i="14"/>
  <c r="H50" i="14"/>
  <c r="H51" i="14"/>
  <c r="H52" i="14"/>
  <c r="H53" i="14"/>
  <c r="H54" i="14"/>
  <c r="G13" i="14"/>
  <c r="G14" i="14"/>
  <c r="G15" i="14"/>
  <c r="G16" i="14"/>
  <c r="G17" i="14"/>
  <c r="G18" i="14"/>
  <c r="G19" i="14"/>
  <c r="G21" i="14"/>
  <c r="G22" i="14"/>
  <c r="G23" i="14"/>
  <c r="G24" i="14"/>
  <c r="G25" i="14"/>
  <c r="G27" i="14"/>
  <c r="G28" i="14"/>
  <c r="G29" i="14"/>
  <c r="G30" i="14"/>
  <c r="G31" i="14"/>
  <c r="G32" i="14"/>
  <c r="G34" i="14"/>
  <c r="G35" i="14"/>
  <c r="G36" i="14"/>
  <c r="G37" i="14"/>
  <c r="G39" i="14"/>
  <c r="G40" i="14"/>
  <c r="G41" i="14"/>
  <c r="G42" i="14"/>
  <c r="G43" i="14"/>
  <c r="G46" i="14"/>
  <c r="G47" i="14"/>
  <c r="G48" i="14"/>
  <c r="G49" i="14"/>
  <c r="G50" i="14"/>
  <c r="G51" i="14"/>
  <c r="G52" i="14"/>
  <c r="G53" i="14"/>
  <c r="F59" i="14"/>
  <c r="F60" i="14"/>
  <c r="F61" i="14"/>
  <c r="F62" i="14"/>
  <c r="F64" i="14"/>
  <c r="F65" i="14"/>
  <c r="F66" i="14"/>
  <c r="F67" i="14"/>
  <c r="F68" i="14"/>
  <c r="F69" i="14"/>
  <c r="F70" i="14"/>
  <c r="F71" i="14"/>
  <c r="F72" i="14"/>
  <c r="F73" i="14"/>
  <c r="E59" i="14"/>
  <c r="E60" i="14"/>
  <c r="E61" i="14"/>
  <c r="E62" i="14"/>
  <c r="E64" i="14"/>
  <c r="E65" i="14"/>
  <c r="E66" i="14"/>
  <c r="E67" i="14"/>
  <c r="E68" i="14"/>
  <c r="E69" i="14"/>
  <c r="E70" i="14"/>
  <c r="E71" i="14"/>
  <c r="E72" i="14"/>
  <c r="E73" i="14"/>
  <c r="F14" i="14"/>
  <c r="F15" i="14"/>
  <c r="F16" i="14"/>
  <c r="F17" i="14"/>
  <c r="F18" i="14"/>
  <c r="F19" i="14"/>
  <c r="F20" i="14"/>
  <c r="F22" i="14"/>
  <c r="F23" i="14"/>
  <c r="F24" i="14"/>
  <c r="F25" i="14"/>
  <c r="F26" i="14"/>
  <c r="F28" i="14"/>
  <c r="F29" i="14"/>
  <c r="F30" i="14"/>
  <c r="F31" i="14"/>
  <c r="F32" i="14"/>
  <c r="F33" i="14"/>
  <c r="F35" i="14"/>
  <c r="F36" i="14"/>
  <c r="F37" i="14"/>
  <c r="F38" i="14"/>
  <c r="F40" i="14"/>
  <c r="F41" i="14"/>
  <c r="F42" i="14"/>
  <c r="F43" i="14"/>
  <c r="F47" i="14"/>
  <c r="F48" i="14"/>
  <c r="F49" i="14"/>
  <c r="F50" i="14"/>
  <c r="F51" i="14"/>
  <c r="F52" i="14"/>
  <c r="F53" i="14"/>
  <c r="F54" i="14"/>
  <c r="E14" i="14"/>
  <c r="E15" i="14"/>
  <c r="E16" i="14"/>
  <c r="E17" i="14"/>
  <c r="E18" i="14"/>
  <c r="E19" i="14"/>
  <c r="E20" i="14"/>
  <c r="E22" i="14"/>
  <c r="E23" i="14"/>
  <c r="E24" i="14"/>
  <c r="E25" i="14"/>
  <c r="E26" i="14"/>
  <c r="E28" i="14"/>
  <c r="E29" i="14"/>
  <c r="E30" i="14"/>
  <c r="E31" i="14"/>
  <c r="E32" i="14"/>
  <c r="E33" i="14"/>
  <c r="E35" i="14"/>
  <c r="E36" i="14"/>
  <c r="E37" i="14"/>
  <c r="E38" i="14"/>
  <c r="E40" i="14"/>
  <c r="E41" i="14"/>
  <c r="E42" i="14"/>
  <c r="E43" i="14"/>
  <c r="E47" i="14"/>
  <c r="E48" i="14"/>
  <c r="E49" i="14"/>
  <c r="E50" i="14"/>
  <c r="E51" i="14"/>
  <c r="E52" i="14"/>
  <c r="E53" i="14"/>
  <c r="E54" i="14"/>
  <c r="D59" i="14"/>
  <c r="D60" i="14"/>
  <c r="D61" i="14"/>
  <c r="D63" i="14"/>
  <c r="D64" i="14"/>
  <c r="D65" i="14"/>
  <c r="D67" i="14"/>
  <c r="D68" i="14"/>
  <c r="D69" i="14"/>
  <c r="D70" i="14"/>
  <c r="D71" i="14"/>
  <c r="D72" i="14"/>
  <c r="D73" i="14"/>
  <c r="C59" i="14"/>
  <c r="C60" i="14"/>
  <c r="C61" i="14"/>
  <c r="C63" i="14"/>
  <c r="C64" i="14"/>
  <c r="C65" i="14"/>
  <c r="C67" i="14"/>
  <c r="C68" i="14"/>
  <c r="C69" i="14"/>
  <c r="C70" i="14"/>
  <c r="C71" i="14"/>
  <c r="C72" i="14"/>
  <c r="C73" i="14"/>
  <c r="D58" i="14"/>
  <c r="C58" i="14"/>
  <c r="D14" i="14"/>
  <c r="D15" i="14"/>
  <c r="D16" i="14"/>
  <c r="D17" i="14"/>
  <c r="D18" i="14"/>
  <c r="D19" i="14"/>
  <c r="D21" i="14"/>
  <c r="D22" i="14"/>
  <c r="D23" i="14"/>
  <c r="D24" i="14"/>
  <c r="D25" i="14"/>
  <c r="D27" i="14"/>
  <c r="D28" i="14"/>
  <c r="D29" i="14"/>
  <c r="D30" i="14"/>
  <c r="D31" i="14"/>
  <c r="D32" i="14"/>
  <c r="D34" i="14"/>
  <c r="D35" i="14"/>
  <c r="D36" i="14"/>
  <c r="D37" i="14"/>
  <c r="D39" i="14"/>
  <c r="D40" i="14"/>
  <c r="D41" i="14"/>
  <c r="D42" i="14"/>
  <c r="D43" i="14"/>
  <c r="D46" i="14"/>
  <c r="D47" i="14"/>
  <c r="D48" i="14"/>
  <c r="D49" i="14"/>
  <c r="D50" i="14"/>
  <c r="D51" i="14"/>
  <c r="D52" i="14"/>
  <c r="D53" i="14"/>
  <c r="D54" i="14"/>
  <c r="C14" i="14"/>
  <c r="C15" i="14"/>
  <c r="C16" i="14"/>
  <c r="C17" i="14"/>
  <c r="C18" i="14"/>
  <c r="C19" i="14"/>
  <c r="C21" i="14"/>
  <c r="C22" i="14"/>
  <c r="C23" i="14"/>
  <c r="C24" i="14"/>
  <c r="C25" i="14"/>
  <c r="C27" i="14"/>
  <c r="C28" i="14"/>
  <c r="C29" i="14"/>
  <c r="C30" i="14"/>
  <c r="C31" i="14"/>
  <c r="C32" i="14"/>
  <c r="C34" i="14"/>
  <c r="C35" i="14"/>
  <c r="C36" i="14"/>
  <c r="C37" i="14"/>
  <c r="C39" i="14"/>
  <c r="C40" i="14"/>
  <c r="C41" i="14"/>
  <c r="C42" i="14"/>
  <c r="C43" i="14"/>
  <c r="C46" i="14"/>
  <c r="C47" i="14"/>
  <c r="C48" i="14"/>
  <c r="C49" i="14"/>
  <c r="C50" i="14"/>
  <c r="C51" i="14"/>
  <c r="C52" i="14"/>
  <c r="C53" i="14"/>
  <c r="D13" i="14"/>
  <c r="C13" i="14"/>
  <c r="DM15" i="1" l="1"/>
  <c r="DT84" i="1" l="1"/>
  <c r="DS84" i="1"/>
  <c r="DT81" i="1"/>
  <c r="DS81" i="1"/>
  <c r="DT78" i="1"/>
  <c r="DS78" i="1"/>
  <c r="DX15" i="1" l="1"/>
  <c r="DW15" i="1"/>
  <c r="DN15" i="1"/>
  <c r="H91" i="1" l="1"/>
  <c r="G91" i="1"/>
  <c r="H84" i="1"/>
  <c r="G84" i="1"/>
  <c r="H81" i="1"/>
  <c r="G81" i="1"/>
  <c r="H78" i="1"/>
  <c r="G78" i="1"/>
  <c r="DW19" i="1" l="1"/>
  <c r="DN19" i="1"/>
  <c r="DM19" i="1"/>
  <c r="BC19" i="1"/>
  <c r="AX84" i="1" l="1"/>
  <c r="AW84" i="1"/>
  <c r="H33" i="1" l="1"/>
  <c r="G33" i="1"/>
  <c r="AX33" i="1"/>
  <c r="AW33" i="1"/>
  <c r="DT33" i="1"/>
  <c r="DS33" i="1"/>
  <c r="DL33" i="1"/>
  <c r="DK33" i="1"/>
  <c r="BB33" i="1"/>
  <c r="BA33" i="1"/>
  <c r="H33" i="14" l="1"/>
  <c r="G33" i="14"/>
  <c r="E34" i="14"/>
  <c r="F34" i="14"/>
  <c r="D33" i="14"/>
  <c r="C33" i="14"/>
  <c r="BB122" i="1"/>
  <c r="BA122" i="1"/>
  <c r="BB121" i="1"/>
  <c r="BA121" i="1"/>
  <c r="DW103" i="1" l="1"/>
  <c r="DW102" i="1"/>
  <c r="DX99" i="1"/>
  <c r="DW99" i="1"/>
  <c r="DX98" i="1"/>
  <c r="DW98" i="1"/>
  <c r="DX97" i="1"/>
  <c r="DW97" i="1"/>
  <c r="DX96" i="1"/>
  <c r="DW96" i="1"/>
  <c r="DW95" i="1"/>
  <c r="DW94" i="1"/>
  <c r="DX93" i="1"/>
  <c r="DW93" i="1"/>
  <c r="DW92" i="1"/>
  <c r="DX86" i="1"/>
  <c r="DW86" i="1"/>
  <c r="DX85" i="1"/>
  <c r="DW85" i="1"/>
  <c r="DX83" i="1"/>
  <c r="DW83" i="1"/>
  <c r="DX82" i="1"/>
  <c r="DW82" i="1"/>
  <c r="DX80" i="1"/>
  <c r="DW80" i="1"/>
  <c r="DX79" i="1"/>
  <c r="DW79" i="1"/>
  <c r="DX73" i="1"/>
  <c r="DW73" i="1"/>
  <c r="DX72" i="1"/>
  <c r="DW72" i="1"/>
  <c r="DX71" i="1"/>
  <c r="DW71" i="1"/>
  <c r="DX70" i="1"/>
  <c r="DW70" i="1"/>
  <c r="DX69" i="1"/>
  <c r="DW69" i="1"/>
  <c r="DX68" i="1"/>
  <c r="DW68" i="1"/>
  <c r="DX67" i="1"/>
  <c r="DW67" i="1"/>
  <c r="DX66" i="1"/>
  <c r="DW66" i="1"/>
  <c r="DX65" i="1"/>
  <c r="DW65" i="1"/>
  <c r="DW64" i="1"/>
  <c r="DX63" i="1"/>
  <c r="DW63" i="1"/>
  <c r="DW61" i="1"/>
  <c r="DX60" i="1"/>
  <c r="DW60" i="1"/>
  <c r="DX59" i="1"/>
  <c r="DW59" i="1"/>
  <c r="DX58" i="1"/>
  <c r="DW58" i="1"/>
  <c r="DX56" i="1"/>
  <c r="DW56" i="1"/>
  <c r="DX54" i="1"/>
  <c r="DW54" i="1"/>
  <c r="DX53" i="1"/>
  <c r="DW53" i="1"/>
  <c r="DX52" i="1"/>
  <c r="DW52" i="1"/>
  <c r="DX51" i="1"/>
  <c r="DW51" i="1"/>
  <c r="DX50" i="1"/>
  <c r="DW50" i="1"/>
  <c r="DX49" i="1"/>
  <c r="DW49" i="1"/>
  <c r="DX48" i="1"/>
  <c r="DW48" i="1"/>
  <c r="DX47" i="1"/>
  <c r="DW47" i="1"/>
  <c r="DX46" i="1"/>
  <c r="DW46" i="1"/>
  <c r="DX43" i="1"/>
  <c r="DW43" i="1"/>
  <c r="DX42" i="1"/>
  <c r="DW42" i="1"/>
  <c r="DX41" i="1"/>
  <c r="DW41" i="1"/>
  <c r="DX40" i="1"/>
  <c r="DW40" i="1"/>
  <c r="DX39" i="1"/>
  <c r="DW39" i="1"/>
  <c r="DX37" i="1"/>
  <c r="DW37" i="1"/>
  <c r="DX36" i="1"/>
  <c r="DW36" i="1"/>
  <c r="DX35" i="1"/>
  <c r="DW35" i="1"/>
  <c r="DX34" i="1"/>
  <c r="DW34" i="1"/>
  <c r="DX32" i="1"/>
  <c r="DW32" i="1"/>
  <c r="DX31" i="1"/>
  <c r="DW31" i="1"/>
  <c r="DX30" i="1"/>
  <c r="DW30" i="1"/>
  <c r="DX29" i="1"/>
  <c r="DW29" i="1"/>
  <c r="DX28" i="1"/>
  <c r="DW28" i="1"/>
  <c r="DX27" i="1"/>
  <c r="DW27" i="1"/>
  <c r="DW25" i="1"/>
  <c r="DX24" i="1"/>
  <c r="DW24" i="1"/>
  <c r="DX23" i="1"/>
  <c r="DW23" i="1"/>
  <c r="DW22" i="1"/>
  <c r="DW21" i="1"/>
  <c r="DW18" i="1"/>
  <c r="DX17" i="1"/>
  <c r="DW17" i="1"/>
  <c r="DX16" i="1"/>
  <c r="DW16" i="1"/>
  <c r="DX13" i="1"/>
  <c r="DW13" i="1"/>
  <c r="DV117" i="1"/>
  <c r="DV116" i="1"/>
  <c r="DV115" i="1"/>
  <c r="DU117" i="1"/>
  <c r="DU116" i="1"/>
  <c r="DU115" i="1"/>
  <c r="D38" i="1" l="1"/>
  <c r="C38" i="1"/>
  <c r="D33" i="1"/>
  <c r="C33" i="1"/>
  <c r="DT38" i="1"/>
  <c r="DS38" i="1"/>
  <c r="DL38" i="1"/>
  <c r="DK38" i="1"/>
  <c r="BB38" i="1"/>
  <c r="BA38" i="1"/>
  <c r="AX38" i="1"/>
  <c r="AW38" i="1"/>
  <c r="H38" i="1"/>
  <c r="G38" i="1"/>
  <c r="F38" i="1"/>
  <c r="E38" i="1"/>
  <c r="DT26" i="1"/>
  <c r="DS26" i="1"/>
  <c r="DL26" i="1"/>
  <c r="DK26" i="1"/>
  <c r="CR26" i="1"/>
  <c r="CQ26" i="1"/>
  <c r="BD26" i="1"/>
  <c r="BC26" i="1"/>
  <c r="BB26" i="1"/>
  <c r="BA26" i="1"/>
  <c r="AX26" i="1"/>
  <c r="AX12" i="1" s="1"/>
  <c r="AW26" i="1"/>
  <c r="J26" i="1"/>
  <c r="I26" i="1"/>
  <c r="H26" i="1"/>
  <c r="G26" i="1"/>
  <c r="D26" i="1"/>
  <c r="C26" i="1"/>
  <c r="F26" i="1"/>
  <c r="E26" i="1"/>
  <c r="H26" i="14" l="1"/>
  <c r="G26" i="14"/>
  <c r="F27" i="14"/>
  <c r="E27" i="14"/>
  <c r="H38" i="14"/>
  <c r="F39" i="14"/>
  <c r="E39" i="14"/>
  <c r="G38" i="14"/>
  <c r="D38" i="14"/>
  <c r="C38" i="14"/>
  <c r="D26" i="14"/>
  <c r="C26" i="14"/>
  <c r="DW26" i="1"/>
  <c r="DW33" i="1"/>
  <c r="DX26" i="1"/>
  <c r="DX33" i="1"/>
  <c r="DW38" i="1"/>
  <c r="DX38" i="1"/>
  <c r="D20" i="1"/>
  <c r="C20" i="1"/>
  <c r="F20" i="1"/>
  <c r="E20" i="1"/>
  <c r="DT20" i="1"/>
  <c r="DS20" i="1"/>
  <c r="AX20" i="1"/>
  <c r="AW20" i="1"/>
  <c r="AW12" i="1" s="1"/>
  <c r="DL20" i="1"/>
  <c r="DK20" i="1"/>
  <c r="BB20" i="1"/>
  <c r="H20" i="1"/>
  <c r="BA20" i="1"/>
  <c r="G20" i="1"/>
  <c r="DT12" i="1" l="1"/>
  <c r="F21" i="14"/>
  <c r="BA12" i="1"/>
  <c r="G12" i="14" s="1"/>
  <c r="G20" i="14"/>
  <c r="DL12" i="1"/>
  <c r="D20" i="14"/>
  <c r="BB12" i="1"/>
  <c r="H12" i="14" s="1"/>
  <c r="H20" i="14"/>
  <c r="DS12" i="1"/>
  <c r="E21" i="14"/>
  <c r="DK12" i="1"/>
  <c r="C20" i="14"/>
  <c r="DW20" i="1"/>
  <c r="B14" i="14"/>
  <c r="DM79" i="1"/>
  <c r="DM42" i="1"/>
  <c r="DN42" i="1"/>
  <c r="DM39" i="1"/>
  <c r="DN39" i="1"/>
  <c r="DM40" i="1"/>
  <c r="DN40" i="1"/>
  <c r="DM27" i="1"/>
  <c r="DN27" i="1"/>
  <c r="DM28" i="1"/>
  <c r="DN28" i="1"/>
  <c r="DM29" i="1"/>
  <c r="DN29" i="1"/>
  <c r="DM30" i="1"/>
  <c r="DN30" i="1"/>
  <c r="DM31" i="1"/>
  <c r="DN31" i="1"/>
  <c r="DM34" i="1"/>
  <c r="DN34" i="1"/>
  <c r="DM35" i="1"/>
  <c r="DN35" i="1"/>
  <c r="DM36" i="1"/>
  <c r="DN36" i="1"/>
  <c r="DM21" i="1"/>
  <c r="DN21" i="1"/>
  <c r="DM22" i="1"/>
  <c r="DN22" i="1"/>
  <c r="BC32" i="1"/>
  <c r="BD32" i="1"/>
  <c r="BG32" i="1"/>
  <c r="BI32" i="1" s="1"/>
  <c r="BH32" i="1"/>
  <c r="BJ32" i="1" s="1"/>
  <c r="BK32" i="1"/>
  <c r="BL32" i="1"/>
  <c r="BM32" i="1"/>
  <c r="BN32" i="1"/>
  <c r="BQ32" i="1"/>
  <c r="BR32" i="1"/>
  <c r="BS32" i="1"/>
  <c r="BT32" i="1"/>
  <c r="BW32" i="1"/>
  <c r="BX32" i="1"/>
  <c r="BY32" i="1"/>
  <c r="BZ32" i="1"/>
  <c r="CC32" i="1"/>
  <c r="CD32" i="1"/>
  <c r="CE32" i="1"/>
  <c r="CF32" i="1"/>
  <c r="CI32" i="1"/>
  <c r="CJ32" i="1"/>
  <c r="CK32" i="1"/>
  <c r="CL32" i="1"/>
  <c r="CO32" i="1"/>
  <c r="CP32" i="1"/>
  <c r="CQ32" i="1"/>
  <c r="CR32" i="1"/>
  <c r="CU32" i="1"/>
  <c r="CV32" i="1"/>
  <c r="CW32" i="1"/>
  <c r="CX32" i="1"/>
  <c r="DA32" i="1"/>
  <c r="DB32" i="1"/>
  <c r="DC32" i="1"/>
  <c r="DD32" i="1"/>
  <c r="DG32" i="1"/>
  <c r="DH32" i="1"/>
  <c r="DI32" i="1"/>
  <c r="DJ32" i="1"/>
  <c r="DM32" i="1"/>
  <c r="DN32" i="1"/>
  <c r="DO32" i="1"/>
  <c r="DP32" i="1"/>
  <c r="DQ32" i="1"/>
  <c r="DR32" i="1"/>
  <c r="E13" i="14" l="1"/>
  <c r="F13" i="14"/>
  <c r="BO32" i="1"/>
  <c r="BU32" i="1" s="1"/>
  <c r="CA32" i="1" s="1"/>
  <c r="CG32" i="1" s="1"/>
  <c r="CM32" i="1" s="1"/>
  <c r="CS32" i="1" s="1"/>
  <c r="CY32" i="1" s="1"/>
  <c r="DE32" i="1" s="1"/>
  <c r="BP32" i="1"/>
  <c r="BV32" i="1" s="1"/>
  <c r="CB32" i="1" s="1"/>
  <c r="CH32" i="1" s="1"/>
  <c r="CN32" i="1" s="1"/>
  <c r="CT32" i="1" s="1"/>
  <c r="CZ32" i="1" s="1"/>
  <c r="DF32" i="1" s="1"/>
  <c r="AW115" i="1"/>
  <c r="DW100" i="1"/>
  <c r="DX100" i="1"/>
  <c r="DW14" i="1"/>
  <c r="DX14" i="1"/>
  <c r="DN18" i="1"/>
  <c r="DN20" i="1"/>
  <c r="DM121" i="1"/>
  <c r="DN121" i="1"/>
  <c r="DM122" i="1"/>
  <c r="DN122" i="1"/>
  <c r="DM123" i="1"/>
  <c r="DN123" i="1"/>
  <c r="DM124" i="1"/>
  <c r="DN124" i="1"/>
  <c r="DM125" i="1"/>
  <c r="DN125" i="1"/>
  <c r="DM126" i="1"/>
  <c r="DN126" i="1"/>
  <c r="DM127" i="1"/>
  <c r="DN127" i="1"/>
  <c r="DN120" i="1"/>
  <c r="DM120" i="1"/>
  <c r="DM116" i="1"/>
  <c r="DN116" i="1"/>
  <c r="DM117" i="1"/>
  <c r="DN117" i="1"/>
  <c r="DN115" i="1"/>
  <c r="DM115" i="1"/>
  <c r="DM92" i="1"/>
  <c r="DN92" i="1"/>
  <c r="DM93" i="1"/>
  <c r="DN93" i="1"/>
  <c r="DM94" i="1"/>
  <c r="DN94" i="1"/>
  <c r="DM95" i="1"/>
  <c r="DN95" i="1"/>
  <c r="DM96" i="1"/>
  <c r="DN96" i="1"/>
  <c r="DM97" i="1"/>
  <c r="DN97" i="1"/>
  <c r="DM98" i="1"/>
  <c r="DN98" i="1"/>
  <c r="DM99" i="1"/>
  <c r="DN99" i="1"/>
  <c r="DM100" i="1"/>
  <c r="DN100" i="1"/>
  <c r="DM102" i="1"/>
  <c r="DN102" i="1"/>
  <c r="DM103" i="1"/>
  <c r="DN103" i="1"/>
  <c r="DM104" i="1"/>
  <c r="DN104" i="1"/>
  <c r="DM105" i="1"/>
  <c r="DN105" i="1"/>
  <c r="DM106" i="1"/>
  <c r="DN106" i="1"/>
  <c r="DM107" i="1"/>
  <c r="DN107" i="1"/>
  <c r="DM108" i="1"/>
  <c r="DN108" i="1"/>
  <c r="DN79" i="1"/>
  <c r="DM80" i="1"/>
  <c r="DN80" i="1"/>
  <c r="DM82" i="1"/>
  <c r="DN82" i="1"/>
  <c r="DM83" i="1"/>
  <c r="DN83" i="1"/>
  <c r="DM85" i="1"/>
  <c r="DN85" i="1"/>
  <c r="DM86" i="1"/>
  <c r="DN86" i="1"/>
  <c r="DM13" i="1"/>
  <c r="DN13" i="1"/>
  <c r="DM14" i="1"/>
  <c r="DN14" i="1"/>
  <c r="DM16" i="1"/>
  <c r="DN16" i="1"/>
  <c r="DM17" i="1"/>
  <c r="DN17" i="1"/>
  <c r="DM18" i="1"/>
  <c r="DM20" i="1"/>
  <c r="DM23" i="1"/>
  <c r="DN23" i="1"/>
  <c r="DM24" i="1"/>
  <c r="DN24" i="1"/>
  <c r="DM25" i="1"/>
  <c r="DN25" i="1"/>
  <c r="DM26" i="1"/>
  <c r="DN26" i="1"/>
  <c r="DM33" i="1"/>
  <c r="DN33" i="1"/>
  <c r="DM37" i="1"/>
  <c r="DN37" i="1"/>
  <c r="DM38" i="1"/>
  <c r="DN38" i="1"/>
  <c r="DM41" i="1"/>
  <c r="DN41" i="1"/>
  <c r="DM43" i="1"/>
  <c r="DN43" i="1"/>
  <c r="DM46" i="1"/>
  <c r="DN46" i="1"/>
  <c r="DM47" i="1"/>
  <c r="DN47" i="1"/>
  <c r="DM48" i="1"/>
  <c r="DN48" i="1"/>
  <c r="DM49" i="1"/>
  <c r="DN49" i="1"/>
  <c r="DM50" i="1"/>
  <c r="DN50" i="1"/>
  <c r="DM51" i="1"/>
  <c r="DN51" i="1"/>
  <c r="DM52" i="1"/>
  <c r="DN52" i="1"/>
  <c r="DM53" i="1"/>
  <c r="DN53" i="1"/>
  <c r="DM54" i="1"/>
  <c r="DN54" i="1"/>
  <c r="DM56" i="1"/>
  <c r="DN56" i="1"/>
  <c r="DM58" i="1"/>
  <c r="DN58" i="1"/>
  <c r="DM59" i="1"/>
  <c r="DN59" i="1"/>
  <c r="DM60" i="1"/>
  <c r="DN60" i="1"/>
  <c r="DM61" i="1"/>
  <c r="DN61" i="1"/>
  <c r="DM63" i="1"/>
  <c r="DN63" i="1"/>
  <c r="DM64" i="1"/>
  <c r="DN64" i="1"/>
  <c r="DM65" i="1"/>
  <c r="DN65" i="1"/>
  <c r="DM66" i="1"/>
  <c r="DN66" i="1"/>
  <c r="DM67" i="1"/>
  <c r="DN67" i="1"/>
  <c r="DM68" i="1"/>
  <c r="DN68" i="1"/>
  <c r="DM69" i="1"/>
  <c r="DN69" i="1"/>
  <c r="DM70" i="1"/>
  <c r="DN70" i="1"/>
  <c r="DM71" i="1"/>
  <c r="DN71" i="1"/>
  <c r="DM72" i="1"/>
  <c r="DN72" i="1"/>
  <c r="DM73" i="1"/>
  <c r="DN73" i="1"/>
  <c r="D114" i="1"/>
  <c r="D118" i="1" s="1"/>
  <c r="C114" i="1"/>
  <c r="C118" i="1" s="1"/>
  <c r="D112" i="1"/>
  <c r="C112" i="1"/>
  <c r="D111" i="1"/>
  <c r="C111" i="1"/>
  <c r="D110" i="1"/>
  <c r="C110" i="1"/>
  <c r="D109" i="1"/>
  <c r="C109" i="1"/>
  <c r="D57" i="1"/>
  <c r="D55" i="1" s="1"/>
  <c r="C57" i="1"/>
  <c r="C55" i="1" s="1"/>
  <c r="D12" i="1"/>
  <c r="C12" i="1"/>
  <c r="DK115" i="1"/>
  <c r="DO58" i="1"/>
  <c r="DP58" i="1"/>
  <c r="DQ58" i="1"/>
  <c r="DR58" i="1"/>
  <c r="DO59" i="1"/>
  <c r="DP59" i="1"/>
  <c r="DQ59" i="1"/>
  <c r="DR59" i="1"/>
  <c r="DO61" i="1"/>
  <c r="DP61" i="1"/>
  <c r="DQ61" i="1"/>
  <c r="DR61" i="1"/>
  <c r="DT62" i="1"/>
  <c r="DS62" i="1"/>
  <c r="DL62" i="1"/>
  <c r="DK62" i="1"/>
  <c r="DJ62" i="1"/>
  <c r="DJ57" i="1" s="1"/>
  <c r="DJ55" i="1" s="1"/>
  <c r="DI62" i="1"/>
  <c r="DI57" i="1" s="1"/>
  <c r="DI55" i="1" s="1"/>
  <c r="DH62" i="1"/>
  <c r="DH57" i="1" s="1"/>
  <c r="DH55" i="1" s="1"/>
  <c r="DG62" i="1"/>
  <c r="DG57" i="1" s="1"/>
  <c r="DG55" i="1" s="1"/>
  <c r="DF62" i="1"/>
  <c r="DF57" i="1" s="1"/>
  <c r="DF55" i="1" s="1"/>
  <c r="DE62" i="1"/>
  <c r="DE57" i="1" s="1"/>
  <c r="DE55" i="1" s="1"/>
  <c r="DD62" i="1"/>
  <c r="DD57" i="1" s="1"/>
  <c r="DD55" i="1" s="1"/>
  <c r="DC62" i="1"/>
  <c r="DC57" i="1" s="1"/>
  <c r="DC55" i="1" s="1"/>
  <c r="DB62" i="1"/>
  <c r="DB57" i="1" s="1"/>
  <c r="DB55" i="1" s="1"/>
  <c r="DA62" i="1"/>
  <c r="DA57" i="1" s="1"/>
  <c r="DA55" i="1" s="1"/>
  <c r="CZ62" i="1"/>
  <c r="CZ57" i="1" s="1"/>
  <c r="CZ55" i="1" s="1"/>
  <c r="CY62" i="1"/>
  <c r="CY57" i="1" s="1"/>
  <c r="CY55" i="1" s="1"/>
  <c r="CX62" i="1"/>
  <c r="CX57" i="1" s="1"/>
  <c r="CX55" i="1" s="1"/>
  <c r="CW62" i="1"/>
  <c r="CW57" i="1" s="1"/>
  <c r="CW55" i="1" s="1"/>
  <c r="CV62" i="1"/>
  <c r="CV57" i="1" s="1"/>
  <c r="CV55" i="1" s="1"/>
  <c r="CU62" i="1"/>
  <c r="CU57" i="1" s="1"/>
  <c r="CU55" i="1" s="1"/>
  <c r="CT62" i="1"/>
  <c r="CT57" i="1" s="1"/>
  <c r="CT55" i="1" s="1"/>
  <c r="CS62" i="1"/>
  <c r="CS57" i="1" s="1"/>
  <c r="CS55" i="1" s="1"/>
  <c r="CR62" i="1"/>
  <c r="CR57" i="1" s="1"/>
  <c r="CR55" i="1" s="1"/>
  <c r="CQ62" i="1"/>
  <c r="CQ57" i="1" s="1"/>
  <c r="CQ55" i="1" s="1"/>
  <c r="CP62" i="1"/>
  <c r="CP57" i="1" s="1"/>
  <c r="CP55" i="1" s="1"/>
  <c r="CO62" i="1"/>
  <c r="CO57" i="1" s="1"/>
  <c r="CO55" i="1" s="1"/>
  <c r="CN62" i="1"/>
  <c r="CN57" i="1" s="1"/>
  <c r="CN55" i="1" s="1"/>
  <c r="CM62" i="1"/>
  <c r="CM57" i="1" s="1"/>
  <c r="CM55" i="1" s="1"/>
  <c r="CL62" i="1"/>
  <c r="CL57" i="1" s="1"/>
  <c r="CL55" i="1" s="1"/>
  <c r="CK62" i="1"/>
  <c r="CK57" i="1" s="1"/>
  <c r="CK55" i="1" s="1"/>
  <c r="CJ62" i="1"/>
  <c r="CJ57" i="1" s="1"/>
  <c r="CJ55" i="1" s="1"/>
  <c r="CI62" i="1"/>
  <c r="CI57" i="1" s="1"/>
  <c r="CI55" i="1" s="1"/>
  <c r="CH62" i="1"/>
  <c r="CH57" i="1" s="1"/>
  <c r="CH55" i="1" s="1"/>
  <c r="CG62" i="1"/>
  <c r="CG57" i="1" s="1"/>
  <c r="CG55" i="1" s="1"/>
  <c r="CF62" i="1"/>
  <c r="CF57" i="1" s="1"/>
  <c r="CF55" i="1" s="1"/>
  <c r="CE62" i="1"/>
  <c r="CE57" i="1" s="1"/>
  <c r="CE55" i="1" s="1"/>
  <c r="CD62" i="1"/>
  <c r="CD57" i="1" s="1"/>
  <c r="CD55" i="1" s="1"/>
  <c r="CC62" i="1"/>
  <c r="CC57" i="1" s="1"/>
  <c r="CC55" i="1" s="1"/>
  <c r="CB62" i="1"/>
  <c r="CB57" i="1" s="1"/>
  <c r="CB55" i="1" s="1"/>
  <c r="CA62" i="1"/>
  <c r="CA57" i="1" s="1"/>
  <c r="CA55" i="1" s="1"/>
  <c r="BZ62" i="1"/>
  <c r="BZ57" i="1" s="1"/>
  <c r="BZ55" i="1" s="1"/>
  <c r="BY62" i="1"/>
  <c r="BY57" i="1" s="1"/>
  <c r="BY55" i="1" s="1"/>
  <c r="BX62" i="1"/>
  <c r="BX57" i="1" s="1"/>
  <c r="BX55" i="1" s="1"/>
  <c r="BW62" i="1"/>
  <c r="BW57" i="1" s="1"/>
  <c r="BW55" i="1" s="1"/>
  <c r="BV62" i="1"/>
  <c r="BV57" i="1" s="1"/>
  <c r="BV55" i="1" s="1"/>
  <c r="BU62" i="1"/>
  <c r="BU57" i="1" s="1"/>
  <c r="BU55" i="1" s="1"/>
  <c r="BT62" i="1"/>
  <c r="BT57" i="1" s="1"/>
  <c r="BT55" i="1" s="1"/>
  <c r="BS62" i="1"/>
  <c r="BS57" i="1" s="1"/>
  <c r="BS55" i="1" s="1"/>
  <c r="BR62" i="1"/>
  <c r="BR57" i="1" s="1"/>
  <c r="BR55" i="1" s="1"/>
  <c r="BQ62" i="1"/>
  <c r="BQ57" i="1" s="1"/>
  <c r="BQ55" i="1" s="1"/>
  <c r="BP62" i="1"/>
  <c r="BP57" i="1" s="1"/>
  <c r="BP55" i="1" s="1"/>
  <c r="BO62" i="1"/>
  <c r="BO57" i="1" s="1"/>
  <c r="BO55" i="1" s="1"/>
  <c r="BN62" i="1"/>
  <c r="BN57" i="1" s="1"/>
  <c r="BN55" i="1" s="1"/>
  <c r="BM62" i="1"/>
  <c r="BM57" i="1" s="1"/>
  <c r="BM55" i="1" s="1"/>
  <c r="BL62" i="1"/>
  <c r="BL57" i="1" s="1"/>
  <c r="BL55" i="1" s="1"/>
  <c r="BK62" i="1"/>
  <c r="BK57" i="1" s="1"/>
  <c r="BK55" i="1" s="1"/>
  <c r="BJ62" i="1"/>
  <c r="BJ57" i="1" s="1"/>
  <c r="BJ55" i="1" s="1"/>
  <c r="BI62" i="1"/>
  <c r="BI57" i="1" s="1"/>
  <c r="BI55" i="1" s="1"/>
  <c r="BH62" i="1"/>
  <c r="BH57" i="1" s="1"/>
  <c r="BH55" i="1" s="1"/>
  <c r="BG62" i="1"/>
  <c r="BG57" i="1" s="1"/>
  <c r="BG55" i="1" s="1"/>
  <c r="BF62" i="1"/>
  <c r="BF57" i="1" s="1"/>
  <c r="BF55" i="1" s="1"/>
  <c r="BE62" i="1"/>
  <c r="BE57" i="1" s="1"/>
  <c r="BE55" i="1" s="1"/>
  <c r="BD62" i="1"/>
  <c r="BD57" i="1" s="1"/>
  <c r="BD55" i="1" s="1"/>
  <c r="BC62" i="1"/>
  <c r="BC57" i="1" s="1"/>
  <c r="BC55" i="1" s="1"/>
  <c r="BB62" i="1"/>
  <c r="BA62" i="1"/>
  <c r="AZ62" i="1"/>
  <c r="AZ57" i="1" s="1"/>
  <c r="AZ55" i="1" s="1"/>
  <c r="AY62" i="1"/>
  <c r="AY57" i="1" s="1"/>
  <c r="AY55" i="1" s="1"/>
  <c r="AX62" i="1"/>
  <c r="AX57" i="1" s="1"/>
  <c r="AX55" i="1" s="1"/>
  <c r="AW62" i="1"/>
  <c r="AW57" i="1" s="1"/>
  <c r="AW55" i="1" s="1"/>
  <c r="AV62" i="1"/>
  <c r="AV57" i="1" s="1"/>
  <c r="AV55" i="1" s="1"/>
  <c r="AU62" i="1"/>
  <c r="AU57" i="1" s="1"/>
  <c r="AU55" i="1" s="1"/>
  <c r="AT62" i="1"/>
  <c r="AT57" i="1" s="1"/>
  <c r="AT55" i="1" s="1"/>
  <c r="AS62" i="1"/>
  <c r="AS57" i="1" s="1"/>
  <c r="AS55" i="1" s="1"/>
  <c r="AR62" i="1"/>
  <c r="AR57" i="1" s="1"/>
  <c r="AR55" i="1" s="1"/>
  <c r="AQ62" i="1"/>
  <c r="AQ57" i="1" s="1"/>
  <c r="AQ55" i="1" s="1"/>
  <c r="AP62" i="1"/>
  <c r="AP57" i="1" s="1"/>
  <c r="AP55" i="1" s="1"/>
  <c r="AO62" i="1"/>
  <c r="AO57" i="1" s="1"/>
  <c r="AO55" i="1" s="1"/>
  <c r="AN62" i="1"/>
  <c r="AN57" i="1" s="1"/>
  <c r="AN55" i="1" s="1"/>
  <c r="AM62" i="1"/>
  <c r="AM57" i="1" s="1"/>
  <c r="AM55" i="1" s="1"/>
  <c r="AL62" i="1"/>
  <c r="AL57" i="1" s="1"/>
  <c r="AL55" i="1" s="1"/>
  <c r="AK62" i="1"/>
  <c r="AK57" i="1" s="1"/>
  <c r="AK55" i="1" s="1"/>
  <c r="AJ62" i="1"/>
  <c r="AJ57" i="1" s="1"/>
  <c r="AJ55" i="1" s="1"/>
  <c r="AI62" i="1"/>
  <c r="AI57" i="1" s="1"/>
  <c r="AI55" i="1" s="1"/>
  <c r="AH62" i="1"/>
  <c r="AH57" i="1" s="1"/>
  <c r="AH55" i="1" s="1"/>
  <c r="AG62" i="1"/>
  <c r="AG57" i="1" s="1"/>
  <c r="AG55" i="1" s="1"/>
  <c r="AF62" i="1"/>
  <c r="AF57" i="1" s="1"/>
  <c r="AF55" i="1" s="1"/>
  <c r="AE62" i="1"/>
  <c r="AE57" i="1" s="1"/>
  <c r="AE55" i="1" s="1"/>
  <c r="AD62" i="1"/>
  <c r="AD57" i="1" s="1"/>
  <c r="AD55" i="1" s="1"/>
  <c r="AC62" i="1"/>
  <c r="AC57" i="1" s="1"/>
  <c r="AC55" i="1" s="1"/>
  <c r="AB62" i="1"/>
  <c r="AB57" i="1" s="1"/>
  <c r="AB55" i="1" s="1"/>
  <c r="AA62" i="1"/>
  <c r="AA57" i="1" s="1"/>
  <c r="AA55" i="1" s="1"/>
  <c r="Z62" i="1"/>
  <c r="Z57" i="1" s="1"/>
  <c r="Z55" i="1" s="1"/>
  <c r="Y62" i="1"/>
  <c r="Y57" i="1" s="1"/>
  <c r="Y55" i="1" s="1"/>
  <c r="X62" i="1"/>
  <c r="X57" i="1" s="1"/>
  <c r="X55" i="1" s="1"/>
  <c r="W62" i="1"/>
  <c r="W57" i="1" s="1"/>
  <c r="W55" i="1" s="1"/>
  <c r="V62" i="1"/>
  <c r="V57" i="1" s="1"/>
  <c r="V55" i="1" s="1"/>
  <c r="U62" i="1"/>
  <c r="U57" i="1" s="1"/>
  <c r="U55" i="1" s="1"/>
  <c r="T62" i="1"/>
  <c r="T57" i="1" s="1"/>
  <c r="T55" i="1" s="1"/>
  <c r="S62" i="1"/>
  <c r="S57" i="1" s="1"/>
  <c r="S55" i="1" s="1"/>
  <c r="R62" i="1"/>
  <c r="R57" i="1" s="1"/>
  <c r="R55" i="1" s="1"/>
  <c r="Q62" i="1"/>
  <c r="Q57" i="1" s="1"/>
  <c r="Q55" i="1" s="1"/>
  <c r="P62" i="1"/>
  <c r="P57" i="1" s="1"/>
  <c r="P55" i="1" s="1"/>
  <c r="O62" i="1"/>
  <c r="O57" i="1" s="1"/>
  <c r="O55" i="1" s="1"/>
  <c r="N62" i="1"/>
  <c r="N57" i="1" s="1"/>
  <c r="N55" i="1" s="1"/>
  <c r="M62" i="1"/>
  <c r="M57" i="1" s="1"/>
  <c r="M55" i="1" s="1"/>
  <c r="L62" i="1"/>
  <c r="L57" i="1" s="1"/>
  <c r="L55" i="1" s="1"/>
  <c r="K62" i="1"/>
  <c r="K57" i="1" s="1"/>
  <c r="K55" i="1" s="1"/>
  <c r="J62" i="1"/>
  <c r="J57" i="1" s="1"/>
  <c r="J55" i="1" s="1"/>
  <c r="I62" i="1"/>
  <c r="I57" i="1" s="1"/>
  <c r="I55" i="1" s="1"/>
  <c r="H62" i="1"/>
  <c r="H57" i="1" s="1"/>
  <c r="H55" i="1" s="1"/>
  <c r="G62" i="1"/>
  <c r="F57" i="1"/>
  <c r="F55" i="1" s="1"/>
  <c r="E57" i="1"/>
  <c r="E55" i="1" s="1"/>
  <c r="DL57" i="1" l="1"/>
  <c r="DL55" i="1" s="1"/>
  <c r="DN55" i="1" s="1"/>
  <c r="D62" i="14"/>
  <c r="DK57" i="1"/>
  <c r="DK55" i="1" s="1"/>
  <c r="DM55" i="1" s="1"/>
  <c r="C62" i="14"/>
  <c r="F63" i="14"/>
  <c r="H62" i="14"/>
  <c r="E63" i="14"/>
  <c r="G62" i="14"/>
  <c r="DS57" i="1"/>
  <c r="DS55" i="1" s="1"/>
  <c r="DW62" i="1"/>
  <c r="DT57" i="1"/>
  <c r="DT55" i="1" s="1"/>
  <c r="DX62" i="1"/>
  <c r="BB57" i="1"/>
  <c r="BA57" i="1"/>
  <c r="C11" i="1"/>
  <c r="C10" i="1"/>
  <c r="C74" i="1" s="1"/>
  <c r="D10" i="1"/>
  <c r="D74" i="1" s="1"/>
  <c r="DM62" i="1"/>
  <c r="DN62" i="1"/>
  <c r="D11" i="1"/>
  <c r="G57" i="1"/>
  <c r="DT45" i="1"/>
  <c r="DS45" i="1"/>
  <c r="DL45" i="1"/>
  <c r="DK45" i="1"/>
  <c r="DJ45" i="1"/>
  <c r="DJ44" i="1" s="1"/>
  <c r="DI45" i="1"/>
  <c r="DI44" i="1" s="1"/>
  <c r="DH45" i="1"/>
  <c r="DH44" i="1" s="1"/>
  <c r="DG45" i="1"/>
  <c r="DG44" i="1" s="1"/>
  <c r="DF45" i="1"/>
  <c r="DF44" i="1" s="1"/>
  <c r="DE45" i="1"/>
  <c r="DE44" i="1" s="1"/>
  <c r="DD45" i="1"/>
  <c r="DD44" i="1" s="1"/>
  <c r="DC45" i="1"/>
  <c r="DC44" i="1" s="1"/>
  <c r="DB45" i="1"/>
  <c r="DB44" i="1" s="1"/>
  <c r="DA45" i="1"/>
  <c r="DA44" i="1" s="1"/>
  <c r="CZ45" i="1"/>
  <c r="CZ44" i="1" s="1"/>
  <c r="CY45" i="1"/>
  <c r="CY44" i="1" s="1"/>
  <c r="CX45" i="1"/>
  <c r="CX44" i="1" s="1"/>
  <c r="CW45" i="1"/>
  <c r="CW44" i="1" s="1"/>
  <c r="CV45" i="1"/>
  <c r="CV44" i="1" s="1"/>
  <c r="CU45" i="1"/>
  <c r="CU44" i="1" s="1"/>
  <c r="CT45" i="1"/>
  <c r="CT44" i="1" s="1"/>
  <c r="CS45" i="1"/>
  <c r="CS44" i="1" s="1"/>
  <c r="CR45" i="1"/>
  <c r="CR44" i="1" s="1"/>
  <c r="CQ45" i="1"/>
  <c r="CQ44" i="1" s="1"/>
  <c r="CP45" i="1"/>
  <c r="CP44" i="1" s="1"/>
  <c r="CO45" i="1"/>
  <c r="CO44" i="1" s="1"/>
  <c r="CN45" i="1"/>
  <c r="CN44" i="1" s="1"/>
  <c r="CM45" i="1"/>
  <c r="CM44" i="1" s="1"/>
  <c r="CL45" i="1"/>
  <c r="CL44" i="1" s="1"/>
  <c r="CK45" i="1"/>
  <c r="CK44" i="1" s="1"/>
  <c r="CJ45" i="1"/>
  <c r="CJ44" i="1" s="1"/>
  <c r="CI45" i="1"/>
  <c r="CI44" i="1" s="1"/>
  <c r="CH45" i="1"/>
  <c r="CH44" i="1" s="1"/>
  <c r="CG45" i="1"/>
  <c r="CG44" i="1" s="1"/>
  <c r="CF45" i="1"/>
  <c r="CF44" i="1" s="1"/>
  <c r="CE45" i="1"/>
  <c r="CE44" i="1" s="1"/>
  <c r="CD45" i="1"/>
  <c r="CD44" i="1" s="1"/>
  <c r="CC45" i="1"/>
  <c r="CC44" i="1" s="1"/>
  <c r="CB45" i="1"/>
  <c r="CB44" i="1" s="1"/>
  <c r="CA45" i="1"/>
  <c r="CA44" i="1" s="1"/>
  <c r="BZ45" i="1"/>
  <c r="BZ44" i="1" s="1"/>
  <c r="BY45" i="1"/>
  <c r="BY44" i="1" s="1"/>
  <c r="BX45" i="1"/>
  <c r="BX44" i="1" s="1"/>
  <c r="BW45" i="1"/>
  <c r="BW44" i="1" s="1"/>
  <c r="BV45" i="1"/>
  <c r="BV44" i="1" s="1"/>
  <c r="BU45" i="1"/>
  <c r="BU44" i="1" s="1"/>
  <c r="BT45" i="1"/>
  <c r="BT44" i="1" s="1"/>
  <c r="BS45" i="1"/>
  <c r="BS44" i="1" s="1"/>
  <c r="BR45" i="1"/>
  <c r="BR44" i="1" s="1"/>
  <c r="BQ45" i="1"/>
  <c r="BQ44" i="1" s="1"/>
  <c r="BP45" i="1"/>
  <c r="BP44" i="1" s="1"/>
  <c r="BO45" i="1"/>
  <c r="BO44" i="1" s="1"/>
  <c r="BN45" i="1"/>
  <c r="BN44" i="1" s="1"/>
  <c r="BM45" i="1"/>
  <c r="BM44" i="1" s="1"/>
  <c r="BL45" i="1"/>
  <c r="BL44" i="1" s="1"/>
  <c r="BK45" i="1"/>
  <c r="BK44" i="1" s="1"/>
  <c r="BJ45" i="1"/>
  <c r="BJ44" i="1" s="1"/>
  <c r="BI45" i="1"/>
  <c r="BI44" i="1" s="1"/>
  <c r="BH45" i="1"/>
  <c r="BH44" i="1" s="1"/>
  <c r="BG45" i="1"/>
  <c r="BG44" i="1" s="1"/>
  <c r="BF45" i="1"/>
  <c r="BF44" i="1" s="1"/>
  <c r="BE45" i="1"/>
  <c r="BE44" i="1" s="1"/>
  <c r="BD45" i="1"/>
  <c r="BD44" i="1" s="1"/>
  <c r="BC45" i="1"/>
  <c r="BC44" i="1" s="1"/>
  <c r="BB45" i="1"/>
  <c r="BA45" i="1"/>
  <c r="AZ45" i="1"/>
  <c r="AZ44" i="1" s="1"/>
  <c r="AY45" i="1"/>
  <c r="AY44" i="1" s="1"/>
  <c r="AX45" i="1"/>
  <c r="AW45" i="1"/>
  <c r="AV45" i="1"/>
  <c r="AV44" i="1" s="1"/>
  <c r="AU45" i="1"/>
  <c r="AU44" i="1" s="1"/>
  <c r="AT45" i="1"/>
  <c r="AT44" i="1" s="1"/>
  <c r="AS45" i="1"/>
  <c r="AS44" i="1" s="1"/>
  <c r="AR45" i="1"/>
  <c r="AR44" i="1" s="1"/>
  <c r="AQ45" i="1"/>
  <c r="AQ44" i="1" s="1"/>
  <c r="AP45" i="1"/>
  <c r="AP44" i="1" s="1"/>
  <c r="AO45" i="1"/>
  <c r="AO44" i="1" s="1"/>
  <c r="AN45" i="1"/>
  <c r="AN44" i="1" s="1"/>
  <c r="AM45" i="1"/>
  <c r="AM44" i="1" s="1"/>
  <c r="AL45" i="1"/>
  <c r="AL44" i="1" s="1"/>
  <c r="AK45" i="1"/>
  <c r="AK44" i="1" s="1"/>
  <c r="AJ45" i="1"/>
  <c r="AJ44" i="1" s="1"/>
  <c r="AI45" i="1"/>
  <c r="AI44" i="1" s="1"/>
  <c r="AH45" i="1"/>
  <c r="AH44" i="1" s="1"/>
  <c r="AG45" i="1"/>
  <c r="AG44" i="1" s="1"/>
  <c r="AF45" i="1"/>
  <c r="AF44" i="1" s="1"/>
  <c r="AE45" i="1"/>
  <c r="AE44" i="1" s="1"/>
  <c r="AD45" i="1"/>
  <c r="AD44" i="1" s="1"/>
  <c r="AC45" i="1"/>
  <c r="AC44" i="1" s="1"/>
  <c r="AB45" i="1"/>
  <c r="AB44" i="1" s="1"/>
  <c r="AA45" i="1"/>
  <c r="AA44" i="1" s="1"/>
  <c r="Z45" i="1"/>
  <c r="Z44" i="1" s="1"/>
  <c r="Y45" i="1"/>
  <c r="Y44" i="1" s="1"/>
  <c r="X45" i="1"/>
  <c r="X44" i="1" s="1"/>
  <c r="W45" i="1"/>
  <c r="W44" i="1" s="1"/>
  <c r="V45" i="1"/>
  <c r="V44" i="1" s="1"/>
  <c r="U45" i="1"/>
  <c r="U44" i="1" s="1"/>
  <c r="T45" i="1"/>
  <c r="T44" i="1" s="1"/>
  <c r="S45" i="1"/>
  <c r="S44" i="1" s="1"/>
  <c r="R45" i="1"/>
  <c r="R44" i="1" s="1"/>
  <c r="Q45" i="1"/>
  <c r="Q44" i="1" s="1"/>
  <c r="P45" i="1"/>
  <c r="P44" i="1" s="1"/>
  <c r="O45" i="1"/>
  <c r="O44" i="1" s="1"/>
  <c r="N45" i="1"/>
  <c r="N44" i="1" s="1"/>
  <c r="M45" i="1"/>
  <c r="M44" i="1" s="1"/>
  <c r="L45" i="1"/>
  <c r="L44" i="1" s="1"/>
  <c r="K45" i="1"/>
  <c r="K44" i="1" s="1"/>
  <c r="J45" i="1"/>
  <c r="J44" i="1" s="1"/>
  <c r="I45" i="1"/>
  <c r="I44" i="1" s="1"/>
  <c r="H45" i="1"/>
  <c r="H44" i="1" s="1"/>
  <c r="G45" i="1"/>
  <c r="DM57" i="1" l="1"/>
  <c r="DN57" i="1"/>
  <c r="BA44" i="1"/>
  <c r="G44" i="14" s="1"/>
  <c r="G45" i="14"/>
  <c r="BB44" i="1"/>
  <c r="H44" i="14" s="1"/>
  <c r="H45" i="14"/>
  <c r="DT44" i="1"/>
  <c r="F46" i="14"/>
  <c r="DS44" i="1"/>
  <c r="DS10" i="1" s="1"/>
  <c r="DS74" i="1" s="1"/>
  <c r="E46" i="14"/>
  <c r="BB55" i="1"/>
  <c r="F58" i="14"/>
  <c r="BA55" i="1"/>
  <c r="E58" i="14"/>
  <c r="DL44" i="1"/>
  <c r="D45" i="14"/>
  <c r="DK44" i="1"/>
  <c r="C45" i="14"/>
  <c r="D77" i="1"/>
  <c r="C77" i="1"/>
  <c r="DX57" i="1"/>
  <c r="DW57" i="1"/>
  <c r="DX45" i="1"/>
  <c r="DW45" i="1"/>
  <c r="DN45" i="1"/>
  <c r="G55" i="1"/>
  <c r="DX55" i="1" s="1"/>
  <c r="AW44" i="1"/>
  <c r="DM45" i="1"/>
  <c r="G44" i="1"/>
  <c r="AX44" i="1"/>
  <c r="DO47" i="1"/>
  <c r="DP47" i="1"/>
  <c r="DQ47" i="1"/>
  <c r="DR47" i="1"/>
  <c r="DO73" i="1"/>
  <c r="DP73" i="1"/>
  <c r="DQ73" i="1"/>
  <c r="DR73" i="1"/>
  <c r="DV127" i="1"/>
  <c r="DU127" i="1"/>
  <c r="DR127" i="1"/>
  <c r="DQ127" i="1"/>
  <c r="DP127" i="1"/>
  <c r="DO127" i="1"/>
  <c r="DR126" i="1"/>
  <c r="DQ126" i="1"/>
  <c r="DP126" i="1"/>
  <c r="DO126" i="1"/>
  <c r="DR125" i="1"/>
  <c r="DQ125" i="1"/>
  <c r="DP125" i="1"/>
  <c r="DO125" i="1"/>
  <c r="DV124" i="1"/>
  <c r="DU124" i="1"/>
  <c r="DR124" i="1"/>
  <c r="DQ124" i="1"/>
  <c r="DP124" i="1"/>
  <c r="DO124" i="1"/>
  <c r="DV123" i="1"/>
  <c r="DU120" i="1"/>
  <c r="DU121" i="1"/>
  <c r="DU123" i="1"/>
  <c r="DV122" i="1"/>
  <c r="DU122" i="1"/>
  <c r="DV121" i="1"/>
  <c r="DV120" i="1"/>
  <c r="DL117" i="1"/>
  <c r="DK117" i="1"/>
  <c r="DL116" i="1"/>
  <c r="DK116" i="1"/>
  <c r="DL115" i="1"/>
  <c r="AX117" i="1"/>
  <c r="AW117" i="1"/>
  <c r="AX116" i="1"/>
  <c r="AW116" i="1"/>
  <c r="AX115" i="1"/>
  <c r="DT114" i="1"/>
  <c r="DS114" i="1"/>
  <c r="BB114" i="1"/>
  <c r="BA114" i="1"/>
  <c r="F114" i="1"/>
  <c r="F118" i="1" s="1"/>
  <c r="G114" i="1"/>
  <c r="H114" i="1"/>
  <c r="E114" i="1"/>
  <c r="E118" i="1" s="1"/>
  <c r="E11" i="1"/>
  <c r="F11" i="1"/>
  <c r="BG117" i="8"/>
  <c r="BG116" i="8"/>
  <c r="BG115" i="8"/>
  <c r="BD117" i="8"/>
  <c r="BD116" i="8"/>
  <c r="BD115" i="8"/>
  <c r="AR117" i="8"/>
  <c r="AR116" i="8"/>
  <c r="AR115" i="8"/>
  <c r="AL117" i="8"/>
  <c r="AL116" i="8"/>
  <c r="AL115" i="8"/>
  <c r="AI117" i="8"/>
  <c r="AI116" i="8"/>
  <c r="AI115" i="8"/>
  <c r="AF117" i="8"/>
  <c r="AF116" i="8"/>
  <c r="AF115" i="8"/>
  <c r="AF114" i="8"/>
  <c r="BG117" i="9"/>
  <c r="BG116" i="9"/>
  <c r="BG115" i="9"/>
  <c r="BD117" i="9"/>
  <c r="BD116" i="9"/>
  <c r="BD115" i="9"/>
  <c r="BG117" i="10"/>
  <c r="BG116" i="10"/>
  <c r="BG115" i="10"/>
  <c r="BD117" i="10"/>
  <c r="BD116" i="10"/>
  <c r="BD115" i="10"/>
  <c r="AX117" i="9"/>
  <c r="AX116" i="9"/>
  <c r="AX115" i="9"/>
  <c r="AX117" i="10"/>
  <c r="AX116" i="10"/>
  <c r="AX115" i="10"/>
  <c r="AR117" i="9"/>
  <c r="AR116" i="9"/>
  <c r="AR115" i="9"/>
  <c r="AR117" i="10"/>
  <c r="AR116" i="10"/>
  <c r="AR115" i="10"/>
  <c r="AL117" i="9"/>
  <c r="AL116" i="9"/>
  <c r="AL115" i="9"/>
  <c r="AL117" i="10"/>
  <c r="AL116" i="10"/>
  <c r="AL115" i="10"/>
  <c r="AI117" i="9"/>
  <c r="AI116" i="9"/>
  <c r="AI115" i="9"/>
  <c r="AI117" i="10"/>
  <c r="AI116" i="10"/>
  <c r="AI115" i="10"/>
  <c r="AF117" i="9"/>
  <c r="AF116" i="9"/>
  <c r="AF115" i="9"/>
  <c r="AF114" i="9"/>
  <c r="AF117" i="10"/>
  <c r="AF116" i="10"/>
  <c r="AF115" i="10"/>
  <c r="AF114" i="10"/>
  <c r="BI94" i="9"/>
  <c r="BJ94" i="9"/>
  <c r="BI94" i="10"/>
  <c r="BJ94" i="10"/>
  <c r="BI94" i="8"/>
  <c r="BJ94" i="8"/>
  <c r="B14" i="1"/>
  <c r="DS87" i="1" l="1"/>
  <c r="DW44" i="1"/>
  <c r="E44" i="14"/>
  <c r="F44" i="14"/>
  <c r="F45" i="14"/>
  <c r="E45" i="14"/>
  <c r="D44" i="14"/>
  <c r="C44" i="14"/>
  <c r="DN44" i="1"/>
  <c r="DM44" i="1"/>
  <c r="DX44" i="1"/>
  <c r="DW55" i="1"/>
  <c r="DU114" i="1"/>
  <c r="AX114" i="1"/>
  <c r="AW114" i="1"/>
  <c r="DM114" i="1"/>
  <c r="DK114" i="1"/>
  <c r="DL114" i="1"/>
  <c r="DN114" i="1"/>
  <c r="DV114" i="1"/>
  <c r="Y117" i="10"/>
  <c r="Y116" i="10"/>
  <c r="Y115" i="10"/>
  <c r="W117" i="10"/>
  <c r="BA117" i="10" s="1"/>
  <c r="W116" i="10"/>
  <c r="BA116" i="10" s="1"/>
  <c r="W115" i="10"/>
  <c r="BA115" i="10" s="1"/>
  <c r="U117" i="10"/>
  <c r="U116" i="10"/>
  <c r="U115" i="10"/>
  <c r="S117" i="10"/>
  <c r="S116" i="10"/>
  <c r="S115" i="10"/>
  <c r="Q117" i="10"/>
  <c r="Q116" i="10"/>
  <c r="Q115" i="10"/>
  <c r="O117" i="10"/>
  <c r="O116" i="10"/>
  <c r="O115" i="10"/>
  <c r="M117" i="10"/>
  <c r="M116" i="10"/>
  <c r="M115" i="10"/>
  <c r="K117" i="10"/>
  <c r="AO117" i="10" s="1"/>
  <c r="K116" i="10"/>
  <c r="AO116" i="10" s="1"/>
  <c r="K115" i="10"/>
  <c r="AO115" i="10" s="1"/>
  <c r="Y117" i="9"/>
  <c r="Y116" i="9"/>
  <c r="Y115" i="9"/>
  <c r="W117" i="9"/>
  <c r="BA117" i="9" s="1"/>
  <c r="W116" i="9"/>
  <c r="BA116" i="9" s="1"/>
  <c r="W115" i="9"/>
  <c r="BA115" i="9" s="1"/>
  <c r="U117" i="9"/>
  <c r="U116" i="9"/>
  <c r="U115" i="9"/>
  <c r="S117" i="9"/>
  <c r="S116" i="9"/>
  <c r="S115" i="9"/>
  <c r="Q117" i="9"/>
  <c r="Q116" i="9"/>
  <c r="Q115" i="9"/>
  <c r="O117" i="9"/>
  <c r="O116" i="9"/>
  <c r="O115" i="9"/>
  <c r="M117" i="9"/>
  <c r="M116" i="9"/>
  <c r="M115" i="9"/>
  <c r="K117" i="9"/>
  <c r="AO117" i="9" s="1"/>
  <c r="K116" i="9"/>
  <c r="AO116" i="9" s="1"/>
  <c r="K115" i="9"/>
  <c r="AO115" i="9" s="1"/>
  <c r="I115" i="10"/>
  <c r="I115" i="9"/>
  <c r="G115" i="10"/>
  <c r="G115" i="9"/>
  <c r="G116" i="10"/>
  <c r="G117" i="10"/>
  <c r="G116" i="9"/>
  <c r="G117" i="9"/>
  <c r="I116" i="10"/>
  <c r="I117" i="10"/>
  <c r="I116" i="9"/>
  <c r="I117" i="9"/>
  <c r="DB117" i="1"/>
  <c r="DA117" i="1"/>
  <c r="DB116" i="1"/>
  <c r="DA116" i="1"/>
  <c r="DB115" i="1"/>
  <c r="DA115" i="1"/>
  <c r="CP117" i="1"/>
  <c r="CO117" i="1"/>
  <c r="CP116" i="1"/>
  <c r="CO116" i="1"/>
  <c r="CP115" i="1"/>
  <c r="CO115" i="1"/>
  <c r="CB117" i="8"/>
  <c r="CB116" i="8"/>
  <c r="CB115" i="8"/>
  <c r="CD117" i="1"/>
  <c r="CC117" i="1"/>
  <c r="CD116" i="1"/>
  <c r="CC116" i="1"/>
  <c r="CD115" i="1"/>
  <c r="CC115" i="1"/>
  <c r="BP117" i="8"/>
  <c r="BP116" i="8"/>
  <c r="BP115" i="8"/>
  <c r="BR117" i="1"/>
  <c r="BQ117" i="1"/>
  <c r="BR116" i="1"/>
  <c r="BQ116" i="1"/>
  <c r="BR115" i="1"/>
  <c r="BQ115" i="1"/>
  <c r="DJ117" i="8"/>
  <c r="DI117" i="8"/>
  <c r="DJ116" i="8"/>
  <c r="DI116" i="8"/>
  <c r="DJ115" i="8"/>
  <c r="DI115" i="8"/>
  <c r="DD117" i="8"/>
  <c r="DC117" i="8"/>
  <c r="DD116" i="8"/>
  <c r="DC116" i="8"/>
  <c r="DD115" i="8"/>
  <c r="DC115" i="8"/>
  <c r="DF117" i="1"/>
  <c r="DE117" i="1"/>
  <c r="DF116" i="1"/>
  <c r="DE116" i="1"/>
  <c r="DF115" i="1"/>
  <c r="DE115" i="1"/>
  <c r="CX117" i="8"/>
  <c r="CW117" i="8"/>
  <c r="CX116" i="8"/>
  <c r="CW116" i="8"/>
  <c r="CX115" i="8"/>
  <c r="CW115" i="8"/>
  <c r="CR117" i="8"/>
  <c r="CQ117" i="8"/>
  <c r="CR116" i="8"/>
  <c r="CQ116" i="8"/>
  <c r="CR115" i="8"/>
  <c r="CQ115" i="8"/>
  <c r="CZ117" i="1"/>
  <c r="CY117" i="1"/>
  <c r="CZ116" i="1"/>
  <c r="CY116" i="1"/>
  <c r="CZ115" i="1"/>
  <c r="CY115" i="1"/>
  <c r="CT117" i="1"/>
  <c r="CS117" i="1"/>
  <c r="CT116" i="1"/>
  <c r="CV116" i="1" s="1"/>
  <c r="CS116" i="1"/>
  <c r="CU116" i="1" s="1"/>
  <c r="CT115" i="1"/>
  <c r="CV115" i="1" s="1"/>
  <c r="CS115" i="1"/>
  <c r="CU115" i="1" s="1"/>
  <c r="CL117" i="8"/>
  <c r="CL116" i="8"/>
  <c r="CL115" i="8"/>
  <c r="CK115" i="8"/>
  <c r="CF117" i="8"/>
  <c r="CF116" i="8"/>
  <c r="CF115" i="8"/>
  <c r="CE115" i="8"/>
  <c r="CN117" i="1"/>
  <c r="CM117" i="1"/>
  <c r="CN116" i="1"/>
  <c r="CM116" i="1"/>
  <c r="CN115" i="1"/>
  <c r="CM115" i="1"/>
  <c r="CH117" i="1"/>
  <c r="CG117" i="1"/>
  <c r="CH116" i="1"/>
  <c r="CG116" i="1"/>
  <c r="CH115" i="1"/>
  <c r="CG115" i="1"/>
  <c r="BZ117" i="8"/>
  <c r="BZ116" i="8"/>
  <c r="BZ115" i="8"/>
  <c r="BY115" i="8"/>
  <c r="BT117" i="8"/>
  <c r="BT116" i="8"/>
  <c r="BT115" i="8"/>
  <c r="BS115" i="8"/>
  <c r="CB117" i="1"/>
  <c r="CA117" i="1"/>
  <c r="CB116" i="1"/>
  <c r="CA116" i="1"/>
  <c r="CB115" i="1"/>
  <c r="CA115" i="1"/>
  <c r="BV117" i="1"/>
  <c r="BU117" i="1"/>
  <c r="BV116" i="1"/>
  <c r="BU116" i="1"/>
  <c r="BV115" i="1"/>
  <c r="BU115" i="1"/>
  <c r="BP117" i="1"/>
  <c r="BO117" i="1"/>
  <c r="BP116" i="1"/>
  <c r="BO116" i="1"/>
  <c r="BP115" i="1"/>
  <c r="BO115" i="1"/>
  <c r="M116" i="1"/>
  <c r="BI115" i="1"/>
  <c r="DG115" i="1" s="1"/>
  <c r="BJ115" i="1"/>
  <c r="BI116" i="1"/>
  <c r="BJ116" i="1"/>
  <c r="BI117" i="1"/>
  <c r="DG117" i="1" s="1"/>
  <c r="BJ117" i="1"/>
  <c r="DH117" i="1" s="1"/>
  <c r="CV117" i="1"/>
  <c r="CU117" i="1"/>
  <c r="AT117" i="1"/>
  <c r="AS117" i="1"/>
  <c r="AT116" i="1"/>
  <c r="AS116" i="1"/>
  <c r="AT115" i="1"/>
  <c r="AS115" i="1"/>
  <c r="AP117" i="1"/>
  <c r="AO117" i="1"/>
  <c r="AP116" i="1"/>
  <c r="AO116" i="1"/>
  <c r="AP115" i="1"/>
  <c r="AO115" i="1"/>
  <c r="AL117" i="1"/>
  <c r="CJ117" i="1" s="1"/>
  <c r="AK117" i="1"/>
  <c r="CI117" i="1" s="1"/>
  <c r="AL116" i="1"/>
  <c r="AK116" i="1"/>
  <c r="AL115" i="1"/>
  <c r="AK115" i="1"/>
  <c r="AH117" i="1"/>
  <c r="AG117" i="1"/>
  <c r="AH116" i="1"/>
  <c r="AG116" i="1"/>
  <c r="AH115" i="1"/>
  <c r="AG115" i="1"/>
  <c r="AA117" i="8"/>
  <c r="W117" i="8"/>
  <c r="S117" i="8"/>
  <c r="AD117" i="1"/>
  <c r="AC117" i="1"/>
  <c r="AD116" i="1"/>
  <c r="AC116" i="1"/>
  <c r="AD115" i="1"/>
  <c r="AC115" i="1"/>
  <c r="Z117" i="1"/>
  <c r="BX117" i="1" s="1"/>
  <c r="Y117" i="1"/>
  <c r="BW117" i="1" s="1"/>
  <c r="Z116" i="1"/>
  <c r="Y116" i="1"/>
  <c r="Z115" i="1"/>
  <c r="Y115" i="1"/>
  <c r="V117" i="1"/>
  <c r="U117" i="1"/>
  <c r="V116" i="1"/>
  <c r="U116" i="1"/>
  <c r="V115" i="1"/>
  <c r="U115" i="1"/>
  <c r="Q115" i="1"/>
  <c r="O117" i="8"/>
  <c r="R117" i="1"/>
  <c r="Q117" i="1"/>
  <c r="R116" i="1"/>
  <c r="Q116" i="1"/>
  <c r="R115" i="1"/>
  <c r="K115" i="8"/>
  <c r="K117" i="8"/>
  <c r="M115" i="1"/>
  <c r="N115" i="1"/>
  <c r="N116" i="1"/>
  <c r="M117" i="1"/>
  <c r="BK117" i="1" s="1"/>
  <c r="N117" i="1"/>
  <c r="BL117" i="1" s="1"/>
  <c r="A1" i="11"/>
  <c r="BK117" i="9"/>
  <c r="D117" i="9"/>
  <c r="BK116" i="9"/>
  <c r="D116" i="9"/>
  <c r="BK115" i="9"/>
  <c r="D115" i="9"/>
  <c r="BK117" i="10"/>
  <c r="D117" i="10"/>
  <c r="AT117" i="10" s="1"/>
  <c r="BK116" i="10"/>
  <c r="D116" i="10"/>
  <c r="BK115" i="10"/>
  <c r="D115" i="10"/>
  <c r="BK117" i="8"/>
  <c r="G117" i="8"/>
  <c r="BK116" i="8"/>
  <c r="G116" i="8"/>
  <c r="BK115" i="8"/>
  <c r="BM115" i="8" s="1"/>
  <c r="G115" i="8"/>
  <c r="AY5" i="11"/>
  <c r="E5" i="11"/>
  <c r="C5" i="11"/>
  <c r="C3" i="9"/>
  <c r="DR130" i="11"/>
  <c r="DQ130" i="11"/>
  <c r="DP130" i="11"/>
  <c r="DO130" i="11"/>
  <c r="DN130" i="11"/>
  <c r="DM130" i="11"/>
  <c r="DH130" i="11"/>
  <c r="DG130" i="11"/>
  <c r="DB130" i="11"/>
  <c r="DA130" i="11"/>
  <c r="CV130" i="11"/>
  <c r="CU130" i="11"/>
  <c r="CP130" i="11"/>
  <c r="CO130" i="11"/>
  <c r="CJ130" i="11"/>
  <c r="CI130" i="11"/>
  <c r="CD130" i="11"/>
  <c r="CC130" i="11"/>
  <c r="BX130" i="11"/>
  <c r="BW130" i="11"/>
  <c r="BR130" i="11"/>
  <c r="BQ130" i="11"/>
  <c r="BL130" i="11"/>
  <c r="BK130" i="11"/>
  <c r="BF130" i="11"/>
  <c r="BE130" i="11"/>
  <c r="BD130" i="11"/>
  <c r="BC130" i="11"/>
  <c r="AZ130" i="11"/>
  <c r="AY130" i="11"/>
  <c r="AX130" i="11"/>
  <c r="AW130" i="11"/>
  <c r="AT130" i="11"/>
  <c r="AS130" i="11"/>
  <c r="AP130" i="11"/>
  <c r="AO130" i="11"/>
  <c r="AL130" i="11"/>
  <c r="AK130" i="11"/>
  <c r="AH130" i="11"/>
  <c r="AG130" i="11"/>
  <c r="AD130" i="11"/>
  <c r="AC130" i="11"/>
  <c r="Z130" i="11"/>
  <c r="Y130" i="11"/>
  <c r="V130" i="11"/>
  <c r="U130" i="11"/>
  <c r="R130" i="11"/>
  <c r="Q130" i="11"/>
  <c r="N130" i="11"/>
  <c r="M130" i="11"/>
  <c r="J130" i="11"/>
  <c r="I130" i="11"/>
  <c r="H130" i="11"/>
  <c r="G130" i="11"/>
  <c r="F130" i="11"/>
  <c r="DV130" i="11" s="1"/>
  <c r="E130" i="11"/>
  <c r="DU130" i="11" s="1"/>
  <c r="D130" i="11"/>
  <c r="C130" i="11"/>
  <c r="DR129" i="11"/>
  <c r="DQ129" i="11"/>
  <c r="DP129" i="11"/>
  <c r="DO129" i="11"/>
  <c r="DN129" i="11"/>
  <c r="DM129" i="11"/>
  <c r="DH129" i="11"/>
  <c r="DG129" i="11"/>
  <c r="DB129" i="11"/>
  <c r="DA129" i="11"/>
  <c r="CV129" i="11"/>
  <c r="CU129" i="11"/>
  <c r="CP129" i="11"/>
  <c r="CO129" i="11"/>
  <c r="CJ129" i="11"/>
  <c r="CI129" i="11"/>
  <c r="CD129" i="11"/>
  <c r="CC129" i="11"/>
  <c r="BX129" i="11"/>
  <c r="BW129" i="11"/>
  <c r="BR129" i="11"/>
  <c r="BQ129" i="11"/>
  <c r="BL129" i="11"/>
  <c r="BK129" i="11"/>
  <c r="BF129" i="11"/>
  <c r="BE129" i="11"/>
  <c r="BD129" i="11"/>
  <c r="BC129" i="11"/>
  <c r="AZ129" i="11"/>
  <c r="AY129" i="11"/>
  <c r="AX129" i="11"/>
  <c r="AW129" i="11"/>
  <c r="AT129" i="11"/>
  <c r="AS129" i="11"/>
  <c r="AP129" i="11"/>
  <c r="AO129" i="11"/>
  <c r="AL129" i="11"/>
  <c r="AK129" i="11"/>
  <c r="AH129" i="11"/>
  <c r="AG129" i="11"/>
  <c r="AD129" i="11"/>
  <c r="AC129" i="11"/>
  <c r="Z129" i="11"/>
  <c r="Y129" i="11"/>
  <c r="V129" i="11"/>
  <c r="U129" i="11"/>
  <c r="R129" i="11"/>
  <c r="Q129" i="11"/>
  <c r="N129" i="11"/>
  <c r="M129" i="11"/>
  <c r="J129" i="11"/>
  <c r="I129" i="11"/>
  <c r="H129" i="11"/>
  <c r="G129" i="11"/>
  <c r="F129" i="11"/>
  <c r="DV129" i="11" s="1"/>
  <c r="E129" i="11"/>
  <c r="DU129" i="11" s="1"/>
  <c r="D129" i="11"/>
  <c r="C129" i="11"/>
  <c r="DR128" i="11"/>
  <c r="DQ128" i="11"/>
  <c r="DP128" i="11"/>
  <c r="DO128" i="11"/>
  <c r="DN128" i="11"/>
  <c r="DM128" i="11"/>
  <c r="DH128" i="11"/>
  <c r="DG128" i="11"/>
  <c r="DB128" i="11"/>
  <c r="DA128" i="11"/>
  <c r="CV128" i="11"/>
  <c r="CU128" i="11"/>
  <c r="CP128" i="11"/>
  <c r="CO128" i="11"/>
  <c r="CJ128" i="11"/>
  <c r="CI128" i="11"/>
  <c r="CD128" i="11"/>
  <c r="CC128" i="11"/>
  <c r="BX128" i="11"/>
  <c r="BW128" i="11"/>
  <c r="BR128" i="11"/>
  <c r="BQ128" i="11"/>
  <c r="BL128" i="11"/>
  <c r="BK128" i="11"/>
  <c r="BF128" i="11"/>
  <c r="BE128" i="11"/>
  <c r="BD128" i="11"/>
  <c r="BC128" i="11"/>
  <c r="AZ128" i="11"/>
  <c r="AY128" i="11"/>
  <c r="AX128" i="11"/>
  <c r="AW128" i="11"/>
  <c r="AT128" i="11"/>
  <c r="AS128" i="11"/>
  <c r="AP128" i="11"/>
  <c r="AO128" i="11"/>
  <c r="AL128" i="11"/>
  <c r="AK128" i="11"/>
  <c r="AH128" i="11"/>
  <c r="AG128" i="11"/>
  <c r="AD128" i="11"/>
  <c r="AC128" i="11"/>
  <c r="Z128" i="11"/>
  <c r="Y128" i="11"/>
  <c r="V128" i="11"/>
  <c r="U128" i="11"/>
  <c r="R128" i="11"/>
  <c r="Q128" i="11"/>
  <c r="N128" i="11"/>
  <c r="M128" i="11"/>
  <c r="J128" i="11"/>
  <c r="I128" i="11"/>
  <c r="H128" i="11"/>
  <c r="G128" i="11"/>
  <c r="F128" i="11"/>
  <c r="DV128" i="11" s="1"/>
  <c r="E128" i="11"/>
  <c r="DU128" i="11" s="1"/>
  <c r="D128" i="11"/>
  <c r="C128" i="11"/>
  <c r="DR127" i="11"/>
  <c r="DQ127" i="11"/>
  <c r="DP127" i="11"/>
  <c r="DO127" i="11"/>
  <c r="DN127" i="11"/>
  <c r="DM127" i="11"/>
  <c r="DH127" i="11"/>
  <c r="DG127" i="11"/>
  <c r="DB127" i="11"/>
  <c r="DA127" i="11"/>
  <c r="CV127" i="11"/>
  <c r="CU127" i="11"/>
  <c r="CP127" i="11"/>
  <c r="CO127" i="11"/>
  <c r="CJ127" i="11"/>
  <c r="CI127" i="11"/>
  <c r="CD127" i="11"/>
  <c r="CC127" i="11"/>
  <c r="BX127" i="11"/>
  <c r="BW127" i="11"/>
  <c r="BR127" i="11"/>
  <c r="BQ127" i="11"/>
  <c r="BL127" i="11"/>
  <c r="BK127" i="11"/>
  <c r="BF127" i="11"/>
  <c r="BE127" i="11"/>
  <c r="BD127" i="11"/>
  <c r="BC127" i="11"/>
  <c r="AZ127" i="11"/>
  <c r="AY127" i="11"/>
  <c r="AX127" i="11"/>
  <c r="AW127" i="11"/>
  <c r="AT127" i="11"/>
  <c r="AS127" i="11"/>
  <c r="AP127" i="11"/>
  <c r="AO127" i="11"/>
  <c r="AL127" i="11"/>
  <c r="AK127" i="11"/>
  <c r="AH127" i="11"/>
  <c r="AG127" i="11"/>
  <c r="AD127" i="11"/>
  <c r="AC127" i="11"/>
  <c r="Z127" i="11"/>
  <c r="Y127" i="11"/>
  <c r="V127" i="11"/>
  <c r="U127" i="11"/>
  <c r="R127" i="11"/>
  <c r="Q127" i="11"/>
  <c r="N127" i="11"/>
  <c r="M127" i="11"/>
  <c r="J127" i="11"/>
  <c r="I127" i="11"/>
  <c r="H127" i="11"/>
  <c r="G127" i="11"/>
  <c r="F127" i="11"/>
  <c r="DV127" i="11" s="1"/>
  <c r="E127" i="11"/>
  <c r="DU127" i="11" s="1"/>
  <c r="D127" i="11"/>
  <c r="C127" i="11"/>
  <c r="DR126" i="11"/>
  <c r="DQ126" i="11"/>
  <c r="DP126" i="11"/>
  <c r="DO126" i="11"/>
  <c r="DN126" i="11"/>
  <c r="DM126" i="11"/>
  <c r="DH126" i="11"/>
  <c r="DG126" i="11"/>
  <c r="DB126" i="11"/>
  <c r="DA126" i="11"/>
  <c r="CV126" i="11"/>
  <c r="CU126" i="11"/>
  <c r="CP126" i="11"/>
  <c r="CO126" i="11"/>
  <c r="CJ126" i="11"/>
  <c r="CI126" i="11"/>
  <c r="CD126" i="11"/>
  <c r="CC126" i="11"/>
  <c r="BX126" i="11"/>
  <c r="BW126" i="11"/>
  <c r="BR126" i="11"/>
  <c r="BQ126" i="11"/>
  <c r="BL126" i="11"/>
  <c r="BK126" i="11"/>
  <c r="BF126" i="11"/>
  <c r="BE126" i="11"/>
  <c r="BD126" i="11"/>
  <c r="BC126" i="11"/>
  <c r="AZ126" i="11"/>
  <c r="AY126" i="11"/>
  <c r="AX126" i="11"/>
  <c r="AW126" i="11"/>
  <c r="AT126" i="11"/>
  <c r="AS126" i="11"/>
  <c r="AP126" i="11"/>
  <c r="AO126" i="11"/>
  <c r="AL126" i="11"/>
  <c r="AK126" i="11"/>
  <c r="AH126" i="11"/>
  <c r="AG126" i="11"/>
  <c r="AD126" i="11"/>
  <c r="AC126" i="11"/>
  <c r="Z126" i="11"/>
  <c r="Y126" i="11"/>
  <c r="V126" i="11"/>
  <c r="U126" i="11"/>
  <c r="R126" i="11"/>
  <c r="Q126" i="11"/>
  <c r="N126" i="11"/>
  <c r="M126" i="11"/>
  <c r="J126" i="11"/>
  <c r="I126" i="11"/>
  <c r="H126" i="11"/>
  <c r="G126" i="11"/>
  <c r="F126" i="11"/>
  <c r="DV126" i="11" s="1"/>
  <c r="E126" i="11"/>
  <c r="DU126" i="11" s="1"/>
  <c r="D126" i="11"/>
  <c r="C126" i="11"/>
  <c r="DR125" i="11"/>
  <c r="DQ125" i="11"/>
  <c r="DP125" i="11"/>
  <c r="DO125" i="11"/>
  <c r="DN125" i="11"/>
  <c r="DM125" i="11"/>
  <c r="DH125" i="11"/>
  <c r="DG125" i="11"/>
  <c r="DB125" i="11"/>
  <c r="DA125" i="11"/>
  <c r="CV125" i="11"/>
  <c r="CU125" i="11"/>
  <c r="CP125" i="11"/>
  <c r="CO125" i="11"/>
  <c r="CJ125" i="11"/>
  <c r="CI125" i="11"/>
  <c r="CD125" i="11"/>
  <c r="CC125" i="11"/>
  <c r="BX125" i="11"/>
  <c r="BW125" i="11"/>
  <c r="BR125" i="11"/>
  <c r="BQ125" i="11"/>
  <c r="BL125" i="11"/>
  <c r="BK125" i="11"/>
  <c r="BF125" i="11"/>
  <c r="BE125" i="11"/>
  <c r="BD125" i="11"/>
  <c r="BC125" i="11"/>
  <c r="AZ125" i="11"/>
  <c r="AY125" i="11"/>
  <c r="AX125" i="11"/>
  <c r="AW125" i="11"/>
  <c r="AT125" i="11"/>
  <c r="AS125" i="11"/>
  <c r="AP125" i="11"/>
  <c r="AO125" i="11"/>
  <c r="AL125" i="11"/>
  <c r="AK125" i="11"/>
  <c r="AH125" i="11"/>
  <c r="AG125" i="11"/>
  <c r="AD125" i="11"/>
  <c r="AC125" i="11"/>
  <c r="Z125" i="11"/>
  <c r="Y125" i="11"/>
  <c r="V125" i="11"/>
  <c r="U125" i="11"/>
  <c r="R125" i="11"/>
  <c r="Q125" i="11"/>
  <c r="N125" i="11"/>
  <c r="M125" i="11"/>
  <c r="J125" i="11"/>
  <c r="I125" i="11"/>
  <c r="H125" i="11"/>
  <c r="G125" i="11"/>
  <c r="F125" i="11"/>
  <c r="DV125" i="11" s="1"/>
  <c r="E125" i="11"/>
  <c r="DU125" i="11" s="1"/>
  <c r="D125" i="11"/>
  <c r="C125" i="11"/>
  <c r="DR124" i="11"/>
  <c r="DQ124" i="11"/>
  <c r="DP124" i="11"/>
  <c r="DO124" i="11"/>
  <c r="DN124" i="11"/>
  <c r="DM124" i="11"/>
  <c r="DH124" i="11"/>
  <c r="DG124" i="11"/>
  <c r="DB124" i="11"/>
  <c r="DA124" i="11"/>
  <c r="CV124" i="11"/>
  <c r="CU124" i="11"/>
  <c r="CP124" i="11"/>
  <c r="CO124" i="11"/>
  <c r="CJ124" i="11"/>
  <c r="CI124" i="11"/>
  <c r="CD124" i="11"/>
  <c r="CC124" i="11"/>
  <c r="BX124" i="11"/>
  <c r="BW124" i="11"/>
  <c r="BR124" i="11"/>
  <c r="BQ124" i="11"/>
  <c r="BL124" i="11"/>
  <c r="BK124" i="11"/>
  <c r="BF124" i="11"/>
  <c r="BE124" i="11"/>
  <c r="BD124" i="11"/>
  <c r="BC124" i="11"/>
  <c r="AZ124" i="11"/>
  <c r="AY124" i="11"/>
  <c r="AX124" i="11"/>
  <c r="AW124" i="11"/>
  <c r="AT124" i="11"/>
  <c r="AS124" i="11"/>
  <c r="AP124" i="11"/>
  <c r="AO124" i="11"/>
  <c r="AL124" i="11"/>
  <c r="AK124" i="11"/>
  <c r="AH124" i="11"/>
  <c r="AG124" i="11"/>
  <c r="AD124" i="11"/>
  <c r="AC124" i="11"/>
  <c r="Z124" i="11"/>
  <c r="Y124" i="11"/>
  <c r="V124" i="11"/>
  <c r="U124" i="11"/>
  <c r="R124" i="11"/>
  <c r="Q124" i="11"/>
  <c r="N124" i="11"/>
  <c r="M124" i="11"/>
  <c r="J124" i="11"/>
  <c r="I124" i="11"/>
  <c r="H124" i="11"/>
  <c r="G124" i="11"/>
  <c r="F124" i="11"/>
  <c r="DV124" i="11" s="1"/>
  <c r="E124" i="11"/>
  <c r="DU124" i="11" s="1"/>
  <c r="D124" i="11"/>
  <c r="C124" i="11"/>
  <c r="DR123" i="11"/>
  <c r="DQ123" i="11"/>
  <c r="DP123" i="11"/>
  <c r="DO123" i="11"/>
  <c r="DN123" i="11"/>
  <c r="DM123" i="11"/>
  <c r="DH123" i="11"/>
  <c r="DG123" i="11"/>
  <c r="DB123" i="11"/>
  <c r="DA123" i="11"/>
  <c r="CV123" i="11"/>
  <c r="CU123" i="11"/>
  <c r="CP123" i="11"/>
  <c r="CO123" i="11"/>
  <c r="CJ123" i="11"/>
  <c r="CI123" i="11"/>
  <c r="CD123" i="11"/>
  <c r="CC123" i="11"/>
  <c r="BX123" i="11"/>
  <c r="BW123" i="11"/>
  <c r="BR123" i="11"/>
  <c r="BQ123" i="11"/>
  <c r="BL123" i="11"/>
  <c r="BK123" i="11"/>
  <c r="BF123" i="11"/>
  <c r="BE123" i="11"/>
  <c r="BD123" i="11"/>
  <c r="BC123" i="11"/>
  <c r="AZ123" i="11"/>
  <c r="AY123" i="11"/>
  <c r="AX123" i="11"/>
  <c r="AW123" i="11"/>
  <c r="AT123" i="11"/>
  <c r="AS123" i="11"/>
  <c r="AP123" i="11"/>
  <c r="AO123" i="11"/>
  <c r="AL123" i="11"/>
  <c r="AK123" i="11"/>
  <c r="AH123" i="11"/>
  <c r="AG123" i="11"/>
  <c r="AD123" i="11"/>
  <c r="AC123" i="11"/>
  <c r="Z123" i="11"/>
  <c r="Y123" i="11"/>
  <c r="V123" i="11"/>
  <c r="U123" i="11"/>
  <c r="R123" i="11"/>
  <c r="Q123" i="11"/>
  <c r="N123" i="11"/>
  <c r="M123" i="11"/>
  <c r="J123" i="11"/>
  <c r="I123" i="11"/>
  <c r="H123" i="11"/>
  <c r="G123" i="11"/>
  <c r="F123" i="11"/>
  <c r="DV123" i="11" s="1"/>
  <c r="E123" i="11"/>
  <c r="DU123" i="11" s="1"/>
  <c r="D123" i="11"/>
  <c r="C123" i="11"/>
  <c r="DR122" i="11"/>
  <c r="DQ122" i="11"/>
  <c r="DP122" i="11"/>
  <c r="DO122" i="11"/>
  <c r="DN122" i="11"/>
  <c r="DM122" i="11"/>
  <c r="DH122" i="11"/>
  <c r="DG122" i="11"/>
  <c r="DB122" i="11"/>
  <c r="DA122" i="11"/>
  <c r="CV122" i="11"/>
  <c r="CU122" i="11"/>
  <c r="CP122" i="11"/>
  <c r="CO122" i="11"/>
  <c r="CJ122" i="11"/>
  <c r="CI122" i="11"/>
  <c r="CD122" i="11"/>
  <c r="CC122" i="11"/>
  <c r="BX122" i="11"/>
  <c r="BW122" i="11"/>
  <c r="BR122" i="11"/>
  <c r="BQ122" i="11"/>
  <c r="BL122" i="11"/>
  <c r="BK122" i="11"/>
  <c r="BF122" i="11"/>
  <c r="BE122" i="11"/>
  <c r="BD122" i="11"/>
  <c r="BC122" i="11"/>
  <c r="AZ122" i="11"/>
  <c r="AY122" i="11"/>
  <c r="AX122" i="11"/>
  <c r="F122" i="11" s="1"/>
  <c r="DV122" i="11" s="1"/>
  <c r="AW122" i="11"/>
  <c r="E122" i="11" s="1"/>
  <c r="DU122" i="11" s="1"/>
  <c r="AT122" i="11"/>
  <c r="AS122" i="11"/>
  <c r="AP122" i="11"/>
  <c r="AO122" i="11"/>
  <c r="AL122" i="11"/>
  <c r="AK122" i="11"/>
  <c r="AH122" i="11"/>
  <c r="AG122" i="11"/>
  <c r="AD122" i="11"/>
  <c r="AC122" i="11"/>
  <c r="Z122" i="11"/>
  <c r="Y122" i="11"/>
  <c r="V122" i="11"/>
  <c r="U122" i="11"/>
  <c r="R122" i="11"/>
  <c r="Q122" i="11"/>
  <c r="N122" i="11"/>
  <c r="M122" i="11"/>
  <c r="J122" i="11"/>
  <c r="I122" i="11"/>
  <c r="H122" i="11"/>
  <c r="G122" i="11"/>
  <c r="D122" i="11"/>
  <c r="C122" i="11"/>
  <c r="DR121" i="11"/>
  <c r="DQ121" i="11"/>
  <c r="DP121" i="11"/>
  <c r="DO121" i="11"/>
  <c r="DN121" i="11"/>
  <c r="DM121" i="11"/>
  <c r="DH121" i="11"/>
  <c r="DG121" i="11"/>
  <c r="DB121" i="11"/>
  <c r="DA121" i="11"/>
  <c r="CV121" i="11"/>
  <c r="CU121" i="11"/>
  <c r="CP121" i="11"/>
  <c r="CO121" i="11"/>
  <c r="CJ121" i="11"/>
  <c r="CI121" i="11"/>
  <c r="CD121" i="11"/>
  <c r="CC121" i="11"/>
  <c r="BX121" i="11"/>
  <c r="BW121" i="11"/>
  <c r="BR121" i="11"/>
  <c r="BQ121" i="11"/>
  <c r="BL121" i="11"/>
  <c r="BK121" i="11"/>
  <c r="BF121" i="11"/>
  <c r="BE121" i="11"/>
  <c r="BD121" i="11"/>
  <c r="BC121" i="11"/>
  <c r="AZ121" i="11"/>
  <c r="AY121" i="11"/>
  <c r="AX121" i="11"/>
  <c r="AW121" i="11"/>
  <c r="AT121" i="11"/>
  <c r="AS121" i="11"/>
  <c r="AP121" i="11"/>
  <c r="AO121" i="11"/>
  <c r="AL121" i="11"/>
  <c r="AK121" i="11"/>
  <c r="AH121" i="11"/>
  <c r="AG121" i="11"/>
  <c r="AD121" i="11"/>
  <c r="AC121" i="11"/>
  <c r="Z121" i="11"/>
  <c r="Y121" i="11"/>
  <c r="V121" i="11"/>
  <c r="U121" i="11"/>
  <c r="R121" i="11"/>
  <c r="Q121" i="11"/>
  <c r="N121" i="11"/>
  <c r="M121" i="11"/>
  <c r="J121" i="11"/>
  <c r="I121" i="11"/>
  <c r="H121" i="11"/>
  <c r="G121" i="11"/>
  <c r="F121" i="11"/>
  <c r="DV121" i="11" s="1"/>
  <c r="E121" i="11"/>
  <c r="DU121" i="11" s="1"/>
  <c r="D121" i="11"/>
  <c r="C121" i="11"/>
  <c r="DR120" i="11"/>
  <c r="DQ120" i="11"/>
  <c r="DP120" i="11"/>
  <c r="DO120" i="11"/>
  <c r="DN120" i="11"/>
  <c r="DM120" i="11"/>
  <c r="DH120" i="11"/>
  <c r="DG120" i="11"/>
  <c r="DB120" i="11"/>
  <c r="DA120" i="11"/>
  <c r="CV120" i="11"/>
  <c r="CU120" i="11"/>
  <c r="CP120" i="11"/>
  <c r="CO120" i="11"/>
  <c r="CJ120" i="11"/>
  <c r="CI120" i="11"/>
  <c r="CD120" i="11"/>
  <c r="CC120" i="11"/>
  <c r="BX120" i="11"/>
  <c r="BW120" i="11"/>
  <c r="BR120" i="11"/>
  <c r="BQ120" i="11"/>
  <c r="BL120" i="11"/>
  <c r="BK120" i="11"/>
  <c r="BF120" i="11"/>
  <c r="BE120" i="11"/>
  <c r="BD120" i="11"/>
  <c r="BC120" i="11"/>
  <c r="AZ120" i="11"/>
  <c r="AY120" i="11"/>
  <c r="AX120" i="11"/>
  <c r="AW120" i="11"/>
  <c r="AT120" i="11"/>
  <c r="AS120" i="11"/>
  <c r="AP120" i="11"/>
  <c r="AO120" i="11"/>
  <c r="AL120" i="11"/>
  <c r="AK120" i="11"/>
  <c r="AH120" i="11"/>
  <c r="AG120" i="11"/>
  <c r="AD120" i="11"/>
  <c r="AC120" i="11"/>
  <c r="Z120" i="11"/>
  <c r="Y120" i="11"/>
  <c r="V120" i="11"/>
  <c r="U120" i="11"/>
  <c r="R120" i="11"/>
  <c r="Q120" i="11"/>
  <c r="N120" i="11"/>
  <c r="M120" i="11"/>
  <c r="J120" i="11"/>
  <c r="I120" i="11"/>
  <c r="H120" i="11"/>
  <c r="G120" i="11"/>
  <c r="F120" i="11"/>
  <c r="DV120" i="11" s="1"/>
  <c r="E120" i="11"/>
  <c r="DU120" i="11" s="1"/>
  <c r="D120" i="11"/>
  <c r="C120" i="11"/>
  <c r="DR119" i="11"/>
  <c r="DQ119" i="11"/>
  <c r="DP119" i="11"/>
  <c r="DO119" i="11"/>
  <c r="DN119" i="11"/>
  <c r="DM119" i="11"/>
  <c r="DH119" i="11"/>
  <c r="DG119" i="11"/>
  <c r="DB119" i="11"/>
  <c r="DA119" i="11"/>
  <c r="CV119" i="11"/>
  <c r="CU119" i="11"/>
  <c r="CP119" i="11"/>
  <c r="CO119" i="11"/>
  <c r="CJ119" i="11"/>
  <c r="CI119" i="11"/>
  <c r="CD119" i="11"/>
  <c r="CC119" i="11"/>
  <c r="BX119" i="11"/>
  <c r="BW119" i="11"/>
  <c r="BR119" i="11"/>
  <c r="BQ119" i="11"/>
  <c r="BL119" i="11"/>
  <c r="BK119" i="11"/>
  <c r="BF119" i="11"/>
  <c r="BE119" i="11"/>
  <c r="BD119" i="11"/>
  <c r="BC119" i="11"/>
  <c r="AZ119" i="11"/>
  <c r="AY119" i="11"/>
  <c r="AX119" i="11"/>
  <c r="AW119" i="11"/>
  <c r="E119" i="11" s="1"/>
  <c r="DU119" i="11" s="1"/>
  <c r="AT119" i="11"/>
  <c r="AS119" i="11"/>
  <c r="AP119" i="11"/>
  <c r="AO119" i="11"/>
  <c r="AL119" i="11"/>
  <c r="AK119" i="11"/>
  <c r="AH119" i="11"/>
  <c r="AG119" i="11"/>
  <c r="AD119" i="11"/>
  <c r="AC119" i="11"/>
  <c r="Z119" i="11"/>
  <c r="Y119" i="11"/>
  <c r="V119" i="11"/>
  <c r="U119" i="11"/>
  <c r="R119" i="11"/>
  <c r="Q119" i="11"/>
  <c r="N119" i="11"/>
  <c r="M119" i="11"/>
  <c r="J119" i="11"/>
  <c r="I119" i="11"/>
  <c r="H119" i="11"/>
  <c r="G119" i="11"/>
  <c r="F119" i="11"/>
  <c r="DV119" i="11" s="1"/>
  <c r="D119" i="11"/>
  <c r="C119" i="11"/>
  <c r="DV114" i="11"/>
  <c r="DU114" i="11"/>
  <c r="DP114" i="11"/>
  <c r="DO114" i="11"/>
  <c r="BB114" i="11"/>
  <c r="BA114" i="11"/>
  <c r="AZ114" i="11"/>
  <c r="AY114" i="11"/>
  <c r="D114" i="11"/>
  <c r="C114" i="11"/>
  <c r="DU113" i="11"/>
  <c r="DS113" i="11"/>
  <c r="DM113" i="11"/>
  <c r="DK113" i="11"/>
  <c r="DE113" i="11"/>
  <c r="CY113" i="11"/>
  <c r="CS113" i="11"/>
  <c r="CM113" i="11"/>
  <c r="CG113" i="11"/>
  <c r="CA113" i="11"/>
  <c r="BU113" i="11"/>
  <c r="BO113" i="11"/>
  <c r="BI113" i="11"/>
  <c r="BA113" i="11"/>
  <c r="C113" i="11"/>
  <c r="E113" i="11" s="1"/>
  <c r="AW113" i="11" s="1"/>
  <c r="DR112" i="11"/>
  <c r="DQ112" i="11"/>
  <c r="DP112" i="11"/>
  <c r="DO112" i="11"/>
  <c r="DN112" i="11"/>
  <c r="DM112" i="11"/>
  <c r="DH112" i="11"/>
  <c r="DG112" i="11"/>
  <c r="DB112" i="11"/>
  <c r="DA112" i="11"/>
  <c r="CV112" i="11"/>
  <c r="CU112" i="11"/>
  <c r="CP112" i="11"/>
  <c r="CO112" i="11"/>
  <c r="CJ112" i="11"/>
  <c r="CI112" i="11"/>
  <c r="CD112" i="11"/>
  <c r="CC112" i="11"/>
  <c r="BX112" i="11"/>
  <c r="BW112" i="11"/>
  <c r="BR112" i="11"/>
  <c r="BQ112" i="11"/>
  <c r="BL112" i="11"/>
  <c r="BK112" i="11"/>
  <c r="BF112" i="11"/>
  <c r="BE112" i="11"/>
  <c r="BD112" i="11"/>
  <c r="BC112" i="11"/>
  <c r="AZ112" i="11"/>
  <c r="AY112" i="11"/>
  <c r="AX112" i="11"/>
  <c r="AW112" i="11"/>
  <c r="AT112" i="11"/>
  <c r="AS112" i="11"/>
  <c r="AP112" i="11"/>
  <c r="AO112" i="11"/>
  <c r="AL112" i="11"/>
  <c r="AK112" i="11"/>
  <c r="AH112" i="11"/>
  <c r="AG112" i="11"/>
  <c r="AD112" i="11"/>
  <c r="AC112" i="11"/>
  <c r="Z112" i="11"/>
  <c r="Y112" i="11"/>
  <c r="V112" i="11"/>
  <c r="U112" i="11"/>
  <c r="R112" i="11"/>
  <c r="Q112" i="11"/>
  <c r="N112" i="11"/>
  <c r="M112" i="11"/>
  <c r="J112" i="11"/>
  <c r="I112" i="11"/>
  <c r="H112" i="11"/>
  <c r="G112" i="11"/>
  <c r="D112" i="11"/>
  <c r="C112" i="11"/>
  <c r="DR111" i="11"/>
  <c r="DQ111" i="11"/>
  <c r="DP111" i="11"/>
  <c r="DO111" i="11"/>
  <c r="DN111" i="11"/>
  <c r="DM111" i="11"/>
  <c r="DH111" i="11"/>
  <c r="DG111" i="11"/>
  <c r="DB111" i="11"/>
  <c r="DA111" i="11"/>
  <c r="CV111" i="11"/>
  <c r="CU111" i="11"/>
  <c r="CP111" i="11"/>
  <c r="CO111" i="11"/>
  <c r="CJ111" i="11"/>
  <c r="CI111" i="11"/>
  <c r="CD111" i="11"/>
  <c r="CC111" i="11"/>
  <c r="BX111" i="11"/>
  <c r="BW111" i="11"/>
  <c r="BR111" i="11"/>
  <c r="BQ111" i="11"/>
  <c r="BL111" i="11"/>
  <c r="BK111" i="11"/>
  <c r="BF111" i="11"/>
  <c r="BE111" i="11"/>
  <c r="BD111" i="11"/>
  <c r="BC111" i="11"/>
  <c r="AZ111" i="11"/>
  <c r="AY111" i="11"/>
  <c r="AX111" i="11"/>
  <c r="AW111" i="11"/>
  <c r="AT111" i="11"/>
  <c r="AS111" i="11"/>
  <c r="AP111" i="11"/>
  <c r="AO111" i="11"/>
  <c r="AL111" i="11"/>
  <c r="AK111" i="11"/>
  <c r="AH111" i="11"/>
  <c r="AG111" i="11"/>
  <c r="AD111" i="11"/>
  <c r="AC111" i="11"/>
  <c r="Z111" i="11"/>
  <c r="Y111" i="11"/>
  <c r="V111" i="11"/>
  <c r="U111" i="11"/>
  <c r="R111" i="11"/>
  <c r="Q111" i="11"/>
  <c r="N111" i="11"/>
  <c r="M111" i="11"/>
  <c r="J111" i="11"/>
  <c r="I111" i="11"/>
  <c r="H111" i="11"/>
  <c r="G111" i="11"/>
  <c r="D111" i="11"/>
  <c r="C111" i="11"/>
  <c r="DR110" i="11"/>
  <c r="DQ110" i="11"/>
  <c r="DP110" i="11"/>
  <c r="DO110" i="11"/>
  <c r="DN110" i="11"/>
  <c r="DM110" i="11"/>
  <c r="DH110" i="11"/>
  <c r="DG110" i="11"/>
  <c r="DB110" i="11"/>
  <c r="DA110" i="11"/>
  <c r="CV110" i="11"/>
  <c r="CU110" i="11"/>
  <c r="CP110" i="11"/>
  <c r="CO110" i="11"/>
  <c r="CJ110" i="11"/>
  <c r="CI110" i="11"/>
  <c r="CD110" i="11"/>
  <c r="CC110" i="11"/>
  <c r="BX110" i="11"/>
  <c r="BW110" i="11"/>
  <c r="BR110" i="11"/>
  <c r="BQ110" i="11"/>
  <c r="BL110" i="11"/>
  <c r="BK110" i="11"/>
  <c r="BF110" i="11"/>
  <c r="BE110" i="11"/>
  <c r="BD110" i="11"/>
  <c r="BC110" i="11"/>
  <c r="AZ110" i="11"/>
  <c r="AY110" i="11"/>
  <c r="AX110" i="11"/>
  <c r="AW110" i="11"/>
  <c r="AT110" i="11"/>
  <c r="AS110" i="11"/>
  <c r="AP110" i="11"/>
  <c r="AO110" i="11"/>
  <c r="AL110" i="11"/>
  <c r="AK110" i="11"/>
  <c r="AH110" i="11"/>
  <c r="AG110" i="11"/>
  <c r="AD110" i="11"/>
  <c r="AC110" i="11"/>
  <c r="Z110" i="11"/>
  <c r="Y110" i="11"/>
  <c r="V110" i="11"/>
  <c r="U110" i="11"/>
  <c r="R110" i="11"/>
  <c r="Q110" i="11"/>
  <c r="N110" i="11"/>
  <c r="M110" i="11"/>
  <c r="J110" i="11"/>
  <c r="I110" i="11"/>
  <c r="H110" i="11"/>
  <c r="G110" i="11"/>
  <c r="D110" i="11"/>
  <c r="C110" i="11"/>
  <c r="DR109" i="11"/>
  <c r="DQ109" i="11"/>
  <c r="DP109" i="11"/>
  <c r="DO109" i="11"/>
  <c r="DN109" i="11"/>
  <c r="DM109" i="11"/>
  <c r="DH109" i="11"/>
  <c r="DG109" i="11"/>
  <c r="DB109" i="11"/>
  <c r="DA109" i="11"/>
  <c r="CV109" i="11"/>
  <c r="CU109" i="11"/>
  <c r="CP109" i="11"/>
  <c r="CO109" i="11"/>
  <c r="CJ109" i="11"/>
  <c r="CI109" i="11"/>
  <c r="CD109" i="11"/>
  <c r="CC109" i="11"/>
  <c r="BX109" i="11"/>
  <c r="BW109" i="11"/>
  <c r="BR109" i="11"/>
  <c r="BQ109" i="11"/>
  <c r="BL109" i="11"/>
  <c r="BK109" i="11"/>
  <c r="BF109" i="11"/>
  <c r="BE109" i="11"/>
  <c r="BD109" i="11"/>
  <c r="BC109" i="11"/>
  <c r="AZ109" i="11"/>
  <c r="AY109" i="11"/>
  <c r="AX109" i="11"/>
  <c r="AW109" i="11"/>
  <c r="AT109" i="11"/>
  <c r="AS109" i="11"/>
  <c r="AP109" i="11"/>
  <c r="AO109" i="11"/>
  <c r="AL109" i="11"/>
  <c r="AK109" i="11"/>
  <c r="AH109" i="11"/>
  <c r="AG109" i="11"/>
  <c r="AD109" i="11"/>
  <c r="AC109" i="11"/>
  <c r="Z109" i="11"/>
  <c r="Y109" i="11"/>
  <c r="V109" i="11"/>
  <c r="U109" i="11"/>
  <c r="R109" i="11"/>
  <c r="Q109" i="11"/>
  <c r="N109" i="11"/>
  <c r="M109" i="11"/>
  <c r="J109" i="11"/>
  <c r="I109" i="11"/>
  <c r="H109" i="11"/>
  <c r="G109" i="11"/>
  <c r="D109" i="11"/>
  <c r="C109" i="11"/>
  <c r="DR108" i="11"/>
  <c r="DQ108" i="11"/>
  <c r="DP108" i="11"/>
  <c r="DO108" i="11"/>
  <c r="DN108" i="11"/>
  <c r="DM108" i="11"/>
  <c r="DH108" i="11"/>
  <c r="DG108" i="11"/>
  <c r="DB108" i="11"/>
  <c r="DA108" i="11"/>
  <c r="CV108" i="11"/>
  <c r="CU108" i="11"/>
  <c r="CP108" i="11"/>
  <c r="CO108" i="11"/>
  <c r="CJ108" i="11"/>
  <c r="CI108" i="11"/>
  <c r="CD108" i="11"/>
  <c r="CC108" i="11"/>
  <c r="BX108" i="11"/>
  <c r="BW108" i="11"/>
  <c r="BR108" i="11"/>
  <c r="BQ108" i="11"/>
  <c r="BL108" i="11"/>
  <c r="BK108" i="11"/>
  <c r="BF108" i="11"/>
  <c r="BE108" i="11"/>
  <c r="BD108" i="11"/>
  <c r="BC108" i="11"/>
  <c r="AZ108" i="11"/>
  <c r="AY108" i="11"/>
  <c r="AX108" i="11"/>
  <c r="AW108" i="11"/>
  <c r="AT108" i="11"/>
  <c r="AS108" i="11"/>
  <c r="AP108" i="11"/>
  <c r="AO108" i="11"/>
  <c r="AL108" i="11"/>
  <c r="AK108" i="11"/>
  <c r="AH108" i="11"/>
  <c r="AG108" i="11"/>
  <c r="AD108" i="11"/>
  <c r="AC108" i="11"/>
  <c r="Z108" i="11"/>
  <c r="Y108" i="11"/>
  <c r="V108" i="11"/>
  <c r="U108" i="11"/>
  <c r="R108" i="11"/>
  <c r="Q108" i="11"/>
  <c r="N108" i="11"/>
  <c r="M108" i="11"/>
  <c r="J108" i="11"/>
  <c r="I108" i="11"/>
  <c r="H108" i="11"/>
  <c r="G108" i="11"/>
  <c r="D108" i="11"/>
  <c r="C108" i="11"/>
  <c r="DR107" i="11"/>
  <c r="DQ107" i="11"/>
  <c r="DP107" i="11"/>
  <c r="DO107" i="11"/>
  <c r="DN107" i="11"/>
  <c r="DM107" i="11"/>
  <c r="DH107" i="11"/>
  <c r="DG107" i="11"/>
  <c r="DB107" i="11"/>
  <c r="DA107" i="11"/>
  <c r="CV107" i="11"/>
  <c r="CU107" i="11"/>
  <c r="CP107" i="11"/>
  <c r="CO107" i="11"/>
  <c r="CJ107" i="11"/>
  <c r="CI107" i="11"/>
  <c r="CD107" i="11"/>
  <c r="CC107" i="11"/>
  <c r="BX107" i="11"/>
  <c r="BW107" i="11"/>
  <c r="BR107" i="11"/>
  <c r="BQ107" i="11"/>
  <c r="BL107" i="11"/>
  <c r="BK107" i="11"/>
  <c r="BF107" i="11"/>
  <c r="BE107" i="11"/>
  <c r="BD107" i="11"/>
  <c r="BC107" i="11"/>
  <c r="AZ107" i="11"/>
  <c r="AY107" i="11"/>
  <c r="AX107" i="11"/>
  <c r="AW107" i="11"/>
  <c r="AT107" i="11"/>
  <c r="AS107" i="11"/>
  <c r="AP107" i="11"/>
  <c r="AO107" i="11"/>
  <c r="AL107" i="11"/>
  <c r="AK107" i="11"/>
  <c r="AH107" i="11"/>
  <c r="AG107" i="11"/>
  <c r="AD107" i="11"/>
  <c r="AC107" i="11"/>
  <c r="Z107" i="11"/>
  <c r="Y107" i="11"/>
  <c r="V107" i="11"/>
  <c r="U107" i="11"/>
  <c r="R107" i="11"/>
  <c r="Q107" i="11"/>
  <c r="N107" i="11"/>
  <c r="M107" i="11"/>
  <c r="J107" i="11"/>
  <c r="I107" i="11"/>
  <c r="H107" i="11"/>
  <c r="G107" i="11"/>
  <c r="D107" i="11"/>
  <c r="C107" i="11"/>
  <c r="DR106" i="11"/>
  <c r="DQ106" i="11"/>
  <c r="DP106" i="11"/>
  <c r="DO106" i="11"/>
  <c r="DN106" i="11"/>
  <c r="DM106" i="11"/>
  <c r="DH106" i="11"/>
  <c r="DG106" i="11"/>
  <c r="DB106" i="11"/>
  <c r="DA106" i="11"/>
  <c r="CV106" i="11"/>
  <c r="CU106" i="11"/>
  <c r="CP106" i="11"/>
  <c r="CO106" i="11"/>
  <c r="CJ106" i="11"/>
  <c r="CI106" i="11"/>
  <c r="CD106" i="11"/>
  <c r="CC106" i="11"/>
  <c r="BX106" i="11"/>
  <c r="BW106" i="11"/>
  <c r="BR106" i="11"/>
  <c r="BQ106" i="11"/>
  <c r="BL106" i="11"/>
  <c r="BK106" i="11"/>
  <c r="BF106" i="11"/>
  <c r="BE106" i="11"/>
  <c r="BD106" i="11"/>
  <c r="BC106" i="11"/>
  <c r="AZ106" i="11"/>
  <c r="AY106" i="11"/>
  <c r="AX106" i="11"/>
  <c r="AW106" i="11"/>
  <c r="AT106" i="11"/>
  <c r="AS106" i="11"/>
  <c r="AP106" i="11"/>
  <c r="AO106" i="11"/>
  <c r="AL106" i="11"/>
  <c r="AK106" i="11"/>
  <c r="AH106" i="11"/>
  <c r="AG106" i="11"/>
  <c r="AD106" i="11"/>
  <c r="AC106" i="11"/>
  <c r="Z106" i="11"/>
  <c r="Y106" i="11"/>
  <c r="V106" i="11"/>
  <c r="U106" i="11"/>
  <c r="R106" i="11"/>
  <c r="Q106" i="11"/>
  <c r="N106" i="11"/>
  <c r="M106" i="11"/>
  <c r="J106" i="11"/>
  <c r="I106" i="11"/>
  <c r="H106" i="11"/>
  <c r="G106" i="11"/>
  <c r="D106" i="11"/>
  <c r="C106" i="11"/>
  <c r="DR105" i="11"/>
  <c r="DQ105" i="11"/>
  <c r="DP105" i="11"/>
  <c r="DO105" i="11"/>
  <c r="DN105" i="11"/>
  <c r="DM105" i="11"/>
  <c r="DH105" i="11"/>
  <c r="DG105" i="11"/>
  <c r="DB105" i="11"/>
  <c r="DA105" i="11"/>
  <c r="CV105" i="11"/>
  <c r="CU105" i="11"/>
  <c r="CP105" i="11"/>
  <c r="CO105" i="11"/>
  <c r="CJ105" i="11"/>
  <c r="CI105" i="11"/>
  <c r="CD105" i="11"/>
  <c r="CC105" i="11"/>
  <c r="BX105" i="11"/>
  <c r="BW105" i="11"/>
  <c r="BR105" i="11"/>
  <c r="BQ105" i="11"/>
  <c r="BL105" i="11"/>
  <c r="BK105" i="11"/>
  <c r="BF105" i="11"/>
  <c r="BE105" i="11"/>
  <c r="BD105" i="11"/>
  <c r="BC105" i="11"/>
  <c r="AZ105" i="11"/>
  <c r="AY105" i="11"/>
  <c r="AX105" i="11"/>
  <c r="AW105" i="11"/>
  <c r="AT105" i="11"/>
  <c r="AS105" i="11"/>
  <c r="AP105" i="11"/>
  <c r="AO105" i="11"/>
  <c r="AL105" i="11"/>
  <c r="AK105" i="11"/>
  <c r="AH105" i="11"/>
  <c r="AG105" i="11"/>
  <c r="AD105" i="11"/>
  <c r="AC105" i="11"/>
  <c r="Z105" i="11"/>
  <c r="Y105" i="11"/>
  <c r="V105" i="11"/>
  <c r="U105" i="11"/>
  <c r="R105" i="11"/>
  <c r="Q105" i="11"/>
  <c r="N105" i="11"/>
  <c r="M105" i="11"/>
  <c r="J105" i="11"/>
  <c r="I105" i="11"/>
  <c r="H105" i="11"/>
  <c r="G105" i="11"/>
  <c r="D105" i="11"/>
  <c r="C105" i="11"/>
  <c r="DR104" i="11"/>
  <c r="DQ104" i="11"/>
  <c r="DP104" i="11"/>
  <c r="DO104" i="11"/>
  <c r="DN104" i="11"/>
  <c r="DM104" i="11"/>
  <c r="DH104" i="11"/>
  <c r="DG104" i="11"/>
  <c r="DB104" i="11"/>
  <c r="DA104" i="11"/>
  <c r="CV104" i="11"/>
  <c r="CU104" i="11"/>
  <c r="CP104" i="11"/>
  <c r="CO104" i="11"/>
  <c r="CJ104" i="11"/>
  <c r="CI104" i="11"/>
  <c r="CD104" i="11"/>
  <c r="CC104" i="11"/>
  <c r="BX104" i="11"/>
  <c r="BW104" i="11"/>
  <c r="BR104" i="11"/>
  <c r="BQ104" i="11"/>
  <c r="BL104" i="11"/>
  <c r="BK104" i="11"/>
  <c r="BF104" i="11"/>
  <c r="BE104" i="11"/>
  <c r="BD104" i="11"/>
  <c r="BC104" i="11"/>
  <c r="AZ104" i="11"/>
  <c r="DT104" i="11" s="1"/>
  <c r="AY104" i="11"/>
  <c r="DS104" i="11" s="1"/>
  <c r="AX104" i="11"/>
  <c r="AW104" i="11"/>
  <c r="AT104" i="11"/>
  <c r="AS104" i="11"/>
  <c r="AP104" i="11"/>
  <c r="AO104" i="11"/>
  <c r="AL104" i="11"/>
  <c r="AK104" i="11"/>
  <c r="AH104" i="11"/>
  <c r="AG104" i="11"/>
  <c r="AD104" i="11"/>
  <c r="AC104" i="11"/>
  <c r="Z104" i="11"/>
  <c r="Y104" i="11"/>
  <c r="V104" i="11"/>
  <c r="U104" i="11"/>
  <c r="R104" i="11"/>
  <c r="Q104" i="11"/>
  <c r="N104" i="11"/>
  <c r="M104" i="11"/>
  <c r="J104" i="11"/>
  <c r="I104" i="11"/>
  <c r="H104" i="11"/>
  <c r="G104" i="11"/>
  <c r="D104" i="11"/>
  <c r="C104" i="11"/>
  <c r="DR103" i="11"/>
  <c r="DQ103" i="11"/>
  <c r="DP103" i="11"/>
  <c r="DO103" i="11"/>
  <c r="DN103" i="11"/>
  <c r="DM103" i="11"/>
  <c r="DH103" i="11"/>
  <c r="DG103" i="11"/>
  <c r="DB103" i="11"/>
  <c r="DA103" i="11"/>
  <c r="CV103" i="11"/>
  <c r="CU103" i="11"/>
  <c r="CP103" i="11"/>
  <c r="CO103" i="11"/>
  <c r="CJ103" i="11"/>
  <c r="CI103" i="11"/>
  <c r="CD103" i="11"/>
  <c r="CC103" i="11"/>
  <c r="BX103" i="11"/>
  <c r="BW103" i="11"/>
  <c r="BR103" i="11"/>
  <c r="BQ103" i="11"/>
  <c r="BL103" i="11"/>
  <c r="BK103" i="11"/>
  <c r="BF103" i="11"/>
  <c r="BE103" i="11"/>
  <c r="BD103" i="11"/>
  <c r="BC103" i="11"/>
  <c r="AZ103" i="11"/>
  <c r="DT103" i="11" s="1"/>
  <c r="AY103" i="11"/>
  <c r="DS103" i="11" s="1"/>
  <c r="AX103" i="11"/>
  <c r="AW103" i="11"/>
  <c r="AT103" i="11"/>
  <c r="AS103" i="11"/>
  <c r="AP103" i="11"/>
  <c r="AO103" i="11"/>
  <c r="AL103" i="11"/>
  <c r="AK103" i="11"/>
  <c r="AH103" i="11"/>
  <c r="AG103" i="11"/>
  <c r="AD103" i="11"/>
  <c r="AC103" i="11"/>
  <c r="Z103" i="11"/>
  <c r="Y103" i="11"/>
  <c r="V103" i="11"/>
  <c r="U103" i="11"/>
  <c r="R103" i="11"/>
  <c r="Q103" i="11"/>
  <c r="N103" i="11"/>
  <c r="M103" i="11"/>
  <c r="J103" i="11"/>
  <c r="I103" i="11"/>
  <c r="H103" i="11"/>
  <c r="G103" i="11"/>
  <c r="D103" i="11"/>
  <c r="C103" i="11"/>
  <c r="DR102" i="11"/>
  <c r="DQ102" i="11"/>
  <c r="DP102" i="11"/>
  <c r="DO102" i="11"/>
  <c r="DN102" i="11"/>
  <c r="DM102" i="11"/>
  <c r="DH102" i="11"/>
  <c r="DG102" i="11"/>
  <c r="DB102" i="11"/>
  <c r="DA102" i="11"/>
  <c r="CV102" i="11"/>
  <c r="CU102" i="11"/>
  <c r="CP102" i="11"/>
  <c r="CO102" i="11"/>
  <c r="CJ102" i="11"/>
  <c r="CI102" i="11"/>
  <c r="CD102" i="11"/>
  <c r="CC102" i="11"/>
  <c r="BX102" i="11"/>
  <c r="BW102" i="11"/>
  <c r="BR102" i="11"/>
  <c r="BQ102" i="11"/>
  <c r="BL102" i="11"/>
  <c r="BK102" i="11"/>
  <c r="BF102" i="11"/>
  <c r="BE102" i="11"/>
  <c r="BD102" i="11"/>
  <c r="BC102" i="11"/>
  <c r="AZ102" i="11"/>
  <c r="AY102" i="11"/>
  <c r="DS102" i="11" s="1"/>
  <c r="AX102" i="11"/>
  <c r="AW102" i="11"/>
  <c r="AT102" i="11"/>
  <c r="AS102" i="11"/>
  <c r="AP102" i="11"/>
  <c r="AO102" i="11"/>
  <c r="AL102" i="11"/>
  <c r="AK102" i="11"/>
  <c r="AH102" i="11"/>
  <c r="AG102" i="11"/>
  <c r="AD102" i="11"/>
  <c r="AC102" i="11"/>
  <c r="Z102" i="11"/>
  <c r="Y102" i="11"/>
  <c r="V102" i="11"/>
  <c r="U102" i="11"/>
  <c r="R102" i="11"/>
  <c r="Q102" i="11"/>
  <c r="N102" i="11"/>
  <c r="M102" i="11"/>
  <c r="J102" i="11"/>
  <c r="I102" i="11"/>
  <c r="H102" i="11"/>
  <c r="G102" i="11"/>
  <c r="D102" i="11"/>
  <c r="C102" i="11"/>
  <c r="DR100" i="11"/>
  <c r="DQ100" i="11"/>
  <c r="DP100" i="11"/>
  <c r="DO100" i="11"/>
  <c r="DN100" i="11"/>
  <c r="DM100" i="11"/>
  <c r="DH100" i="11"/>
  <c r="DG100" i="11"/>
  <c r="DB100" i="11"/>
  <c r="DA100" i="11"/>
  <c r="CV100" i="11"/>
  <c r="CU100" i="11"/>
  <c r="CP100" i="11"/>
  <c r="CO100" i="11"/>
  <c r="CJ100" i="11"/>
  <c r="CI100" i="11"/>
  <c r="CD100" i="11"/>
  <c r="CC100" i="11"/>
  <c r="BX100" i="11"/>
  <c r="BW100" i="11"/>
  <c r="BR100" i="11"/>
  <c r="BQ100" i="11"/>
  <c r="BL100" i="11"/>
  <c r="BK100" i="11"/>
  <c r="BF100" i="11"/>
  <c r="BE100" i="11"/>
  <c r="BD100" i="11"/>
  <c r="BC100" i="11"/>
  <c r="AZ100" i="11"/>
  <c r="AY100" i="11"/>
  <c r="AX100" i="11"/>
  <c r="AW100" i="11"/>
  <c r="AT100" i="11"/>
  <c r="AS100" i="11"/>
  <c r="AP100" i="11"/>
  <c r="AO100" i="11"/>
  <c r="AL100" i="11"/>
  <c r="AK100" i="11"/>
  <c r="AH100" i="11"/>
  <c r="AG100" i="11"/>
  <c r="AD100" i="11"/>
  <c r="AC100" i="11"/>
  <c r="Z100" i="11"/>
  <c r="Y100" i="11"/>
  <c r="V100" i="11"/>
  <c r="U100" i="11"/>
  <c r="R100" i="11"/>
  <c r="Q100" i="11"/>
  <c r="N100" i="11"/>
  <c r="M100" i="11"/>
  <c r="J100" i="11"/>
  <c r="I100" i="11"/>
  <c r="H100" i="11"/>
  <c r="G100" i="11"/>
  <c r="D100" i="11"/>
  <c r="C100" i="11"/>
  <c r="DR99" i="11"/>
  <c r="DQ99" i="11"/>
  <c r="DP99" i="11"/>
  <c r="DO99" i="11"/>
  <c r="DN99" i="11"/>
  <c r="DM99" i="11"/>
  <c r="DH99" i="11"/>
  <c r="DG99" i="11"/>
  <c r="DB99" i="11"/>
  <c r="DA99" i="11"/>
  <c r="CV99" i="11"/>
  <c r="CU99" i="11"/>
  <c r="CP99" i="11"/>
  <c r="CO99" i="11"/>
  <c r="CJ99" i="11"/>
  <c r="CI99" i="11"/>
  <c r="CD99" i="11"/>
  <c r="CC99" i="11"/>
  <c r="BX99" i="11"/>
  <c r="BW99" i="11"/>
  <c r="BR99" i="11"/>
  <c r="BQ99" i="11"/>
  <c r="BL99" i="11"/>
  <c r="BK99" i="11"/>
  <c r="BF99" i="11"/>
  <c r="BE99" i="11"/>
  <c r="BD99" i="11"/>
  <c r="BC99" i="11"/>
  <c r="AZ99" i="11"/>
  <c r="AY99" i="11"/>
  <c r="AX99" i="11"/>
  <c r="AW99" i="11"/>
  <c r="AT99" i="11"/>
  <c r="AS99" i="11"/>
  <c r="AP99" i="11"/>
  <c r="AO99" i="11"/>
  <c r="AL99" i="11"/>
  <c r="AK99" i="11"/>
  <c r="AH99" i="11"/>
  <c r="AG99" i="11"/>
  <c r="AD99" i="11"/>
  <c r="AC99" i="11"/>
  <c r="Z99" i="11"/>
  <c r="Y99" i="11"/>
  <c r="V99" i="11"/>
  <c r="U99" i="11"/>
  <c r="R99" i="11"/>
  <c r="Q99" i="11"/>
  <c r="N99" i="11"/>
  <c r="M99" i="11"/>
  <c r="J99" i="11"/>
  <c r="I99" i="11"/>
  <c r="H99" i="11"/>
  <c r="G99" i="11"/>
  <c r="D99" i="11"/>
  <c r="C99" i="11"/>
  <c r="DR98" i="11"/>
  <c r="DQ98" i="11"/>
  <c r="DP98" i="11"/>
  <c r="DO98" i="11"/>
  <c r="DN98" i="11"/>
  <c r="DM98" i="11"/>
  <c r="DH98" i="11"/>
  <c r="DG98" i="11"/>
  <c r="DB98" i="11"/>
  <c r="DA98" i="11"/>
  <c r="CV98" i="11"/>
  <c r="CU98" i="11"/>
  <c r="CP98" i="11"/>
  <c r="CO98" i="11"/>
  <c r="CJ98" i="11"/>
  <c r="CI98" i="11"/>
  <c r="CD98" i="11"/>
  <c r="CC98" i="11"/>
  <c r="BX98" i="11"/>
  <c r="BW98" i="11"/>
  <c r="BR98" i="11"/>
  <c r="BQ98" i="11"/>
  <c r="BL98" i="11"/>
  <c r="BK98" i="11"/>
  <c r="BF98" i="11"/>
  <c r="BE98" i="11"/>
  <c r="BD98" i="11"/>
  <c r="BC98" i="11"/>
  <c r="AZ98" i="11"/>
  <c r="AY98" i="11"/>
  <c r="AX98" i="11"/>
  <c r="AW98" i="11"/>
  <c r="AT98" i="11"/>
  <c r="AS98" i="11"/>
  <c r="AP98" i="11"/>
  <c r="AO98" i="11"/>
  <c r="AL98" i="11"/>
  <c r="AK98" i="11"/>
  <c r="AH98" i="11"/>
  <c r="AG98" i="11"/>
  <c r="AD98" i="11"/>
  <c r="AC98" i="11"/>
  <c r="Z98" i="11"/>
  <c r="Y98" i="11"/>
  <c r="V98" i="11"/>
  <c r="U98" i="11"/>
  <c r="R98" i="11"/>
  <c r="Q98" i="11"/>
  <c r="N98" i="11"/>
  <c r="M98" i="11"/>
  <c r="J98" i="11"/>
  <c r="I98" i="11"/>
  <c r="H98" i="11"/>
  <c r="G98" i="11"/>
  <c r="D98" i="11"/>
  <c r="C98" i="11"/>
  <c r="DR97" i="11"/>
  <c r="DQ97" i="11"/>
  <c r="DP97" i="11"/>
  <c r="DO97" i="11"/>
  <c r="DN97" i="11"/>
  <c r="DM97" i="11"/>
  <c r="DH97" i="11"/>
  <c r="DG97" i="11"/>
  <c r="DB97" i="11"/>
  <c r="DA97" i="11"/>
  <c r="CV97" i="11"/>
  <c r="CU97" i="11"/>
  <c r="CP97" i="11"/>
  <c r="CO97" i="11"/>
  <c r="CJ97" i="11"/>
  <c r="CI97" i="11"/>
  <c r="CD97" i="11"/>
  <c r="CC97" i="11"/>
  <c r="BX97" i="11"/>
  <c r="BW97" i="11"/>
  <c r="BR97" i="11"/>
  <c r="BQ97" i="11"/>
  <c r="BL97" i="11"/>
  <c r="BK97" i="11"/>
  <c r="BF97" i="11"/>
  <c r="BE97" i="11"/>
  <c r="BD97" i="11"/>
  <c r="BC97" i="11"/>
  <c r="AZ97" i="11"/>
  <c r="AY97" i="11"/>
  <c r="AX97" i="11"/>
  <c r="AW97" i="11"/>
  <c r="AT97" i="11"/>
  <c r="AS97" i="11"/>
  <c r="AP97" i="11"/>
  <c r="AO97" i="11"/>
  <c r="AL97" i="11"/>
  <c r="AK97" i="11"/>
  <c r="AH97" i="11"/>
  <c r="AG97" i="11"/>
  <c r="AD97" i="11"/>
  <c r="AC97" i="11"/>
  <c r="Z97" i="11"/>
  <c r="Y97" i="11"/>
  <c r="V97" i="11"/>
  <c r="U97" i="11"/>
  <c r="R97" i="11"/>
  <c r="Q97" i="11"/>
  <c r="N97" i="11"/>
  <c r="M97" i="11"/>
  <c r="J97" i="11"/>
  <c r="I97" i="11"/>
  <c r="H97" i="11"/>
  <c r="G97" i="11"/>
  <c r="D97" i="11"/>
  <c r="C97" i="11"/>
  <c r="DR96" i="11"/>
  <c r="DQ96" i="11"/>
  <c r="DP96" i="11"/>
  <c r="DO96" i="11"/>
  <c r="DN96" i="11"/>
  <c r="DM96" i="11"/>
  <c r="DH96" i="11"/>
  <c r="DG96" i="11"/>
  <c r="DB96" i="11"/>
  <c r="DA96" i="11"/>
  <c r="CV96" i="11"/>
  <c r="CU96" i="11"/>
  <c r="CP96" i="11"/>
  <c r="CO96" i="11"/>
  <c r="CJ96" i="11"/>
  <c r="CI96" i="11"/>
  <c r="CD96" i="11"/>
  <c r="CC96" i="11"/>
  <c r="BX96" i="11"/>
  <c r="BW96" i="11"/>
  <c r="BR96" i="11"/>
  <c r="BQ96" i="11"/>
  <c r="BL96" i="11"/>
  <c r="BK96" i="11"/>
  <c r="BF96" i="11"/>
  <c r="BE96" i="11"/>
  <c r="BD96" i="11"/>
  <c r="BC96" i="11"/>
  <c r="AZ96" i="11"/>
  <c r="DT100" i="11" s="1"/>
  <c r="AY96" i="11"/>
  <c r="DS100" i="11" s="1"/>
  <c r="AX96" i="11"/>
  <c r="AW96" i="11"/>
  <c r="AT96" i="11"/>
  <c r="AS96" i="11"/>
  <c r="AP96" i="11"/>
  <c r="AO96" i="11"/>
  <c r="AL96" i="11"/>
  <c r="AK96" i="11"/>
  <c r="AH96" i="11"/>
  <c r="AG96" i="11"/>
  <c r="AD96" i="11"/>
  <c r="AC96" i="11"/>
  <c r="Z96" i="11"/>
  <c r="Y96" i="11"/>
  <c r="V96" i="11"/>
  <c r="U96" i="11"/>
  <c r="R96" i="11"/>
  <c r="Q96" i="11"/>
  <c r="N96" i="11"/>
  <c r="M96" i="11"/>
  <c r="J96" i="11"/>
  <c r="I96" i="11"/>
  <c r="H96" i="11"/>
  <c r="G96" i="11"/>
  <c r="D96" i="11"/>
  <c r="C96" i="11"/>
  <c r="DR95" i="11"/>
  <c r="DQ95" i="11"/>
  <c r="DP95" i="11"/>
  <c r="DO95" i="11"/>
  <c r="DN95" i="11"/>
  <c r="DM95" i="11"/>
  <c r="DH95" i="11"/>
  <c r="DG95" i="11"/>
  <c r="DB95" i="11"/>
  <c r="DA95" i="11"/>
  <c r="CV95" i="11"/>
  <c r="CU95" i="11"/>
  <c r="CP95" i="11"/>
  <c r="CO95" i="11"/>
  <c r="CJ95" i="11"/>
  <c r="CI95" i="11"/>
  <c r="CD95" i="11"/>
  <c r="CC95" i="11"/>
  <c r="BX95" i="11"/>
  <c r="BW95" i="11"/>
  <c r="BR95" i="11"/>
  <c r="BQ95" i="11"/>
  <c r="BL95" i="11"/>
  <c r="BK95" i="11"/>
  <c r="BF95" i="11"/>
  <c r="BE95" i="11"/>
  <c r="BD95" i="11"/>
  <c r="BC95" i="11"/>
  <c r="AZ95" i="11"/>
  <c r="DT95" i="11" s="1"/>
  <c r="AY95" i="11"/>
  <c r="DS95" i="11" s="1"/>
  <c r="AX95" i="11"/>
  <c r="AW95" i="11"/>
  <c r="AT95" i="11"/>
  <c r="AS95" i="11"/>
  <c r="AP95" i="11"/>
  <c r="AO95" i="11"/>
  <c r="AL95" i="11"/>
  <c r="AK95" i="11"/>
  <c r="AH95" i="11"/>
  <c r="AG95" i="11"/>
  <c r="AD95" i="11"/>
  <c r="AC95" i="11"/>
  <c r="Z95" i="11"/>
  <c r="Y95" i="11"/>
  <c r="V95" i="11"/>
  <c r="U95" i="11"/>
  <c r="R95" i="11"/>
  <c r="Q95" i="11"/>
  <c r="N95" i="11"/>
  <c r="M95" i="11"/>
  <c r="J95" i="11"/>
  <c r="I95" i="11"/>
  <c r="H95" i="11"/>
  <c r="G95" i="11"/>
  <c r="D95" i="11"/>
  <c r="C95" i="11"/>
  <c r="DR93" i="11"/>
  <c r="DQ93" i="11"/>
  <c r="DP93" i="11"/>
  <c r="DO93" i="11"/>
  <c r="DN93" i="11"/>
  <c r="DM93" i="11"/>
  <c r="DH93" i="11"/>
  <c r="DG93" i="11"/>
  <c r="DB93" i="11"/>
  <c r="DA93" i="11"/>
  <c r="CV93" i="11"/>
  <c r="CU93" i="11"/>
  <c r="CP93" i="11"/>
  <c r="CO93" i="11"/>
  <c r="CJ93" i="11"/>
  <c r="CI93" i="11"/>
  <c r="CD93" i="11"/>
  <c r="CC93" i="11"/>
  <c r="BX93" i="11"/>
  <c r="BW93" i="11"/>
  <c r="BR93" i="11"/>
  <c r="BQ93" i="11"/>
  <c r="BL93" i="11"/>
  <c r="BK93" i="11"/>
  <c r="BF93" i="11"/>
  <c r="BE93" i="11"/>
  <c r="BD93" i="11"/>
  <c r="BC93" i="11"/>
  <c r="AZ93" i="11"/>
  <c r="DT93" i="11" s="1"/>
  <c r="AY93" i="11"/>
  <c r="DS93" i="11" s="1"/>
  <c r="AX93" i="11"/>
  <c r="AW93" i="11"/>
  <c r="AT93" i="11"/>
  <c r="AS93" i="11"/>
  <c r="AP93" i="11"/>
  <c r="AO93" i="11"/>
  <c r="AL93" i="11"/>
  <c r="AK93" i="11"/>
  <c r="AH93" i="11"/>
  <c r="AG93" i="11"/>
  <c r="AD93" i="11"/>
  <c r="AC93" i="11"/>
  <c r="Z93" i="11"/>
  <c r="Y93" i="11"/>
  <c r="V93" i="11"/>
  <c r="U93" i="11"/>
  <c r="R93" i="11"/>
  <c r="Q93" i="11"/>
  <c r="N93" i="11"/>
  <c r="M93" i="11"/>
  <c r="J93" i="11"/>
  <c r="I93" i="11"/>
  <c r="H93" i="11"/>
  <c r="G93" i="11"/>
  <c r="D93" i="11"/>
  <c r="C93" i="11"/>
  <c r="DR92" i="11"/>
  <c r="DQ92" i="11"/>
  <c r="DP92" i="11"/>
  <c r="DO92" i="11"/>
  <c r="DN92" i="11"/>
  <c r="DM92" i="11"/>
  <c r="DH92" i="11"/>
  <c r="DG92" i="11"/>
  <c r="DB92" i="11"/>
  <c r="DA92" i="11"/>
  <c r="CV92" i="11"/>
  <c r="CU92" i="11"/>
  <c r="CP92" i="11"/>
  <c r="CO92" i="11"/>
  <c r="CJ92" i="11"/>
  <c r="CI92" i="11"/>
  <c r="CD92" i="11"/>
  <c r="CC92" i="11"/>
  <c r="BX92" i="11"/>
  <c r="BW92" i="11"/>
  <c r="BR92" i="11"/>
  <c r="BQ92" i="11"/>
  <c r="BL92" i="11"/>
  <c r="BK92" i="11"/>
  <c r="BF92" i="11"/>
  <c r="BE92" i="11"/>
  <c r="BD92" i="11"/>
  <c r="BC92" i="11"/>
  <c r="AZ92" i="11"/>
  <c r="DT92" i="11" s="1"/>
  <c r="AY92" i="11"/>
  <c r="DS92" i="11" s="1"/>
  <c r="AX92" i="11"/>
  <c r="AW92" i="11"/>
  <c r="AT92" i="11"/>
  <c r="AS92" i="11"/>
  <c r="AP92" i="11"/>
  <c r="AO92" i="11"/>
  <c r="AL92" i="11"/>
  <c r="AK92" i="11"/>
  <c r="AH92" i="11"/>
  <c r="AG92" i="11"/>
  <c r="AD92" i="11"/>
  <c r="AC92" i="11"/>
  <c r="Z92" i="11"/>
  <c r="Y92" i="11"/>
  <c r="V92" i="11"/>
  <c r="U92" i="11"/>
  <c r="R92" i="11"/>
  <c r="Q92" i="11"/>
  <c r="N92" i="11"/>
  <c r="M92" i="11"/>
  <c r="J92" i="11"/>
  <c r="I92" i="11"/>
  <c r="H92" i="11"/>
  <c r="G92" i="11"/>
  <c r="D92" i="11"/>
  <c r="C92" i="11"/>
  <c r="DR86" i="11"/>
  <c r="DQ86" i="11"/>
  <c r="DP86" i="11"/>
  <c r="DO86" i="11"/>
  <c r="DN86" i="11"/>
  <c r="DM86" i="11"/>
  <c r="DH86" i="11"/>
  <c r="DG86" i="11"/>
  <c r="DB86" i="11"/>
  <c r="DA86" i="11"/>
  <c r="CV86" i="11"/>
  <c r="CU86" i="11"/>
  <c r="CP86" i="11"/>
  <c r="CO86" i="11"/>
  <c r="CJ86" i="11"/>
  <c r="CI86" i="11"/>
  <c r="CD86" i="11"/>
  <c r="CC86" i="11"/>
  <c r="BX86" i="11"/>
  <c r="BW86" i="11"/>
  <c r="BR86" i="11"/>
  <c r="BQ86" i="11"/>
  <c r="BL86" i="11"/>
  <c r="BK86" i="11"/>
  <c r="BF86" i="11"/>
  <c r="BE86" i="11"/>
  <c r="BD86" i="11"/>
  <c r="BC86" i="11"/>
  <c r="AZ86" i="11"/>
  <c r="AY86" i="11"/>
  <c r="AX86" i="11"/>
  <c r="AW86" i="11"/>
  <c r="AT86" i="11"/>
  <c r="AS86" i="11"/>
  <c r="AP86" i="11"/>
  <c r="AO86" i="11"/>
  <c r="AL86" i="11"/>
  <c r="AK86" i="11"/>
  <c r="AH86" i="11"/>
  <c r="AG86" i="11"/>
  <c r="AD86" i="11"/>
  <c r="AC86" i="11"/>
  <c r="Z86" i="11"/>
  <c r="Y86" i="11"/>
  <c r="V86" i="11"/>
  <c r="U86" i="11"/>
  <c r="R86" i="11"/>
  <c r="Q86" i="11"/>
  <c r="N86" i="11"/>
  <c r="M86" i="11"/>
  <c r="J86" i="11"/>
  <c r="I86" i="11"/>
  <c r="H86" i="11"/>
  <c r="G86" i="11"/>
  <c r="D86" i="11"/>
  <c r="C86" i="11"/>
  <c r="DR85" i="11"/>
  <c r="DQ85" i="11"/>
  <c r="DP85" i="11"/>
  <c r="DP84" i="11" s="1"/>
  <c r="DO85" i="11"/>
  <c r="DN85" i="11"/>
  <c r="DN84" i="11" s="1"/>
  <c r="DM85" i="11"/>
  <c r="DH85" i="11"/>
  <c r="DH84" i="11" s="1"/>
  <c r="DG85" i="11"/>
  <c r="DB85" i="11"/>
  <c r="DA85" i="11"/>
  <c r="CV85" i="11"/>
  <c r="CV84" i="11" s="1"/>
  <c r="CU85" i="11"/>
  <c r="CP85" i="11"/>
  <c r="CP84" i="11" s="1"/>
  <c r="CO85" i="11"/>
  <c r="CJ85" i="11"/>
  <c r="CJ84" i="11" s="1"/>
  <c r="CI85" i="11"/>
  <c r="CD85" i="11"/>
  <c r="CC85" i="11"/>
  <c r="BX85" i="11"/>
  <c r="BX84" i="11" s="1"/>
  <c r="BW85" i="11"/>
  <c r="BR85" i="11"/>
  <c r="BR84" i="11" s="1"/>
  <c r="BQ85" i="11"/>
  <c r="BL85" i="11"/>
  <c r="BL84" i="11" s="1"/>
  <c r="BK85" i="11"/>
  <c r="BF85" i="11"/>
  <c r="BE85" i="11"/>
  <c r="BD85" i="11"/>
  <c r="BD84" i="11" s="1"/>
  <c r="BC85" i="11"/>
  <c r="AZ85" i="11"/>
  <c r="DT85" i="11" s="1"/>
  <c r="AY85" i="11"/>
  <c r="AX85" i="11"/>
  <c r="AX84" i="11" s="1"/>
  <c r="AW85" i="11"/>
  <c r="AT85" i="11"/>
  <c r="AS85" i="11"/>
  <c r="AP85" i="11"/>
  <c r="AP84" i="11" s="1"/>
  <c r="AO85" i="11"/>
  <c r="AL85" i="11"/>
  <c r="AL84" i="11" s="1"/>
  <c r="AK85" i="11"/>
  <c r="AH85" i="11"/>
  <c r="AH84" i="11" s="1"/>
  <c r="AG85" i="11"/>
  <c r="AD85" i="11"/>
  <c r="AC85" i="11"/>
  <c r="Z85" i="11"/>
  <c r="Z84" i="11" s="1"/>
  <c r="Y85" i="11"/>
  <c r="V85" i="11"/>
  <c r="V84" i="11" s="1"/>
  <c r="U85" i="11"/>
  <c r="R85" i="11"/>
  <c r="R84" i="11" s="1"/>
  <c r="Q85" i="11"/>
  <c r="N85" i="11"/>
  <c r="M85" i="11"/>
  <c r="J85" i="11"/>
  <c r="J84" i="11" s="1"/>
  <c r="I85" i="11"/>
  <c r="H85" i="11"/>
  <c r="H84" i="11" s="1"/>
  <c r="G85" i="11"/>
  <c r="D85" i="11"/>
  <c r="D84" i="11" s="1"/>
  <c r="C85" i="11"/>
  <c r="C84" i="11" s="1"/>
  <c r="DR83" i="11"/>
  <c r="DQ83" i="11"/>
  <c r="DP83" i="11"/>
  <c r="DO83" i="11"/>
  <c r="DN83" i="11"/>
  <c r="DM83" i="11"/>
  <c r="DH83" i="11"/>
  <c r="DG83" i="11"/>
  <c r="DB83" i="11"/>
  <c r="DA83" i="11"/>
  <c r="CV83" i="11"/>
  <c r="CU83" i="11"/>
  <c r="CP83" i="11"/>
  <c r="CO83" i="11"/>
  <c r="CJ83" i="11"/>
  <c r="CI83" i="11"/>
  <c r="CD83" i="11"/>
  <c r="CC83" i="11"/>
  <c r="BX83" i="11"/>
  <c r="BW83" i="11"/>
  <c r="BR83" i="11"/>
  <c r="BQ83" i="11"/>
  <c r="BL83" i="11"/>
  <c r="BK83" i="11"/>
  <c r="BF83" i="11"/>
  <c r="BE83" i="11"/>
  <c r="BD83" i="11"/>
  <c r="BC83" i="11"/>
  <c r="AZ83" i="11"/>
  <c r="DT83" i="11" s="1"/>
  <c r="AY83" i="11"/>
  <c r="DS83" i="11" s="1"/>
  <c r="AX83" i="11"/>
  <c r="AW83" i="11"/>
  <c r="AT83" i="11"/>
  <c r="AS83" i="11"/>
  <c r="AP83" i="11"/>
  <c r="AO83" i="11"/>
  <c r="AL83" i="11"/>
  <c r="AK83" i="11"/>
  <c r="AH83" i="11"/>
  <c r="AG83" i="11"/>
  <c r="AD83" i="11"/>
  <c r="AC83" i="11"/>
  <c r="Z83" i="11"/>
  <c r="Y83" i="11"/>
  <c r="V83" i="11"/>
  <c r="U83" i="11"/>
  <c r="R83" i="11"/>
  <c r="Q83" i="11"/>
  <c r="N83" i="11"/>
  <c r="M83" i="11"/>
  <c r="J83" i="11"/>
  <c r="I83" i="11"/>
  <c r="H83" i="11"/>
  <c r="G83" i="11"/>
  <c r="D83" i="11"/>
  <c r="C83" i="11"/>
  <c r="DR82" i="11"/>
  <c r="DQ82" i="11"/>
  <c r="DP82" i="11"/>
  <c r="DO82" i="11"/>
  <c r="DN82" i="11"/>
  <c r="DM82" i="11"/>
  <c r="DH82" i="11"/>
  <c r="DG82" i="11"/>
  <c r="DB82" i="11"/>
  <c r="DA82" i="11"/>
  <c r="CV82" i="11"/>
  <c r="CU82" i="11"/>
  <c r="CP82" i="11"/>
  <c r="CO82" i="11"/>
  <c r="CJ82" i="11"/>
  <c r="CI82" i="11"/>
  <c r="CD82" i="11"/>
  <c r="CC82" i="11"/>
  <c r="BX82" i="11"/>
  <c r="BW82" i="11"/>
  <c r="BR82" i="11"/>
  <c r="BQ82" i="11"/>
  <c r="BL82" i="11"/>
  <c r="BK82" i="11"/>
  <c r="BF82" i="11"/>
  <c r="BE82" i="11"/>
  <c r="BD82" i="11"/>
  <c r="BC82" i="11"/>
  <c r="AZ82" i="11"/>
  <c r="DT82" i="11" s="1"/>
  <c r="AY82" i="11"/>
  <c r="DS82" i="11" s="1"/>
  <c r="AX82" i="11"/>
  <c r="AW82" i="11"/>
  <c r="AT82" i="11"/>
  <c r="AS82" i="11"/>
  <c r="AP82" i="11"/>
  <c r="AO82" i="11"/>
  <c r="AL82" i="11"/>
  <c r="AK82" i="11"/>
  <c r="AH82" i="11"/>
  <c r="AG82" i="11"/>
  <c r="AD82" i="11"/>
  <c r="AC82" i="11"/>
  <c r="Z82" i="11"/>
  <c r="Y82" i="11"/>
  <c r="V82" i="11"/>
  <c r="U82" i="11"/>
  <c r="R82" i="11"/>
  <c r="Q82" i="11"/>
  <c r="N82" i="11"/>
  <c r="M82" i="11"/>
  <c r="J82" i="11"/>
  <c r="I82" i="11"/>
  <c r="H82" i="11"/>
  <c r="G82" i="11"/>
  <c r="D82" i="11"/>
  <c r="C82" i="11"/>
  <c r="DR80" i="11"/>
  <c r="DQ80" i="11"/>
  <c r="DP80" i="11"/>
  <c r="DO80" i="11"/>
  <c r="DN80" i="11"/>
  <c r="DM80" i="11"/>
  <c r="DH80" i="11"/>
  <c r="DG80" i="11"/>
  <c r="DB80" i="11"/>
  <c r="DA80" i="11"/>
  <c r="CV80" i="11"/>
  <c r="CU80" i="11"/>
  <c r="CP80" i="11"/>
  <c r="CO80" i="11"/>
  <c r="CJ80" i="11"/>
  <c r="CI80" i="11"/>
  <c r="CD80" i="11"/>
  <c r="CC80" i="11"/>
  <c r="BX80" i="11"/>
  <c r="BW80" i="11"/>
  <c r="BR80" i="11"/>
  <c r="BQ80" i="11"/>
  <c r="BL80" i="11"/>
  <c r="BK80" i="11"/>
  <c r="BF80" i="11"/>
  <c r="BE80" i="11"/>
  <c r="BD80" i="11"/>
  <c r="BC80" i="11"/>
  <c r="AZ80" i="11"/>
  <c r="DT80" i="11" s="1"/>
  <c r="AY80" i="11"/>
  <c r="DS80" i="11" s="1"/>
  <c r="AX80" i="11"/>
  <c r="AW80" i="11"/>
  <c r="AT80" i="11"/>
  <c r="AS80" i="11"/>
  <c r="AP80" i="11"/>
  <c r="AO80" i="11"/>
  <c r="AL80" i="11"/>
  <c r="AK80" i="11"/>
  <c r="AH80" i="11"/>
  <c r="AG80" i="11"/>
  <c r="AD80" i="11"/>
  <c r="AC80" i="11"/>
  <c r="Z80" i="11"/>
  <c r="Y80" i="11"/>
  <c r="V80" i="11"/>
  <c r="U80" i="11"/>
  <c r="R80" i="11"/>
  <c r="Q80" i="11"/>
  <c r="N80" i="11"/>
  <c r="M80" i="11"/>
  <c r="J80" i="11"/>
  <c r="I80" i="11"/>
  <c r="H80" i="11"/>
  <c r="G80" i="11"/>
  <c r="D80" i="11"/>
  <c r="C80" i="11"/>
  <c r="DR79" i="11"/>
  <c r="DQ79" i="11"/>
  <c r="DP79" i="11"/>
  <c r="DO79" i="11"/>
  <c r="DN79" i="11"/>
  <c r="DM79" i="11"/>
  <c r="DH79" i="11"/>
  <c r="DG79" i="11"/>
  <c r="DB79" i="11"/>
  <c r="DA79" i="11"/>
  <c r="CV79" i="11"/>
  <c r="CU79" i="11"/>
  <c r="CP79" i="11"/>
  <c r="CP78" i="11" s="1"/>
  <c r="CO79" i="11"/>
  <c r="CJ79" i="11"/>
  <c r="CI79" i="11"/>
  <c r="CD79" i="11"/>
  <c r="CC79" i="11"/>
  <c r="BX79" i="11"/>
  <c r="BW79" i="11"/>
  <c r="BR79" i="11"/>
  <c r="BQ79" i="11"/>
  <c r="BL79" i="11"/>
  <c r="BK79" i="11"/>
  <c r="BF79" i="11"/>
  <c r="BE79" i="11"/>
  <c r="BD79" i="11"/>
  <c r="BC79" i="11"/>
  <c r="AZ79" i="11"/>
  <c r="DT79" i="11" s="1"/>
  <c r="AY79" i="11"/>
  <c r="DS79" i="11" s="1"/>
  <c r="AX79" i="11"/>
  <c r="AW79" i="11"/>
  <c r="AT79" i="11"/>
  <c r="AS79" i="11"/>
  <c r="AP79" i="11"/>
  <c r="AO79" i="11"/>
  <c r="AL79" i="11"/>
  <c r="AK79" i="11"/>
  <c r="AH79" i="11"/>
  <c r="AG79" i="11"/>
  <c r="AD79" i="11"/>
  <c r="AC79" i="11"/>
  <c r="Z79" i="11"/>
  <c r="Y79" i="11"/>
  <c r="V79" i="11"/>
  <c r="U79" i="11"/>
  <c r="R79" i="11"/>
  <c r="Q79" i="11"/>
  <c r="N79" i="11"/>
  <c r="M79" i="11"/>
  <c r="J79" i="11"/>
  <c r="I79" i="11"/>
  <c r="H79" i="11"/>
  <c r="G79" i="11"/>
  <c r="D79" i="11"/>
  <c r="C79" i="11"/>
  <c r="DR73" i="11"/>
  <c r="DQ73" i="11"/>
  <c r="DP73" i="11"/>
  <c r="DO73" i="11"/>
  <c r="DN73" i="11"/>
  <c r="DM73" i="11"/>
  <c r="DL73" i="11"/>
  <c r="DK73" i="11"/>
  <c r="DH73" i="11"/>
  <c r="DG73" i="11"/>
  <c r="DF73" i="11"/>
  <c r="DE73" i="11"/>
  <c r="DB73" i="11"/>
  <c r="DA73" i="11"/>
  <c r="CZ73" i="11"/>
  <c r="CY73" i="11"/>
  <c r="CV73" i="11"/>
  <c r="CU73" i="11"/>
  <c r="CT73" i="11"/>
  <c r="CS73" i="11"/>
  <c r="CP73" i="11"/>
  <c r="CO73" i="11"/>
  <c r="CN73" i="11"/>
  <c r="CM73" i="11"/>
  <c r="CJ73" i="11"/>
  <c r="CI73" i="11"/>
  <c r="CH73" i="11"/>
  <c r="CG73" i="11"/>
  <c r="CD73" i="11"/>
  <c r="CC73" i="11"/>
  <c r="CB73" i="11"/>
  <c r="CA73" i="11"/>
  <c r="BX73" i="11"/>
  <c r="BW73" i="11"/>
  <c r="BV73" i="11"/>
  <c r="BU73" i="11"/>
  <c r="BR73" i="11"/>
  <c r="BQ73" i="11"/>
  <c r="BP73" i="11"/>
  <c r="BO73" i="11"/>
  <c r="BL73" i="11"/>
  <c r="BK73" i="11"/>
  <c r="BF73" i="11"/>
  <c r="BE73" i="11"/>
  <c r="BD73" i="11"/>
  <c r="BC73" i="11"/>
  <c r="AZ73" i="11"/>
  <c r="AY73" i="11"/>
  <c r="AX73" i="11"/>
  <c r="AW73" i="11"/>
  <c r="AT73" i="11"/>
  <c r="AS73" i="11"/>
  <c r="AP73" i="11"/>
  <c r="AO73" i="11"/>
  <c r="AL73" i="11"/>
  <c r="AK73" i="11"/>
  <c r="AH73" i="11"/>
  <c r="AG73" i="11"/>
  <c r="AD73" i="11"/>
  <c r="AC73" i="11"/>
  <c r="Z73" i="11"/>
  <c r="Y73" i="11"/>
  <c r="V73" i="11"/>
  <c r="U73" i="11"/>
  <c r="R73" i="11"/>
  <c r="Q73" i="11"/>
  <c r="N73" i="11"/>
  <c r="M73" i="11"/>
  <c r="J73" i="11"/>
  <c r="I73" i="11"/>
  <c r="H73" i="11"/>
  <c r="G73" i="11"/>
  <c r="D73" i="11"/>
  <c r="C73" i="11"/>
  <c r="DR72" i="11"/>
  <c r="DQ72" i="11"/>
  <c r="DP72" i="11"/>
  <c r="DO72" i="11"/>
  <c r="DN72" i="11"/>
  <c r="DM72" i="11"/>
  <c r="DL72" i="11"/>
  <c r="DK72" i="11"/>
  <c r="DH72" i="11"/>
  <c r="DG72" i="11"/>
  <c r="DF72" i="11"/>
  <c r="DE72" i="11"/>
  <c r="DB72" i="11"/>
  <c r="DA72" i="11"/>
  <c r="CZ72" i="11"/>
  <c r="CY72" i="11"/>
  <c r="CV72" i="11"/>
  <c r="CU72" i="11"/>
  <c r="CT72" i="11"/>
  <c r="CS72" i="11"/>
  <c r="CP72" i="11"/>
  <c r="CO72" i="11"/>
  <c r="CN72" i="11"/>
  <c r="CM72" i="11"/>
  <c r="CJ72" i="11"/>
  <c r="CI72" i="11"/>
  <c r="CH72" i="11"/>
  <c r="CG72" i="11"/>
  <c r="CD72" i="11"/>
  <c r="CC72" i="11"/>
  <c r="CB72" i="11"/>
  <c r="CA72" i="11"/>
  <c r="BX72" i="11"/>
  <c r="BW72" i="11"/>
  <c r="BV72" i="11"/>
  <c r="BU72" i="11"/>
  <c r="BR72" i="11"/>
  <c r="BQ72" i="11"/>
  <c r="BP72" i="11"/>
  <c r="BO72" i="11"/>
  <c r="BL72" i="11"/>
  <c r="BK72" i="11"/>
  <c r="BF72" i="11"/>
  <c r="BE72" i="11"/>
  <c r="BD72" i="11"/>
  <c r="BC72" i="11"/>
  <c r="AZ72" i="11"/>
  <c r="AY72" i="11"/>
  <c r="AX72" i="11"/>
  <c r="AW72" i="11"/>
  <c r="AT72" i="11"/>
  <c r="AS72" i="11"/>
  <c r="AP72" i="11"/>
  <c r="AO72" i="11"/>
  <c r="AL72" i="11"/>
  <c r="AK72" i="11"/>
  <c r="AH72" i="11"/>
  <c r="AG72" i="11"/>
  <c r="AD72" i="11"/>
  <c r="AC72" i="11"/>
  <c r="Z72" i="11"/>
  <c r="Y72" i="11"/>
  <c r="V72" i="11"/>
  <c r="U72" i="11"/>
  <c r="R72" i="11"/>
  <c r="Q72" i="11"/>
  <c r="N72" i="11"/>
  <c r="M72" i="11"/>
  <c r="J72" i="11"/>
  <c r="I72" i="11"/>
  <c r="H72" i="11"/>
  <c r="G72" i="11"/>
  <c r="D72" i="11"/>
  <c r="C72" i="11"/>
  <c r="DR71" i="11"/>
  <c r="DQ71" i="11"/>
  <c r="DP71" i="11"/>
  <c r="DO71" i="11"/>
  <c r="DN71" i="11"/>
  <c r="DM71" i="11"/>
  <c r="DL71" i="11"/>
  <c r="DK71" i="11"/>
  <c r="DH71" i="11"/>
  <c r="DG71" i="11"/>
  <c r="DF71" i="11"/>
  <c r="DE71" i="11"/>
  <c r="DB71" i="11"/>
  <c r="DA71" i="11"/>
  <c r="CZ71" i="11"/>
  <c r="CY71" i="11"/>
  <c r="CV71" i="11"/>
  <c r="CU71" i="11"/>
  <c r="CT71" i="11"/>
  <c r="CS71" i="11"/>
  <c r="CP71" i="11"/>
  <c r="CO71" i="11"/>
  <c r="CN71" i="11"/>
  <c r="CM71" i="11"/>
  <c r="CJ71" i="11"/>
  <c r="CI71" i="11"/>
  <c r="CH71" i="11"/>
  <c r="CG71" i="11"/>
  <c r="CD71" i="11"/>
  <c r="CC71" i="11"/>
  <c r="CB71" i="11"/>
  <c r="CA71" i="11"/>
  <c r="BX71" i="11"/>
  <c r="BW71" i="11"/>
  <c r="BV71" i="11"/>
  <c r="BU71" i="11"/>
  <c r="BR71" i="11"/>
  <c r="BQ71" i="11"/>
  <c r="BP71" i="11"/>
  <c r="BO71" i="11"/>
  <c r="BL71" i="11"/>
  <c r="BK71" i="11"/>
  <c r="BF71" i="11"/>
  <c r="BE71" i="11"/>
  <c r="BD71" i="11"/>
  <c r="BC71" i="11"/>
  <c r="AZ71" i="11"/>
  <c r="AY71" i="11"/>
  <c r="AX71" i="11"/>
  <c r="AW71" i="11"/>
  <c r="AT71" i="11"/>
  <c r="AS71" i="11"/>
  <c r="AP71" i="11"/>
  <c r="AO71" i="11"/>
  <c r="AL71" i="11"/>
  <c r="AK71" i="11"/>
  <c r="AH71" i="11"/>
  <c r="AG71" i="11"/>
  <c r="AD71" i="11"/>
  <c r="AC71" i="11"/>
  <c r="Z71" i="11"/>
  <c r="Y71" i="11"/>
  <c r="V71" i="11"/>
  <c r="U71" i="11"/>
  <c r="R71" i="11"/>
  <c r="Q71" i="11"/>
  <c r="N71" i="11"/>
  <c r="M71" i="11"/>
  <c r="J71" i="11"/>
  <c r="I71" i="11"/>
  <c r="H71" i="11"/>
  <c r="G71" i="11"/>
  <c r="D71" i="11"/>
  <c r="C71" i="11"/>
  <c r="DR70" i="11"/>
  <c r="DQ70" i="11"/>
  <c r="DP70" i="11"/>
  <c r="DO70" i="11"/>
  <c r="DN70" i="11"/>
  <c r="DM70" i="11"/>
  <c r="DL70" i="11"/>
  <c r="DK70" i="11"/>
  <c r="DH70" i="11"/>
  <c r="DG70" i="11"/>
  <c r="DF70" i="11"/>
  <c r="DE70" i="11"/>
  <c r="DB70" i="11"/>
  <c r="DA70" i="11"/>
  <c r="CZ70" i="11"/>
  <c r="CY70" i="11"/>
  <c r="CV70" i="11"/>
  <c r="CU70" i="11"/>
  <c r="CT70" i="11"/>
  <c r="CS70" i="11"/>
  <c r="CP70" i="11"/>
  <c r="CO70" i="11"/>
  <c r="CN70" i="11"/>
  <c r="CM70" i="11"/>
  <c r="CJ70" i="11"/>
  <c r="CI70" i="11"/>
  <c r="CH70" i="11"/>
  <c r="CG70" i="11"/>
  <c r="CD70" i="11"/>
  <c r="CC70" i="11"/>
  <c r="CB70" i="11"/>
  <c r="CA70" i="11"/>
  <c r="BX70" i="11"/>
  <c r="BW70" i="11"/>
  <c r="BV70" i="11"/>
  <c r="BU70" i="11"/>
  <c r="BR70" i="11"/>
  <c r="BQ70" i="11"/>
  <c r="BP70" i="11"/>
  <c r="BO70" i="11"/>
  <c r="BL70" i="11"/>
  <c r="BK70" i="11"/>
  <c r="BF70" i="11"/>
  <c r="BE70" i="11"/>
  <c r="BD70" i="11"/>
  <c r="BC70" i="11"/>
  <c r="AZ70" i="11"/>
  <c r="AY70" i="11"/>
  <c r="AX70" i="11"/>
  <c r="AW70" i="11"/>
  <c r="AT70" i="11"/>
  <c r="AS70" i="11"/>
  <c r="AP70" i="11"/>
  <c r="AO70" i="11"/>
  <c r="AL70" i="11"/>
  <c r="AK70" i="11"/>
  <c r="AH70" i="11"/>
  <c r="AG70" i="11"/>
  <c r="AD70" i="11"/>
  <c r="AC70" i="11"/>
  <c r="Z70" i="11"/>
  <c r="Y70" i="11"/>
  <c r="V70" i="11"/>
  <c r="U70" i="11"/>
  <c r="R70" i="11"/>
  <c r="Q70" i="11"/>
  <c r="N70" i="11"/>
  <c r="M70" i="11"/>
  <c r="J70" i="11"/>
  <c r="I70" i="11"/>
  <c r="H70" i="11"/>
  <c r="G70" i="11"/>
  <c r="D70" i="11"/>
  <c r="C70" i="11"/>
  <c r="DR69" i="11"/>
  <c r="DQ69" i="11"/>
  <c r="DP69" i="11"/>
  <c r="DO69" i="11"/>
  <c r="DN69" i="11"/>
  <c r="DM69" i="11"/>
  <c r="DL69" i="11"/>
  <c r="DK69" i="11"/>
  <c r="DH69" i="11"/>
  <c r="DG69" i="11"/>
  <c r="DF69" i="11"/>
  <c r="DE69" i="11"/>
  <c r="DB69" i="11"/>
  <c r="DA69" i="11"/>
  <c r="CZ69" i="11"/>
  <c r="CY69" i="11"/>
  <c r="CV69" i="11"/>
  <c r="CU69" i="11"/>
  <c r="CT69" i="11"/>
  <c r="CS69" i="11"/>
  <c r="CP69" i="11"/>
  <c r="CO69" i="11"/>
  <c r="CN69" i="11"/>
  <c r="CM69" i="11"/>
  <c r="CJ69" i="11"/>
  <c r="CI69" i="11"/>
  <c r="CH69" i="11"/>
  <c r="CG69" i="11"/>
  <c r="CD69" i="11"/>
  <c r="CC69" i="11"/>
  <c r="CB69" i="11"/>
  <c r="CA69" i="11"/>
  <c r="BX69" i="11"/>
  <c r="BW69" i="11"/>
  <c r="BV69" i="11"/>
  <c r="BU69" i="11"/>
  <c r="BR69" i="11"/>
  <c r="BQ69" i="11"/>
  <c r="BP69" i="11"/>
  <c r="BO69" i="11"/>
  <c r="BL69" i="11"/>
  <c r="BK69" i="11"/>
  <c r="BF69" i="11"/>
  <c r="BE69" i="11"/>
  <c r="BD69" i="11"/>
  <c r="BC69" i="11"/>
  <c r="AZ69" i="11"/>
  <c r="AY69" i="11"/>
  <c r="AX69" i="11"/>
  <c r="AW69" i="11"/>
  <c r="AT69" i="11"/>
  <c r="AS69" i="11"/>
  <c r="AP69" i="11"/>
  <c r="AO69" i="11"/>
  <c r="AL69" i="11"/>
  <c r="AK69" i="11"/>
  <c r="AH69" i="11"/>
  <c r="AG69" i="11"/>
  <c r="AD69" i="11"/>
  <c r="AC69" i="11"/>
  <c r="Z69" i="11"/>
  <c r="Y69" i="11"/>
  <c r="V69" i="11"/>
  <c r="U69" i="11"/>
  <c r="R69" i="11"/>
  <c r="Q69" i="11"/>
  <c r="N69" i="11"/>
  <c r="M69" i="11"/>
  <c r="J69" i="11"/>
  <c r="I69" i="11"/>
  <c r="H69" i="11"/>
  <c r="G69" i="11"/>
  <c r="D69" i="11"/>
  <c r="C69" i="11"/>
  <c r="DR68" i="11"/>
  <c r="DQ68" i="11"/>
  <c r="DP68" i="11"/>
  <c r="DO68" i="11"/>
  <c r="DN68" i="11"/>
  <c r="DM68" i="11"/>
  <c r="DL68" i="11"/>
  <c r="DK68" i="11"/>
  <c r="DH68" i="11"/>
  <c r="DG68" i="11"/>
  <c r="DF68" i="11"/>
  <c r="DE68" i="11"/>
  <c r="DB68" i="11"/>
  <c r="DA68" i="11"/>
  <c r="CZ68" i="11"/>
  <c r="CY68" i="11"/>
  <c r="CV68" i="11"/>
  <c r="CU68" i="11"/>
  <c r="CT68" i="11"/>
  <c r="CS68" i="11"/>
  <c r="CP68" i="11"/>
  <c r="CO68" i="11"/>
  <c r="CN68" i="11"/>
  <c r="CM68" i="11"/>
  <c r="CJ68" i="11"/>
  <c r="CI68" i="11"/>
  <c r="CH68" i="11"/>
  <c r="CG68" i="11"/>
  <c r="CD68" i="11"/>
  <c r="CC68" i="11"/>
  <c r="CB68" i="11"/>
  <c r="CA68" i="11"/>
  <c r="BX68" i="11"/>
  <c r="BW68" i="11"/>
  <c r="BV68" i="11"/>
  <c r="BU68" i="11"/>
  <c r="BR68" i="11"/>
  <c r="BQ68" i="11"/>
  <c r="BP68" i="11"/>
  <c r="BO68" i="11"/>
  <c r="BL68" i="11"/>
  <c r="BK68" i="11"/>
  <c r="BF68" i="11"/>
  <c r="BE68" i="11"/>
  <c r="BD68" i="11"/>
  <c r="BC68" i="11"/>
  <c r="AZ68" i="11"/>
  <c r="AY68" i="11"/>
  <c r="AX68" i="11"/>
  <c r="AW68" i="11"/>
  <c r="AT68" i="11"/>
  <c r="AS68" i="11"/>
  <c r="AP68" i="11"/>
  <c r="AO68" i="11"/>
  <c r="AL68" i="11"/>
  <c r="AK68" i="11"/>
  <c r="AH68" i="11"/>
  <c r="AG68" i="11"/>
  <c r="AD68" i="11"/>
  <c r="AC68" i="11"/>
  <c r="Z68" i="11"/>
  <c r="Y68" i="11"/>
  <c r="V68" i="11"/>
  <c r="U68" i="11"/>
  <c r="R68" i="11"/>
  <c r="Q68" i="11"/>
  <c r="N68" i="11"/>
  <c r="M68" i="11"/>
  <c r="J68" i="11"/>
  <c r="I68" i="11"/>
  <c r="H68" i="11"/>
  <c r="G68" i="11"/>
  <c r="D68" i="11"/>
  <c r="C68" i="11"/>
  <c r="DR67" i="11"/>
  <c r="DQ67" i="11"/>
  <c r="DP67" i="11"/>
  <c r="DO67" i="11"/>
  <c r="DN67" i="11"/>
  <c r="DM67" i="11"/>
  <c r="DL67" i="11"/>
  <c r="DK67" i="11"/>
  <c r="DH67" i="11"/>
  <c r="DG67" i="11"/>
  <c r="DF67" i="11"/>
  <c r="DE67" i="11"/>
  <c r="DB67" i="11"/>
  <c r="DA67" i="11"/>
  <c r="CZ67" i="11"/>
  <c r="CY67" i="11"/>
  <c r="CV67" i="11"/>
  <c r="CU67" i="11"/>
  <c r="CT67" i="11"/>
  <c r="CS67" i="11"/>
  <c r="CP67" i="11"/>
  <c r="CO67" i="11"/>
  <c r="CN67" i="11"/>
  <c r="CM67" i="11"/>
  <c r="CJ67" i="11"/>
  <c r="CI67" i="11"/>
  <c r="CH67" i="11"/>
  <c r="CG67" i="11"/>
  <c r="CD67" i="11"/>
  <c r="CC67" i="11"/>
  <c r="CB67" i="11"/>
  <c r="CA67" i="11"/>
  <c r="BX67" i="11"/>
  <c r="BW67" i="11"/>
  <c r="BV67" i="11"/>
  <c r="BU67" i="11"/>
  <c r="BR67" i="11"/>
  <c r="BQ67" i="11"/>
  <c r="BP67" i="11"/>
  <c r="BO67" i="11"/>
  <c r="BL67" i="11"/>
  <c r="BK67" i="11"/>
  <c r="BF67" i="11"/>
  <c r="BE67" i="11"/>
  <c r="BD67" i="11"/>
  <c r="BC67" i="11"/>
  <c r="AZ67" i="11"/>
  <c r="AY67" i="11"/>
  <c r="AX67" i="11"/>
  <c r="AW67" i="11"/>
  <c r="AT67" i="11"/>
  <c r="AS67" i="11"/>
  <c r="AP67" i="11"/>
  <c r="AO67" i="11"/>
  <c r="AL67" i="11"/>
  <c r="AK67" i="11"/>
  <c r="AH67" i="11"/>
  <c r="AG67" i="11"/>
  <c r="AD67" i="11"/>
  <c r="AC67" i="11"/>
  <c r="Z67" i="11"/>
  <c r="Y67" i="11"/>
  <c r="V67" i="11"/>
  <c r="U67" i="11"/>
  <c r="R67" i="11"/>
  <c r="Q67" i="11"/>
  <c r="N67" i="11"/>
  <c r="M67" i="11"/>
  <c r="J67" i="11"/>
  <c r="I67" i="11"/>
  <c r="H67" i="11"/>
  <c r="G67" i="11"/>
  <c r="D67" i="11"/>
  <c r="C67" i="11"/>
  <c r="DR66" i="11"/>
  <c r="DQ66" i="11"/>
  <c r="DP66" i="11"/>
  <c r="DO66" i="11"/>
  <c r="DN66" i="11"/>
  <c r="DM66" i="11"/>
  <c r="DL66" i="11"/>
  <c r="DK66" i="11"/>
  <c r="DH66" i="11"/>
  <c r="DG66" i="11"/>
  <c r="DF66" i="11"/>
  <c r="DE66" i="11"/>
  <c r="DB66" i="11"/>
  <c r="DA66" i="11"/>
  <c r="CZ66" i="11"/>
  <c r="CY66" i="11"/>
  <c r="CV66" i="11"/>
  <c r="CU66" i="11"/>
  <c r="CT66" i="11"/>
  <c r="CS66" i="11"/>
  <c r="CP66" i="11"/>
  <c r="CO66" i="11"/>
  <c r="CN66" i="11"/>
  <c r="CM66" i="11"/>
  <c r="CJ66" i="11"/>
  <c r="CI66" i="11"/>
  <c r="CH66" i="11"/>
  <c r="CG66" i="11"/>
  <c r="CD66" i="11"/>
  <c r="CC66" i="11"/>
  <c r="CB66" i="11"/>
  <c r="CA66" i="11"/>
  <c r="BX66" i="11"/>
  <c r="BW66" i="11"/>
  <c r="BV66" i="11"/>
  <c r="BU66" i="11"/>
  <c r="BR66" i="11"/>
  <c r="BQ66" i="11"/>
  <c r="BP66" i="11"/>
  <c r="BO66" i="11"/>
  <c r="BL66" i="11"/>
  <c r="BK66" i="11"/>
  <c r="BF66" i="11"/>
  <c r="BE66" i="11"/>
  <c r="BD66" i="11"/>
  <c r="BC66" i="11"/>
  <c r="AZ66" i="11"/>
  <c r="AY66" i="11"/>
  <c r="AX66" i="11"/>
  <c r="AW66" i="11"/>
  <c r="AT66" i="11"/>
  <c r="AS66" i="11"/>
  <c r="AP66" i="11"/>
  <c r="AO66" i="11"/>
  <c r="AL66" i="11"/>
  <c r="AK66" i="11"/>
  <c r="AH66" i="11"/>
  <c r="AG66" i="11"/>
  <c r="AD66" i="11"/>
  <c r="AC66" i="11"/>
  <c r="Z66" i="11"/>
  <c r="Y66" i="11"/>
  <c r="V66" i="11"/>
  <c r="U66" i="11"/>
  <c r="R66" i="11"/>
  <c r="Q66" i="11"/>
  <c r="N66" i="11"/>
  <c r="M66" i="11"/>
  <c r="J66" i="11"/>
  <c r="I66" i="11"/>
  <c r="H66" i="11"/>
  <c r="G66" i="11"/>
  <c r="D66" i="11"/>
  <c r="C66" i="11"/>
  <c r="DR65" i="11"/>
  <c r="DQ65" i="11"/>
  <c r="DP65" i="11"/>
  <c r="DO65" i="11"/>
  <c r="DN65" i="11"/>
  <c r="DM65" i="11"/>
  <c r="DL65" i="11"/>
  <c r="DK65" i="11"/>
  <c r="DH65" i="11"/>
  <c r="DG65" i="11"/>
  <c r="DF65" i="11"/>
  <c r="DE65" i="11"/>
  <c r="DB65" i="11"/>
  <c r="DA65" i="11"/>
  <c r="CZ65" i="11"/>
  <c r="CY65" i="11"/>
  <c r="CV65" i="11"/>
  <c r="CU65" i="11"/>
  <c r="CT65" i="11"/>
  <c r="CS65" i="11"/>
  <c r="CP65" i="11"/>
  <c r="CO65" i="11"/>
  <c r="CN65" i="11"/>
  <c r="CM65" i="11"/>
  <c r="CJ65" i="11"/>
  <c r="CI65" i="11"/>
  <c r="CH65" i="11"/>
  <c r="CG65" i="11"/>
  <c r="CD65" i="11"/>
  <c r="CC65" i="11"/>
  <c r="CB65" i="11"/>
  <c r="CA65" i="11"/>
  <c r="BX65" i="11"/>
  <c r="BW65" i="11"/>
  <c r="BV65" i="11"/>
  <c r="BU65" i="11"/>
  <c r="BR65" i="11"/>
  <c r="BQ65" i="11"/>
  <c r="BP65" i="11"/>
  <c r="BO65" i="11"/>
  <c r="BL65" i="11"/>
  <c r="BK65" i="11"/>
  <c r="BF65" i="11"/>
  <c r="BE65" i="11"/>
  <c r="BD65" i="11"/>
  <c r="BC65" i="11"/>
  <c r="AZ65" i="11"/>
  <c r="AY65" i="11"/>
  <c r="AX65" i="11"/>
  <c r="AW65" i="11"/>
  <c r="AT65" i="11"/>
  <c r="AS65" i="11"/>
  <c r="AP65" i="11"/>
  <c r="AO65" i="11"/>
  <c r="AL65" i="11"/>
  <c r="AK65" i="11"/>
  <c r="AH65" i="11"/>
  <c r="AG65" i="11"/>
  <c r="AD65" i="11"/>
  <c r="AC65" i="11"/>
  <c r="Z65" i="11"/>
  <c r="Y65" i="11"/>
  <c r="V65" i="11"/>
  <c r="U65" i="11"/>
  <c r="R65" i="11"/>
  <c r="Q65" i="11"/>
  <c r="N65" i="11"/>
  <c r="M65" i="11"/>
  <c r="J65" i="11"/>
  <c r="I65" i="11"/>
  <c r="H65" i="11"/>
  <c r="G65" i="11"/>
  <c r="D65" i="11"/>
  <c r="C65" i="11"/>
  <c r="DR64" i="11"/>
  <c r="DQ64" i="11"/>
  <c r="DP64" i="11"/>
  <c r="DO64" i="11"/>
  <c r="DN64" i="11"/>
  <c r="DM64" i="11"/>
  <c r="DL64" i="11"/>
  <c r="DK64" i="11"/>
  <c r="DH64" i="11"/>
  <c r="DG64" i="11"/>
  <c r="DF64" i="11"/>
  <c r="DE64" i="11"/>
  <c r="DB64" i="11"/>
  <c r="DA64" i="11"/>
  <c r="CZ64" i="11"/>
  <c r="CY64" i="11"/>
  <c r="CV64" i="11"/>
  <c r="CU64" i="11"/>
  <c r="CT64" i="11"/>
  <c r="CS64" i="11"/>
  <c r="CP64" i="11"/>
  <c r="CO64" i="11"/>
  <c r="CN64" i="11"/>
  <c r="CM64" i="11"/>
  <c r="CJ64" i="11"/>
  <c r="CI64" i="11"/>
  <c r="CH64" i="11"/>
  <c r="CG64" i="11"/>
  <c r="CD64" i="11"/>
  <c r="CC64" i="11"/>
  <c r="CB64" i="11"/>
  <c r="CA64" i="11"/>
  <c r="BX64" i="11"/>
  <c r="BW64" i="11"/>
  <c r="BV64" i="11"/>
  <c r="BU64" i="11"/>
  <c r="BR64" i="11"/>
  <c r="BQ64" i="11"/>
  <c r="BP64" i="11"/>
  <c r="BO64" i="11"/>
  <c r="BL64" i="11"/>
  <c r="BK64" i="11"/>
  <c r="BF64" i="11"/>
  <c r="BE64" i="11"/>
  <c r="BD64" i="11"/>
  <c r="BC64" i="11"/>
  <c r="AZ64" i="11"/>
  <c r="AY64" i="11"/>
  <c r="AX64" i="11"/>
  <c r="AW64" i="11"/>
  <c r="AT64" i="11"/>
  <c r="AS64" i="11"/>
  <c r="AP64" i="11"/>
  <c r="AO64" i="11"/>
  <c r="AL64" i="11"/>
  <c r="AK64" i="11"/>
  <c r="AH64" i="11"/>
  <c r="AG64" i="11"/>
  <c r="AD64" i="11"/>
  <c r="AC64" i="11"/>
  <c r="Z64" i="11"/>
  <c r="Y64" i="11"/>
  <c r="V64" i="11"/>
  <c r="U64" i="11"/>
  <c r="R64" i="11"/>
  <c r="Q64" i="11"/>
  <c r="N64" i="11"/>
  <c r="M64" i="11"/>
  <c r="J64" i="11"/>
  <c r="I64" i="11"/>
  <c r="H64" i="11"/>
  <c r="G64" i="11"/>
  <c r="D64" i="11"/>
  <c r="C64" i="11"/>
  <c r="DR63" i="11"/>
  <c r="DQ63" i="11"/>
  <c r="DP63" i="11"/>
  <c r="DO63" i="11"/>
  <c r="DN63" i="11"/>
  <c r="DM63" i="11"/>
  <c r="DL63" i="11"/>
  <c r="DK63" i="11"/>
  <c r="DH63" i="11"/>
  <c r="DG63" i="11"/>
  <c r="DF63" i="11"/>
  <c r="DE63" i="11"/>
  <c r="DB63" i="11"/>
  <c r="DA63" i="11"/>
  <c r="CZ63" i="11"/>
  <c r="CY63" i="11"/>
  <c r="CV63" i="11"/>
  <c r="CU63" i="11"/>
  <c r="CT63" i="11"/>
  <c r="CS63" i="11"/>
  <c r="CP63" i="11"/>
  <c r="CO63" i="11"/>
  <c r="CN63" i="11"/>
  <c r="CM63" i="11"/>
  <c r="CJ63" i="11"/>
  <c r="CI63" i="11"/>
  <c r="CH63" i="11"/>
  <c r="CG63" i="11"/>
  <c r="CD63" i="11"/>
  <c r="CC63" i="11"/>
  <c r="CB63" i="11"/>
  <c r="CA63" i="11"/>
  <c r="BX63" i="11"/>
  <c r="BW63" i="11"/>
  <c r="BV63" i="11"/>
  <c r="BU63" i="11"/>
  <c r="BR63" i="11"/>
  <c r="BQ63" i="11"/>
  <c r="BP63" i="11"/>
  <c r="BO63" i="11"/>
  <c r="BL63" i="11"/>
  <c r="BK63" i="11"/>
  <c r="BF63" i="11"/>
  <c r="BE63" i="11"/>
  <c r="BD63" i="11"/>
  <c r="BC63" i="11"/>
  <c r="AZ63" i="11"/>
  <c r="DT73" i="11" s="1"/>
  <c r="AY63" i="11"/>
  <c r="DS73" i="11" s="1"/>
  <c r="AX63" i="11"/>
  <c r="AW63" i="11"/>
  <c r="AT63" i="11"/>
  <c r="AS63" i="11"/>
  <c r="AP63" i="11"/>
  <c r="AO63" i="11"/>
  <c r="AL63" i="11"/>
  <c r="AK63" i="11"/>
  <c r="AH63" i="11"/>
  <c r="AG63" i="11"/>
  <c r="AD63" i="11"/>
  <c r="AC63" i="11"/>
  <c r="Z63" i="11"/>
  <c r="Y63" i="11"/>
  <c r="V63" i="11"/>
  <c r="U63" i="11"/>
  <c r="R63" i="11"/>
  <c r="Q63" i="11"/>
  <c r="N63" i="11"/>
  <c r="M63" i="11"/>
  <c r="J63" i="11"/>
  <c r="I63" i="11"/>
  <c r="H63" i="11"/>
  <c r="G63" i="11"/>
  <c r="D63" i="11"/>
  <c r="C63" i="11"/>
  <c r="DR62" i="11"/>
  <c r="DQ62" i="11"/>
  <c r="DP62" i="11"/>
  <c r="DO62" i="11"/>
  <c r="DN62" i="11"/>
  <c r="DM62" i="11"/>
  <c r="DL62" i="11"/>
  <c r="DK62" i="11"/>
  <c r="DH62" i="11"/>
  <c r="DG62" i="11"/>
  <c r="DF62" i="11"/>
  <c r="DE62" i="11"/>
  <c r="DB62" i="11"/>
  <c r="DA62" i="11"/>
  <c r="CZ62" i="11"/>
  <c r="CY62" i="11"/>
  <c r="CV62" i="11"/>
  <c r="CU62" i="11"/>
  <c r="CT62" i="11"/>
  <c r="CS62" i="11"/>
  <c r="CP62" i="11"/>
  <c r="CO62" i="11"/>
  <c r="CN62" i="11"/>
  <c r="CM62" i="11"/>
  <c r="CJ62" i="11"/>
  <c r="CI62" i="11"/>
  <c r="CH62" i="11"/>
  <c r="CG62" i="11"/>
  <c r="CD62" i="11"/>
  <c r="CC62" i="11"/>
  <c r="CB62" i="11"/>
  <c r="CA62" i="11"/>
  <c r="BX62" i="11"/>
  <c r="BW62" i="11"/>
  <c r="BV62" i="11"/>
  <c r="BU62" i="11"/>
  <c r="BR62" i="11"/>
  <c r="BQ62" i="11"/>
  <c r="BP62" i="11"/>
  <c r="BO62" i="11"/>
  <c r="BL62" i="11"/>
  <c r="BK62" i="11"/>
  <c r="BF62" i="11"/>
  <c r="BE62" i="11"/>
  <c r="BD62" i="11"/>
  <c r="BC62" i="11"/>
  <c r="AZ62" i="11"/>
  <c r="DT62" i="11" s="1"/>
  <c r="AY62" i="11"/>
  <c r="DS62" i="11" s="1"/>
  <c r="AX62" i="11"/>
  <c r="AW62" i="11"/>
  <c r="AT62" i="11"/>
  <c r="AS62" i="11"/>
  <c r="AP62" i="11"/>
  <c r="AO62" i="11"/>
  <c r="AL62" i="11"/>
  <c r="AK62" i="11"/>
  <c r="AH62" i="11"/>
  <c r="AG62" i="11"/>
  <c r="AD62" i="11"/>
  <c r="AC62" i="11"/>
  <c r="Z62" i="11"/>
  <c r="Y62" i="11"/>
  <c r="V62" i="11"/>
  <c r="U62" i="11"/>
  <c r="R62" i="11"/>
  <c r="Q62" i="11"/>
  <c r="N62" i="11"/>
  <c r="M62" i="11"/>
  <c r="J62" i="11"/>
  <c r="I62" i="11"/>
  <c r="H62" i="11"/>
  <c r="G62" i="11"/>
  <c r="D62" i="11"/>
  <c r="C62" i="11"/>
  <c r="DR61" i="11"/>
  <c r="DQ61" i="11"/>
  <c r="DP61" i="11"/>
  <c r="DO61" i="11"/>
  <c r="DN61" i="11"/>
  <c r="DM61" i="11"/>
  <c r="DH61" i="11"/>
  <c r="DG61" i="11"/>
  <c r="DB61" i="11"/>
  <c r="DA61" i="11"/>
  <c r="CV61" i="11"/>
  <c r="CU61" i="11"/>
  <c r="CP61" i="11"/>
  <c r="CO61" i="11"/>
  <c r="CJ61" i="11"/>
  <c r="CI61" i="11"/>
  <c r="CD61" i="11"/>
  <c r="CC61" i="11"/>
  <c r="BX61" i="11"/>
  <c r="BW61" i="11"/>
  <c r="BR61" i="11"/>
  <c r="BQ61" i="11"/>
  <c r="BL61" i="11"/>
  <c r="BK61" i="11"/>
  <c r="BF61" i="11"/>
  <c r="BE61" i="11"/>
  <c r="BD61" i="11"/>
  <c r="BC61" i="11"/>
  <c r="AZ61" i="11"/>
  <c r="DT61" i="11" s="1"/>
  <c r="AY61" i="11"/>
  <c r="DS61" i="11" s="1"/>
  <c r="AX61" i="11"/>
  <c r="AW61" i="11"/>
  <c r="AT61" i="11"/>
  <c r="AS61" i="11"/>
  <c r="AP61" i="11"/>
  <c r="AO61" i="11"/>
  <c r="AL61" i="11"/>
  <c r="AK61" i="11"/>
  <c r="AH61" i="11"/>
  <c r="AG61" i="11"/>
  <c r="AD61" i="11"/>
  <c r="AC61" i="11"/>
  <c r="Z61" i="11"/>
  <c r="Y61" i="11"/>
  <c r="V61" i="11"/>
  <c r="U61" i="11"/>
  <c r="R61" i="11"/>
  <c r="Q61" i="11"/>
  <c r="N61" i="11"/>
  <c r="M61" i="11"/>
  <c r="J61" i="11"/>
  <c r="I61" i="11"/>
  <c r="H61" i="11"/>
  <c r="G61" i="11"/>
  <c r="D61" i="11"/>
  <c r="C61" i="11"/>
  <c r="DR60" i="11"/>
  <c r="DQ60" i="11"/>
  <c r="DP60" i="11"/>
  <c r="DO60" i="11"/>
  <c r="DN60" i="11"/>
  <c r="DM60" i="11"/>
  <c r="DL60" i="11"/>
  <c r="DK60" i="11"/>
  <c r="DH60" i="11"/>
  <c r="DG60" i="11"/>
  <c r="DF60" i="11"/>
  <c r="DE60" i="11"/>
  <c r="DB60" i="11"/>
  <c r="DA60" i="11"/>
  <c r="CZ60" i="11"/>
  <c r="CY60" i="11"/>
  <c r="CV60" i="11"/>
  <c r="CU60" i="11"/>
  <c r="CT60" i="11"/>
  <c r="CS60" i="11"/>
  <c r="CP60" i="11"/>
  <c r="CO60" i="11"/>
  <c r="CN60" i="11"/>
  <c r="CM60" i="11"/>
  <c r="CJ60" i="11"/>
  <c r="CI60" i="11"/>
  <c r="CH60" i="11"/>
  <c r="CG60" i="11"/>
  <c r="CD60" i="11"/>
  <c r="CC60" i="11"/>
  <c r="CB60" i="11"/>
  <c r="CA60" i="11"/>
  <c r="BX60" i="11"/>
  <c r="BW60" i="11"/>
  <c r="BV60" i="11"/>
  <c r="BU60" i="11"/>
  <c r="BR60" i="11"/>
  <c r="BQ60" i="11"/>
  <c r="BP60" i="11"/>
  <c r="BO60" i="11"/>
  <c r="BL60" i="11"/>
  <c r="BK60" i="11"/>
  <c r="BF60" i="11"/>
  <c r="BE60" i="11"/>
  <c r="BD60" i="11"/>
  <c r="BC60" i="11"/>
  <c r="AZ60" i="11"/>
  <c r="DT60" i="11" s="1"/>
  <c r="AY60" i="11"/>
  <c r="DS60" i="11" s="1"/>
  <c r="AX60" i="11"/>
  <c r="AW60" i="11"/>
  <c r="AT60" i="11"/>
  <c r="AS60" i="11"/>
  <c r="AP60" i="11"/>
  <c r="AO60" i="11"/>
  <c r="AL60" i="11"/>
  <c r="AK60" i="11"/>
  <c r="AH60" i="11"/>
  <c r="AG60" i="11"/>
  <c r="AD60" i="11"/>
  <c r="AC60" i="11"/>
  <c r="Z60" i="11"/>
  <c r="Y60" i="11"/>
  <c r="V60" i="11"/>
  <c r="U60" i="11"/>
  <c r="R60" i="11"/>
  <c r="Q60" i="11"/>
  <c r="N60" i="11"/>
  <c r="M60" i="11"/>
  <c r="J60" i="11"/>
  <c r="I60" i="11"/>
  <c r="H60" i="11"/>
  <c r="G60" i="11"/>
  <c r="D60" i="11"/>
  <c r="C60" i="11"/>
  <c r="DR59" i="11"/>
  <c r="DQ59" i="11"/>
  <c r="DP59" i="11"/>
  <c r="DO59" i="11"/>
  <c r="DN59" i="11"/>
  <c r="DM59" i="11"/>
  <c r="DL59" i="11"/>
  <c r="DK59" i="11"/>
  <c r="DH59" i="11"/>
  <c r="DG59" i="11"/>
  <c r="DF59" i="11"/>
  <c r="DE59" i="11"/>
  <c r="DB59" i="11"/>
  <c r="DA59" i="11"/>
  <c r="CZ59" i="11"/>
  <c r="CY59" i="11"/>
  <c r="CV59" i="11"/>
  <c r="CU59" i="11"/>
  <c r="CT59" i="11"/>
  <c r="CS59" i="11"/>
  <c r="CP59" i="11"/>
  <c r="CO59" i="11"/>
  <c r="CN59" i="11"/>
  <c r="CM59" i="11"/>
  <c r="CJ59" i="11"/>
  <c r="CI59" i="11"/>
  <c r="CH59" i="11"/>
  <c r="CG59" i="11"/>
  <c r="CD59" i="11"/>
  <c r="CC59" i="11"/>
  <c r="CB59" i="11"/>
  <c r="CA59" i="11"/>
  <c r="BX59" i="11"/>
  <c r="BW59" i="11"/>
  <c r="BV59" i="11"/>
  <c r="BU59" i="11"/>
  <c r="BR59" i="11"/>
  <c r="BQ59" i="11"/>
  <c r="BP59" i="11"/>
  <c r="BO59" i="11"/>
  <c r="BL59" i="11"/>
  <c r="BK59" i="11"/>
  <c r="BF59" i="11"/>
  <c r="BE59" i="11"/>
  <c r="BD59" i="11"/>
  <c r="BC59" i="11"/>
  <c r="AZ59" i="11"/>
  <c r="DT59" i="11" s="1"/>
  <c r="AY59" i="11"/>
  <c r="DS59" i="11" s="1"/>
  <c r="AX59" i="11"/>
  <c r="AW59" i="11"/>
  <c r="AT59" i="11"/>
  <c r="AS59" i="11"/>
  <c r="AP59" i="11"/>
  <c r="AO59" i="11"/>
  <c r="AL59" i="11"/>
  <c r="AK59" i="11"/>
  <c r="AH59" i="11"/>
  <c r="AG59" i="11"/>
  <c r="AD59" i="11"/>
  <c r="AC59" i="11"/>
  <c r="Z59" i="11"/>
  <c r="Y59" i="11"/>
  <c r="V59" i="11"/>
  <c r="U59" i="11"/>
  <c r="R59" i="11"/>
  <c r="Q59" i="11"/>
  <c r="N59" i="11"/>
  <c r="M59" i="11"/>
  <c r="J59" i="11"/>
  <c r="I59" i="11"/>
  <c r="H59" i="11"/>
  <c r="G59" i="11"/>
  <c r="D59" i="11"/>
  <c r="C59" i="11"/>
  <c r="DR58" i="11"/>
  <c r="DQ58" i="11"/>
  <c r="DP58" i="11"/>
  <c r="DO58" i="11"/>
  <c r="DN58" i="11"/>
  <c r="DM58" i="11"/>
  <c r="DH58" i="11"/>
  <c r="DG58" i="11"/>
  <c r="DB58" i="11"/>
  <c r="DA58" i="11"/>
  <c r="CV58" i="11"/>
  <c r="CU58" i="11"/>
  <c r="CP58" i="11"/>
  <c r="CO58" i="11"/>
  <c r="CJ58" i="11"/>
  <c r="CI58" i="11"/>
  <c r="CD58" i="11"/>
  <c r="CC58" i="11"/>
  <c r="BX58" i="11"/>
  <c r="BW58" i="11"/>
  <c r="BR58" i="11"/>
  <c r="BQ58" i="11"/>
  <c r="BL58" i="11"/>
  <c r="BK58" i="11"/>
  <c r="BF58" i="11"/>
  <c r="BE58" i="11"/>
  <c r="BD58" i="11"/>
  <c r="BC58" i="11"/>
  <c r="AZ58" i="11"/>
  <c r="DT58" i="11" s="1"/>
  <c r="AY58" i="11"/>
  <c r="DS58" i="11" s="1"/>
  <c r="AX58" i="11"/>
  <c r="AW58" i="11"/>
  <c r="AT58" i="11"/>
  <c r="AS58" i="11"/>
  <c r="AP58" i="11"/>
  <c r="AO58" i="11"/>
  <c r="AL58" i="11"/>
  <c r="AK58" i="11"/>
  <c r="AH58" i="11"/>
  <c r="AG58" i="11"/>
  <c r="AD58" i="11"/>
  <c r="AC58" i="11"/>
  <c r="Z58" i="11"/>
  <c r="Y58" i="11"/>
  <c r="V58" i="11"/>
  <c r="U58" i="11"/>
  <c r="R58" i="11"/>
  <c r="Q58" i="11"/>
  <c r="N58" i="11"/>
  <c r="M58" i="11"/>
  <c r="J58" i="11"/>
  <c r="I58" i="11"/>
  <c r="H58" i="11"/>
  <c r="G58" i="11"/>
  <c r="D58" i="11"/>
  <c r="C58" i="11"/>
  <c r="DR57" i="11"/>
  <c r="DQ57" i="11"/>
  <c r="DP57" i="11"/>
  <c r="DO57" i="11"/>
  <c r="DN57" i="11"/>
  <c r="DM57" i="11"/>
  <c r="DL57" i="11"/>
  <c r="DK57" i="11"/>
  <c r="DH57" i="11"/>
  <c r="DG57" i="11"/>
  <c r="DF57" i="11"/>
  <c r="DE57" i="11"/>
  <c r="DB57" i="11"/>
  <c r="DA57" i="11"/>
  <c r="CZ57" i="11"/>
  <c r="CY57" i="11"/>
  <c r="CV57" i="11"/>
  <c r="CU57" i="11"/>
  <c r="CT57" i="11"/>
  <c r="CS57" i="11"/>
  <c r="CP57" i="11"/>
  <c r="CO57" i="11"/>
  <c r="CN57" i="11"/>
  <c r="CM57" i="11"/>
  <c r="CJ57" i="11"/>
  <c r="CI57" i="11"/>
  <c r="CH57" i="11"/>
  <c r="CG57" i="11"/>
  <c r="CD57" i="11"/>
  <c r="CC57" i="11"/>
  <c r="CB57" i="11"/>
  <c r="CA57" i="11"/>
  <c r="BX57" i="11"/>
  <c r="BW57" i="11"/>
  <c r="BV57" i="11"/>
  <c r="BU57" i="11"/>
  <c r="BR57" i="11"/>
  <c r="BQ57" i="11"/>
  <c r="BP57" i="11"/>
  <c r="BO57" i="11"/>
  <c r="BL57" i="11"/>
  <c r="BK57" i="11"/>
  <c r="BF57" i="11"/>
  <c r="BE57" i="11"/>
  <c r="BD57" i="11"/>
  <c r="BC57" i="11"/>
  <c r="AZ57" i="11"/>
  <c r="DT57" i="11" s="1"/>
  <c r="AY57" i="11"/>
  <c r="DS57" i="11" s="1"/>
  <c r="AX57" i="11"/>
  <c r="AW57" i="11"/>
  <c r="AT57" i="11"/>
  <c r="AS57" i="11"/>
  <c r="AP57" i="11"/>
  <c r="AO57" i="11"/>
  <c r="AL57" i="11"/>
  <c r="AK57" i="11"/>
  <c r="AH57" i="11"/>
  <c r="AG57" i="11"/>
  <c r="AD57" i="11"/>
  <c r="AC57" i="11"/>
  <c r="Z57" i="11"/>
  <c r="Y57" i="11"/>
  <c r="V57" i="11"/>
  <c r="U57" i="11"/>
  <c r="R57" i="11"/>
  <c r="Q57" i="11"/>
  <c r="N57" i="11"/>
  <c r="M57" i="11"/>
  <c r="J57" i="11"/>
  <c r="I57" i="11"/>
  <c r="H57" i="11"/>
  <c r="G57" i="11"/>
  <c r="D57" i="11"/>
  <c r="C57" i="11"/>
  <c r="DR56" i="11"/>
  <c r="DQ56" i="11"/>
  <c r="DP56" i="11"/>
  <c r="DO56" i="11"/>
  <c r="DN56" i="11"/>
  <c r="DM56" i="11"/>
  <c r="DH56" i="11"/>
  <c r="DG56" i="11"/>
  <c r="DB56" i="11"/>
  <c r="DA56" i="11"/>
  <c r="CV56" i="11"/>
  <c r="CU56" i="11"/>
  <c r="CP56" i="11"/>
  <c r="CO56" i="11"/>
  <c r="CJ56" i="11"/>
  <c r="CI56" i="11"/>
  <c r="CD56" i="11"/>
  <c r="CC56" i="11"/>
  <c r="BX56" i="11"/>
  <c r="BW56" i="11"/>
  <c r="BR56" i="11"/>
  <c r="BQ56" i="11"/>
  <c r="BL56" i="11"/>
  <c r="BK56" i="11"/>
  <c r="BF56" i="11"/>
  <c r="BE56" i="11"/>
  <c r="BD56" i="11"/>
  <c r="BC56" i="11"/>
  <c r="AZ56" i="11"/>
  <c r="DT56" i="11" s="1"/>
  <c r="AY56" i="11"/>
  <c r="DS56" i="11" s="1"/>
  <c r="AX56" i="11"/>
  <c r="AW56" i="11"/>
  <c r="AT56" i="11"/>
  <c r="AS56" i="11"/>
  <c r="AP56" i="11"/>
  <c r="AO56" i="11"/>
  <c r="AL56" i="11"/>
  <c r="AK56" i="11"/>
  <c r="AH56" i="11"/>
  <c r="AG56" i="11"/>
  <c r="AD56" i="11"/>
  <c r="AC56" i="11"/>
  <c r="Z56" i="11"/>
  <c r="Y56" i="11"/>
  <c r="V56" i="11"/>
  <c r="U56" i="11"/>
  <c r="R56" i="11"/>
  <c r="Q56" i="11"/>
  <c r="N56" i="11"/>
  <c r="M56" i="11"/>
  <c r="J56" i="11"/>
  <c r="I56" i="11"/>
  <c r="H56" i="11"/>
  <c r="G56" i="11"/>
  <c r="D56" i="11"/>
  <c r="C56" i="11"/>
  <c r="DR55" i="11"/>
  <c r="DQ55" i="11"/>
  <c r="DP55" i="11"/>
  <c r="DO55" i="11"/>
  <c r="DN55" i="11"/>
  <c r="DM55" i="11"/>
  <c r="DH55" i="11"/>
  <c r="DG55" i="11"/>
  <c r="DB55" i="11"/>
  <c r="DA55" i="11"/>
  <c r="CV55" i="11"/>
  <c r="CU55" i="11"/>
  <c r="CP55" i="11"/>
  <c r="CO55" i="11"/>
  <c r="CJ55" i="11"/>
  <c r="CI55" i="11"/>
  <c r="CD55" i="11"/>
  <c r="CC55" i="11"/>
  <c r="BX55" i="11"/>
  <c r="BW55" i="11"/>
  <c r="BR55" i="11"/>
  <c r="BQ55" i="11"/>
  <c r="BL55" i="11"/>
  <c r="BK55" i="11"/>
  <c r="BF55" i="11"/>
  <c r="BE55" i="11"/>
  <c r="BD55" i="11"/>
  <c r="BC55" i="11"/>
  <c r="AZ55" i="11"/>
  <c r="DT55" i="11" s="1"/>
  <c r="AY55" i="11"/>
  <c r="DS55" i="11" s="1"/>
  <c r="AX55" i="11"/>
  <c r="AW55" i="11"/>
  <c r="AT55" i="11"/>
  <c r="AS55" i="11"/>
  <c r="AP55" i="11"/>
  <c r="AO55" i="11"/>
  <c r="AL55" i="11"/>
  <c r="AK55" i="11"/>
  <c r="AH55" i="11"/>
  <c r="AG55" i="11"/>
  <c r="AD55" i="11"/>
  <c r="AC55" i="11"/>
  <c r="Z55" i="11"/>
  <c r="Y55" i="11"/>
  <c r="V55" i="11"/>
  <c r="U55" i="11"/>
  <c r="R55" i="11"/>
  <c r="Q55" i="11"/>
  <c r="N55" i="11"/>
  <c r="M55" i="11"/>
  <c r="J55" i="11"/>
  <c r="I55" i="11"/>
  <c r="H55" i="11"/>
  <c r="G55" i="11"/>
  <c r="D55" i="11"/>
  <c r="C55" i="11"/>
  <c r="DR54" i="11"/>
  <c r="DQ54" i="11"/>
  <c r="DP54" i="11"/>
  <c r="DO54" i="11"/>
  <c r="DN54" i="11"/>
  <c r="DM54" i="11"/>
  <c r="DL54" i="11"/>
  <c r="DK54" i="11"/>
  <c r="DH54" i="11"/>
  <c r="DG54" i="11"/>
  <c r="DF54" i="11"/>
  <c r="DE54" i="11"/>
  <c r="DB54" i="11"/>
  <c r="DA54" i="11"/>
  <c r="CZ54" i="11"/>
  <c r="CY54" i="11"/>
  <c r="CV54" i="11"/>
  <c r="CU54" i="11"/>
  <c r="CT54" i="11"/>
  <c r="CS54" i="11"/>
  <c r="CP54" i="11"/>
  <c r="CO54" i="11"/>
  <c r="CN54" i="11"/>
  <c r="CM54" i="11"/>
  <c r="CJ54" i="11"/>
  <c r="CI54" i="11"/>
  <c r="CH54" i="11"/>
  <c r="CG54" i="11"/>
  <c r="CD54" i="11"/>
  <c r="CC54" i="11"/>
  <c r="CB54" i="11"/>
  <c r="CA54" i="11"/>
  <c r="BX54" i="11"/>
  <c r="BW54" i="11"/>
  <c r="BV54" i="11"/>
  <c r="BU54" i="11"/>
  <c r="BR54" i="11"/>
  <c r="BQ54" i="11"/>
  <c r="BP54" i="11"/>
  <c r="BO54" i="11"/>
  <c r="BL54" i="11"/>
  <c r="BK54" i="11"/>
  <c r="BF54" i="11"/>
  <c r="BE54" i="11"/>
  <c r="BD54" i="11"/>
  <c r="BC54" i="11"/>
  <c r="AZ54" i="11"/>
  <c r="DT54" i="11" s="1"/>
  <c r="AY54" i="11"/>
  <c r="DS54" i="11" s="1"/>
  <c r="AX54" i="11"/>
  <c r="AW54" i="11"/>
  <c r="AT54" i="11"/>
  <c r="AS54" i="11"/>
  <c r="AP54" i="11"/>
  <c r="AO54" i="11"/>
  <c r="AL54" i="11"/>
  <c r="AK54" i="11"/>
  <c r="AH54" i="11"/>
  <c r="AG54" i="11"/>
  <c r="AD54" i="11"/>
  <c r="AC54" i="11"/>
  <c r="Z54" i="11"/>
  <c r="Y54" i="11"/>
  <c r="V54" i="11"/>
  <c r="U54" i="11"/>
  <c r="R54" i="11"/>
  <c r="Q54" i="11"/>
  <c r="N54" i="11"/>
  <c r="M54" i="11"/>
  <c r="J54" i="11"/>
  <c r="I54" i="11"/>
  <c r="H54" i="11"/>
  <c r="G54" i="11"/>
  <c r="D54" i="11"/>
  <c r="C54" i="11"/>
  <c r="DR53" i="11"/>
  <c r="DQ53" i="11"/>
  <c r="DP53" i="11"/>
  <c r="DO53" i="11"/>
  <c r="DN53" i="11"/>
  <c r="DM53" i="11"/>
  <c r="DH53" i="11"/>
  <c r="DG53" i="11"/>
  <c r="DB53" i="11"/>
  <c r="DA53" i="11"/>
  <c r="CV53" i="11"/>
  <c r="CU53" i="11"/>
  <c r="CP53" i="11"/>
  <c r="CO53" i="11"/>
  <c r="CJ53" i="11"/>
  <c r="CI53" i="11"/>
  <c r="CD53" i="11"/>
  <c r="CC53" i="11"/>
  <c r="BX53" i="11"/>
  <c r="BW53" i="11"/>
  <c r="BR53" i="11"/>
  <c r="BQ53" i="11"/>
  <c r="BL53" i="11"/>
  <c r="BK53" i="11"/>
  <c r="BF53" i="11"/>
  <c r="BE53" i="11"/>
  <c r="BD53" i="11"/>
  <c r="BC53" i="11"/>
  <c r="AZ53" i="11"/>
  <c r="DT53" i="11" s="1"/>
  <c r="AY53" i="11"/>
  <c r="DS53" i="11" s="1"/>
  <c r="AX53" i="11"/>
  <c r="AW53" i="11"/>
  <c r="AT53" i="11"/>
  <c r="AS53" i="11"/>
  <c r="AP53" i="11"/>
  <c r="AO53" i="11"/>
  <c r="AL53" i="11"/>
  <c r="AK53" i="11"/>
  <c r="AH53" i="11"/>
  <c r="AG53" i="11"/>
  <c r="AD53" i="11"/>
  <c r="AC53" i="11"/>
  <c r="Z53" i="11"/>
  <c r="Y53" i="11"/>
  <c r="V53" i="11"/>
  <c r="U53" i="11"/>
  <c r="R53" i="11"/>
  <c r="Q53" i="11"/>
  <c r="N53" i="11"/>
  <c r="M53" i="11"/>
  <c r="J53" i="11"/>
  <c r="I53" i="11"/>
  <c r="H53" i="11"/>
  <c r="G53" i="11"/>
  <c r="D53" i="11"/>
  <c r="C53" i="11"/>
  <c r="DR52" i="11"/>
  <c r="DQ52" i="11"/>
  <c r="DP52" i="11"/>
  <c r="DO52" i="11"/>
  <c r="DN52" i="11"/>
  <c r="DM52" i="11"/>
  <c r="DL52" i="11"/>
  <c r="DK52" i="11"/>
  <c r="DH52" i="11"/>
  <c r="DG52" i="11"/>
  <c r="DF52" i="11"/>
  <c r="DE52" i="11"/>
  <c r="DB52" i="11"/>
  <c r="DA52" i="11"/>
  <c r="CZ52" i="11"/>
  <c r="CY52" i="11"/>
  <c r="CV52" i="11"/>
  <c r="CU52" i="11"/>
  <c r="CT52" i="11"/>
  <c r="CS52" i="11"/>
  <c r="CP52" i="11"/>
  <c r="CO52" i="11"/>
  <c r="CN52" i="11"/>
  <c r="CM52" i="11"/>
  <c r="CJ52" i="11"/>
  <c r="CI52" i="11"/>
  <c r="CH52" i="11"/>
  <c r="CG52" i="11"/>
  <c r="CD52" i="11"/>
  <c r="CC52" i="11"/>
  <c r="CB52" i="11"/>
  <c r="CA52" i="11"/>
  <c r="BX52" i="11"/>
  <c r="BW52" i="11"/>
  <c r="BV52" i="11"/>
  <c r="BU52" i="11"/>
  <c r="BR52" i="11"/>
  <c r="BQ52" i="11"/>
  <c r="BP52" i="11"/>
  <c r="BO52" i="11"/>
  <c r="BL52" i="11"/>
  <c r="BK52" i="11"/>
  <c r="BF52" i="11"/>
  <c r="BE52" i="11"/>
  <c r="BD52" i="11"/>
  <c r="BC52" i="11"/>
  <c r="AZ52" i="11"/>
  <c r="DT52" i="11" s="1"/>
  <c r="AY52" i="11"/>
  <c r="DS52" i="11" s="1"/>
  <c r="AX52" i="11"/>
  <c r="AW52" i="11"/>
  <c r="AT52" i="11"/>
  <c r="AS52" i="11"/>
  <c r="AP52" i="11"/>
  <c r="AO52" i="11"/>
  <c r="AL52" i="11"/>
  <c r="AK52" i="11"/>
  <c r="AH52" i="11"/>
  <c r="AG52" i="11"/>
  <c r="AD52" i="11"/>
  <c r="AC52" i="11"/>
  <c r="Z52" i="11"/>
  <c r="Y52" i="11"/>
  <c r="V52" i="11"/>
  <c r="U52" i="11"/>
  <c r="R52" i="11"/>
  <c r="Q52" i="11"/>
  <c r="N52" i="11"/>
  <c r="M52" i="11"/>
  <c r="J52" i="11"/>
  <c r="I52" i="11"/>
  <c r="H52" i="11"/>
  <c r="G52" i="11"/>
  <c r="D52" i="11"/>
  <c r="C52" i="11"/>
  <c r="DR51" i="11"/>
  <c r="DQ51" i="11"/>
  <c r="DP51" i="11"/>
  <c r="DO51" i="11"/>
  <c r="DN51" i="11"/>
  <c r="DM51" i="11"/>
  <c r="DL51" i="11"/>
  <c r="DK51" i="11"/>
  <c r="DH51" i="11"/>
  <c r="DG51" i="11"/>
  <c r="DF51" i="11"/>
  <c r="DE51" i="11"/>
  <c r="DB51" i="11"/>
  <c r="DA51" i="11"/>
  <c r="CZ51" i="11"/>
  <c r="CY51" i="11"/>
  <c r="CV51" i="11"/>
  <c r="CU51" i="11"/>
  <c r="CT51" i="11"/>
  <c r="CS51" i="11"/>
  <c r="CP51" i="11"/>
  <c r="CO51" i="11"/>
  <c r="CN51" i="11"/>
  <c r="CM51" i="11"/>
  <c r="CJ51" i="11"/>
  <c r="CI51" i="11"/>
  <c r="CH51" i="11"/>
  <c r="CG51" i="11"/>
  <c r="CD51" i="11"/>
  <c r="CC51" i="11"/>
  <c r="CB51" i="11"/>
  <c r="CA51" i="11"/>
  <c r="BX51" i="11"/>
  <c r="BW51" i="11"/>
  <c r="BV51" i="11"/>
  <c r="BU51" i="11"/>
  <c r="BR51" i="11"/>
  <c r="BQ51" i="11"/>
  <c r="BP51" i="11"/>
  <c r="BO51" i="11"/>
  <c r="BL51" i="11"/>
  <c r="BK51" i="11"/>
  <c r="BF51" i="11"/>
  <c r="BE51" i="11"/>
  <c r="BD51" i="11"/>
  <c r="BC51" i="11"/>
  <c r="AZ51" i="11"/>
  <c r="DT51" i="11" s="1"/>
  <c r="AY51" i="11"/>
  <c r="DS51" i="11" s="1"/>
  <c r="AX51" i="11"/>
  <c r="AW51" i="11"/>
  <c r="AT51" i="11"/>
  <c r="AS51" i="11"/>
  <c r="AP51" i="11"/>
  <c r="AO51" i="11"/>
  <c r="AL51" i="11"/>
  <c r="AK51" i="11"/>
  <c r="AH51" i="11"/>
  <c r="AG51" i="11"/>
  <c r="AD51" i="11"/>
  <c r="AC51" i="11"/>
  <c r="Z51" i="11"/>
  <c r="Y51" i="11"/>
  <c r="V51" i="11"/>
  <c r="U51" i="11"/>
  <c r="R51" i="11"/>
  <c r="Q51" i="11"/>
  <c r="N51" i="11"/>
  <c r="M51" i="11"/>
  <c r="J51" i="11"/>
  <c r="I51" i="11"/>
  <c r="H51" i="11"/>
  <c r="G51" i="11"/>
  <c r="D51" i="11"/>
  <c r="C51" i="11"/>
  <c r="DR50" i="11"/>
  <c r="DQ50" i="11"/>
  <c r="DP50" i="11"/>
  <c r="DO50" i="11"/>
  <c r="DN50" i="11"/>
  <c r="DM50" i="11"/>
  <c r="DL50" i="11"/>
  <c r="DK50" i="11"/>
  <c r="DH50" i="11"/>
  <c r="DG50" i="11"/>
  <c r="DF50" i="11"/>
  <c r="DE50" i="11"/>
  <c r="DB50" i="11"/>
  <c r="DA50" i="11"/>
  <c r="CZ50" i="11"/>
  <c r="CY50" i="11"/>
  <c r="CV50" i="11"/>
  <c r="CU50" i="11"/>
  <c r="CT50" i="11"/>
  <c r="CS50" i="11"/>
  <c r="CP50" i="11"/>
  <c r="CO50" i="11"/>
  <c r="CN50" i="11"/>
  <c r="CM50" i="11"/>
  <c r="CJ50" i="11"/>
  <c r="CI50" i="11"/>
  <c r="CH50" i="11"/>
  <c r="CG50" i="11"/>
  <c r="CD50" i="11"/>
  <c r="CC50" i="11"/>
  <c r="CB50" i="11"/>
  <c r="CA50" i="11"/>
  <c r="BX50" i="11"/>
  <c r="BW50" i="11"/>
  <c r="BV50" i="11"/>
  <c r="BU50" i="11"/>
  <c r="BR50" i="11"/>
  <c r="BQ50" i="11"/>
  <c r="BP50" i="11"/>
  <c r="BO50" i="11"/>
  <c r="BL50" i="11"/>
  <c r="BK50" i="11"/>
  <c r="BF50" i="11"/>
  <c r="BE50" i="11"/>
  <c r="BD50" i="11"/>
  <c r="BC50" i="11"/>
  <c r="AZ50" i="11"/>
  <c r="DT50" i="11" s="1"/>
  <c r="AY50" i="11"/>
  <c r="DS50" i="11" s="1"/>
  <c r="AX50" i="11"/>
  <c r="AW50" i="11"/>
  <c r="AT50" i="11"/>
  <c r="AS50" i="11"/>
  <c r="AP50" i="11"/>
  <c r="AO50" i="11"/>
  <c r="AL50" i="11"/>
  <c r="AK50" i="11"/>
  <c r="AH50" i="11"/>
  <c r="AG50" i="11"/>
  <c r="AD50" i="11"/>
  <c r="AC50" i="11"/>
  <c r="Z50" i="11"/>
  <c r="Y50" i="11"/>
  <c r="V50" i="11"/>
  <c r="U50" i="11"/>
  <c r="R50" i="11"/>
  <c r="Q50" i="11"/>
  <c r="N50" i="11"/>
  <c r="M50" i="11"/>
  <c r="J50" i="11"/>
  <c r="I50" i="11"/>
  <c r="H50" i="11"/>
  <c r="G50" i="11"/>
  <c r="D50" i="11"/>
  <c r="C50" i="11"/>
  <c r="DJ49" i="11"/>
  <c r="DI49" i="11"/>
  <c r="DD49" i="11"/>
  <c r="DC49" i="11"/>
  <c r="CX49" i="11"/>
  <c r="CW49" i="11"/>
  <c r="CR49" i="11"/>
  <c r="CQ49" i="11"/>
  <c r="CL49" i="11"/>
  <c r="CK49" i="11"/>
  <c r="CF49" i="11"/>
  <c r="CE49" i="11"/>
  <c r="BZ49" i="11"/>
  <c r="BY49" i="11"/>
  <c r="BT49" i="11"/>
  <c r="BS49" i="11"/>
  <c r="BN49" i="11"/>
  <c r="BM49" i="11"/>
  <c r="AV49" i="11"/>
  <c r="DL49" i="11" s="1"/>
  <c r="AU49" i="11"/>
  <c r="DK49" i="11" s="1"/>
  <c r="AR49" i="11"/>
  <c r="DF49" i="11" s="1"/>
  <c r="AQ49" i="11"/>
  <c r="DE49" i="11" s="1"/>
  <c r="AN49" i="11"/>
  <c r="CZ49" i="11" s="1"/>
  <c r="AM49" i="11"/>
  <c r="CY49" i="11" s="1"/>
  <c r="AJ49" i="11"/>
  <c r="CT49" i="11" s="1"/>
  <c r="AI49" i="11"/>
  <c r="CS49" i="11" s="1"/>
  <c r="AF49" i="11"/>
  <c r="CN49" i="11" s="1"/>
  <c r="AE49" i="11"/>
  <c r="CM49" i="11" s="1"/>
  <c r="AB49" i="11"/>
  <c r="CH49" i="11" s="1"/>
  <c r="AA49" i="11"/>
  <c r="CG49" i="11" s="1"/>
  <c r="X49" i="11"/>
  <c r="CB49" i="11" s="1"/>
  <c r="W49" i="11"/>
  <c r="CA49" i="11" s="1"/>
  <c r="T49" i="11"/>
  <c r="BV49" i="11" s="1"/>
  <c r="S49" i="11"/>
  <c r="BU49" i="11" s="1"/>
  <c r="P49" i="11"/>
  <c r="BP49" i="11" s="1"/>
  <c r="O49" i="11"/>
  <c r="BO49" i="11" s="1"/>
  <c r="DR48" i="11"/>
  <c r="DQ48" i="11"/>
  <c r="DP48" i="11"/>
  <c r="DO48" i="11"/>
  <c r="DN48" i="11"/>
  <c r="DM48" i="11"/>
  <c r="DL48" i="11"/>
  <c r="DK48" i="11"/>
  <c r="DH48" i="11"/>
  <c r="DG48" i="11"/>
  <c r="DF48" i="11"/>
  <c r="DE48" i="11"/>
  <c r="DB48" i="11"/>
  <c r="DA48" i="11"/>
  <c r="CZ48" i="11"/>
  <c r="CY48" i="11"/>
  <c r="CV48" i="11"/>
  <c r="CU48" i="11"/>
  <c r="CT48" i="11"/>
  <c r="CS48" i="11"/>
  <c r="CP48" i="11"/>
  <c r="CO48" i="11"/>
  <c r="CN48" i="11"/>
  <c r="CM48" i="11"/>
  <c r="CJ48" i="11"/>
  <c r="CI48" i="11"/>
  <c r="CH48" i="11"/>
  <c r="CG48" i="11"/>
  <c r="CD48" i="11"/>
  <c r="CC48" i="11"/>
  <c r="CB48" i="11"/>
  <c r="CA48" i="11"/>
  <c r="BX48" i="11"/>
  <c r="BW48" i="11"/>
  <c r="BV48" i="11"/>
  <c r="BU48" i="11"/>
  <c r="BR48" i="11"/>
  <c r="BQ48" i="11"/>
  <c r="BP48" i="11"/>
  <c r="BO48" i="11"/>
  <c r="BL48" i="11"/>
  <c r="BK48" i="11"/>
  <c r="BF48" i="11"/>
  <c r="BE48" i="11"/>
  <c r="BD48" i="11"/>
  <c r="BC48" i="11"/>
  <c r="AZ48" i="11"/>
  <c r="DT48" i="11" s="1"/>
  <c r="AY48" i="11"/>
  <c r="DS48" i="11" s="1"/>
  <c r="AX48" i="11"/>
  <c r="AW48" i="11"/>
  <c r="AT48" i="11"/>
  <c r="AS48" i="11"/>
  <c r="AP48" i="11"/>
  <c r="AO48" i="11"/>
  <c r="AL48" i="11"/>
  <c r="AK48" i="11"/>
  <c r="AH48" i="11"/>
  <c r="AG48" i="11"/>
  <c r="AD48" i="11"/>
  <c r="AC48" i="11"/>
  <c r="Z48" i="11"/>
  <c r="Y48" i="11"/>
  <c r="V48" i="11"/>
  <c r="U48" i="11"/>
  <c r="R48" i="11"/>
  <c r="Q48" i="11"/>
  <c r="N48" i="11"/>
  <c r="M48" i="11"/>
  <c r="J48" i="11"/>
  <c r="I48" i="11"/>
  <c r="H48" i="11"/>
  <c r="G48" i="11"/>
  <c r="D48" i="11"/>
  <c r="C48" i="11"/>
  <c r="DR46" i="11"/>
  <c r="DQ46" i="11"/>
  <c r="DP46" i="11"/>
  <c r="DO46" i="11"/>
  <c r="DN46" i="11"/>
  <c r="DM46" i="11"/>
  <c r="DL46" i="11"/>
  <c r="DK46" i="11"/>
  <c r="DH46" i="11"/>
  <c r="DG46" i="11"/>
  <c r="DF46" i="11"/>
  <c r="DE46" i="11"/>
  <c r="DB46" i="11"/>
  <c r="DA46" i="11"/>
  <c r="CZ46" i="11"/>
  <c r="CY46" i="11"/>
  <c r="CV46" i="11"/>
  <c r="CU46" i="11"/>
  <c r="CT46" i="11"/>
  <c r="CS46" i="11"/>
  <c r="CP46" i="11"/>
  <c r="CO46" i="11"/>
  <c r="CN46" i="11"/>
  <c r="CM46" i="11"/>
  <c r="CJ46" i="11"/>
  <c r="CI46" i="11"/>
  <c r="CH46" i="11"/>
  <c r="CG46" i="11"/>
  <c r="CD46" i="11"/>
  <c r="CC46" i="11"/>
  <c r="CB46" i="11"/>
  <c r="CA46" i="11"/>
  <c r="BX46" i="11"/>
  <c r="BW46" i="11"/>
  <c r="BV46" i="11"/>
  <c r="BU46" i="11"/>
  <c r="BR46" i="11"/>
  <c r="BQ46" i="11"/>
  <c r="BP46" i="11"/>
  <c r="BO46" i="11"/>
  <c r="BL46" i="11"/>
  <c r="BK46" i="11"/>
  <c r="BF46" i="11"/>
  <c r="BE46" i="11"/>
  <c r="BD46" i="11"/>
  <c r="BC46" i="11"/>
  <c r="AZ46" i="11"/>
  <c r="DT46" i="11" s="1"/>
  <c r="AY46" i="11"/>
  <c r="DS46" i="11" s="1"/>
  <c r="AX46" i="11"/>
  <c r="AW46" i="11"/>
  <c r="AT46" i="11"/>
  <c r="AS46" i="11"/>
  <c r="AP46" i="11"/>
  <c r="AO46" i="11"/>
  <c r="AL46" i="11"/>
  <c r="AK46" i="11"/>
  <c r="AH46" i="11"/>
  <c r="AG46" i="11"/>
  <c r="AD46" i="11"/>
  <c r="AC46" i="11"/>
  <c r="Z46" i="11"/>
  <c r="Y46" i="11"/>
  <c r="V46" i="11"/>
  <c r="U46" i="11"/>
  <c r="R46" i="11"/>
  <c r="Q46" i="11"/>
  <c r="N46" i="11"/>
  <c r="M46" i="11"/>
  <c r="J46" i="11"/>
  <c r="I46" i="11"/>
  <c r="H46" i="11"/>
  <c r="G46" i="11"/>
  <c r="D46" i="11"/>
  <c r="C46" i="11"/>
  <c r="DR45" i="11"/>
  <c r="DQ45" i="11"/>
  <c r="DP45" i="11"/>
  <c r="DO45" i="11"/>
  <c r="DN45" i="11"/>
  <c r="DM45" i="11"/>
  <c r="DH45" i="11"/>
  <c r="DG45" i="11"/>
  <c r="DB45" i="11"/>
  <c r="DA45" i="11"/>
  <c r="CV45" i="11"/>
  <c r="CU45" i="11"/>
  <c r="CP45" i="11"/>
  <c r="CO45" i="11"/>
  <c r="CJ45" i="11"/>
  <c r="CI45" i="11"/>
  <c r="CD45" i="11"/>
  <c r="CC45" i="11"/>
  <c r="BX45" i="11"/>
  <c r="BW45" i="11"/>
  <c r="BR45" i="11"/>
  <c r="BQ45" i="11"/>
  <c r="BL45" i="11"/>
  <c r="BK45" i="11"/>
  <c r="BF45" i="11"/>
  <c r="BE45" i="11"/>
  <c r="BD45" i="11"/>
  <c r="BC45" i="11"/>
  <c r="AZ45" i="11"/>
  <c r="DT45" i="11" s="1"/>
  <c r="AY45" i="11"/>
  <c r="DS45" i="11" s="1"/>
  <c r="AX45" i="11"/>
  <c r="AW45" i="11"/>
  <c r="AT45" i="11"/>
  <c r="AS45" i="11"/>
  <c r="AP45" i="11"/>
  <c r="AO45" i="11"/>
  <c r="AL45" i="11"/>
  <c r="AK45" i="11"/>
  <c r="AH45" i="11"/>
  <c r="AG45" i="11"/>
  <c r="AD45" i="11"/>
  <c r="AC45" i="11"/>
  <c r="Z45" i="11"/>
  <c r="Y45" i="11"/>
  <c r="V45" i="11"/>
  <c r="U45" i="11"/>
  <c r="R45" i="11"/>
  <c r="Q45" i="11"/>
  <c r="N45" i="11"/>
  <c r="M45" i="11"/>
  <c r="J45" i="11"/>
  <c r="I45" i="11"/>
  <c r="H45" i="11"/>
  <c r="G45" i="11"/>
  <c r="D45" i="11"/>
  <c r="C45" i="11"/>
  <c r="DR44" i="11"/>
  <c r="DQ44" i="11"/>
  <c r="DP44" i="11"/>
  <c r="DO44" i="11"/>
  <c r="DN44" i="11"/>
  <c r="DM44" i="11"/>
  <c r="DH44" i="11"/>
  <c r="DG44" i="11"/>
  <c r="DB44" i="11"/>
  <c r="DA44" i="11"/>
  <c r="CV44" i="11"/>
  <c r="CU44" i="11"/>
  <c r="CP44" i="11"/>
  <c r="CO44" i="11"/>
  <c r="CJ44" i="11"/>
  <c r="CI44" i="11"/>
  <c r="CD44" i="11"/>
  <c r="CC44" i="11"/>
  <c r="BX44" i="11"/>
  <c r="BW44" i="11"/>
  <c r="BR44" i="11"/>
  <c r="BQ44" i="11"/>
  <c r="BL44" i="11"/>
  <c r="BK44" i="11"/>
  <c r="BF44" i="11"/>
  <c r="BE44" i="11"/>
  <c r="BD44" i="11"/>
  <c r="BC44" i="11"/>
  <c r="AZ44" i="11"/>
  <c r="DT44" i="11" s="1"/>
  <c r="AY44" i="11"/>
  <c r="DS44" i="11" s="1"/>
  <c r="AX44" i="11"/>
  <c r="AW44" i="11"/>
  <c r="AT44" i="11"/>
  <c r="AS44" i="11"/>
  <c r="AP44" i="11"/>
  <c r="AO44" i="11"/>
  <c r="AL44" i="11"/>
  <c r="AK44" i="11"/>
  <c r="AH44" i="11"/>
  <c r="AG44" i="11"/>
  <c r="AD44" i="11"/>
  <c r="AC44" i="11"/>
  <c r="Z44" i="11"/>
  <c r="Y44" i="11"/>
  <c r="V44" i="11"/>
  <c r="U44" i="11"/>
  <c r="R44" i="11"/>
  <c r="Q44" i="11"/>
  <c r="N44" i="11"/>
  <c r="M44" i="11"/>
  <c r="J44" i="11"/>
  <c r="I44" i="11"/>
  <c r="H44" i="11"/>
  <c r="G44" i="11"/>
  <c r="D44" i="11"/>
  <c r="C44" i="11"/>
  <c r="DR43" i="11"/>
  <c r="DQ43" i="11"/>
  <c r="DP43" i="11"/>
  <c r="DO43" i="11"/>
  <c r="DN43" i="11"/>
  <c r="DM43" i="11"/>
  <c r="DH43" i="11"/>
  <c r="DG43" i="11"/>
  <c r="DB43" i="11"/>
  <c r="DA43" i="11"/>
  <c r="CV43" i="11"/>
  <c r="CU43" i="11"/>
  <c r="CP43" i="11"/>
  <c r="CO43" i="11"/>
  <c r="CJ43" i="11"/>
  <c r="CI43" i="11"/>
  <c r="CD43" i="11"/>
  <c r="CC43" i="11"/>
  <c r="BX43" i="11"/>
  <c r="BW43" i="11"/>
  <c r="BR43" i="11"/>
  <c r="BQ43" i="11"/>
  <c r="BL43" i="11"/>
  <c r="BK43" i="11"/>
  <c r="BF43" i="11"/>
  <c r="BE43" i="11"/>
  <c r="BD43" i="11"/>
  <c r="BC43" i="11"/>
  <c r="AZ43" i="11"/>
  <c r="DT43" i="11" s="1"/>
  <c r="AY43" i="11"/>
  <c r="DS43" i="11" s="1"/>
  <c r="AX43" i="11"/>
  <c r="AW43" i="11"/>
  <c r="AT43" i="11"/>
  <c r="AS43" i="11"/>
  <c r="AP43" i="11"/>
  <c r="AO43" i="11"/>
  <c r="AL43" i="11"/>
  <c r="AK43" i="11"/>
  <c r="AH43" i="11"/>
  <c r="AG43" i="11"/>
  <c r="AD43" i="11"/>
  <c r="AC43" i="11"/>
  <c r="Z43" i="11"/>
  <c r="Y43" i="11"/>
  <c r="V43" i="11"/>
  <c r="U43" i="11"/>
  <c r="R43" i="11"/>
  <c r="Q43" i="11"/>
  <c r="N43" i="11"/>
  <c r="M43" i="11"/>
  <c r="J43" i="11"/>
  <c r="I43" i="11"/>
  <c r="H43" i="11"/>
  <c r="G43" i="11"/>
  <c r="D43" i="11"/>
  <c r="C43" i="11"/>
  <c r="DR42" i="11"/>
  <c r="DQ42" i="11"/>
  <c r="DP42" i="11"/>
  <c r="DO42" i="11"/>
  <c r="DN42" i="11"/>
  <c r="DM42" i="11"/>
  <c r="DH42" i="11"/>
  <c r="DG42" i="11"/>
  <c r="DB42" i="11"/>
  <c r="DA42" i="11"/>
  <c r="CV42" i="11"/>
  <c r="CU42" i="11"/>
  <c r="CP42" i="11"/>
  <c r="CO42" i="11"/>
  <c r="CJ42" i="11"/>
  <c r="CI42" i="11"/>
  <c r="CD42" i="11"/>
  <c r="CC42" i="11"/>
  <c r="BX42" i="11"/>
  <c r="BW42" i="11"/>
  <c r="BR42" i="11"/>
  <c r="BQ42" i="11"/>
  <c r="BL42" i="11"/>
  <c r="BK42" i="11"/>
  <c r="BF42" i="11"/>
  <c r="BE42" i="11"/>
  <c r="BD42" i="11"/>
  <c r="BC42" i="11"/>
  <c r="AZ42" i="11"/>
  <c r="DT42" i="11" s="1"/>
  <c r="AY42" i="11"/>
  <c r="DS42" i="11" s="1"/>
  <c r="AX42" i="11"/>
  <c r="AW42" i="11"/>
  <c r="AT42" i="11"/>
  <c r="AS42" i="11"/>
  <c r="AP42" i="11"/>
  <c r="AO42" i="11"/>
  <c r="AL42" i="11"/>
  <c r="AK42" i="11"/>
  <c r="AH42" i="11"/>
  <c r="AG42" i="11"/>
  <c r="AD42" i="11"/>
  <c r="AC42" i="11"/>
  <c r="Z42" i="11"/>
  <c r="Y42" i="11"/>
  <c r="V42" i="11"/>
  <c r="U42" i="11"/>
  <c r="R42" i="11"/>
  <c r="Q42" i="11"/>
  <c r="N42" i="11"/>
  <c r="M42" i="11"/>
  <c r="J42" i="11"/>
  <c r="I42" i="11"/>
  <c r="H42" i="11"/>
  <c r="G42" i="11"/>
  <c r="D42" i="11"/>
  <c r="C42" i="11"/>
  <c r="DR41" i="11"/>
  <c r="DQ41" i="11"/>
  <c r="DP41" i="11"/>
  <c r="DO41" i="11"/>
  <c r="DN41" i="11"/>
  <c r="DM41" i="11"/>
  <c r="DL41" i="11"/>
  <c r="DK41" i="11"/>
  <c r="DH41" i="11"/>
  <c r="DG41" i="11"/>
  <c r="DF41" i="11"/>
  <c r="DE41" i="11"/>
  <c r="DB41" i="11"/>
  <c r="DA41" i="11"/>
  <c r="CZ41" i="11"/>
  <c r="CY41" i="11"/>
  <c r="CV41" i="11"/>
  <c r="CU41" i="11"/>
  <c r="CT41" i="11"/>
  <c r="CS41" i="11"/>
  <c r="CP41" i="11"/>
  <c r="CO41" i="11"/>
  <c r="CN41" i="11"/>
  <c r="CM41" i="11"/>
  <c r="CJ41" i="11"/>
  <c r="CI41" i="11"/>
  <c r="CH41" i="11"/>
  <c r="CG41" i="11"/>
  <c r="CD41" i="11"/>
  <c r="CC41" i="11"/>
  <c r="CB41" i="11"/>
  <c r="CA41" i="11"/>
  <c r="BX41" i="11"/>
  <c r="BW41" i="11"/>
  <c r="BV41" i="11"/>
  <c r="BU41" i="11"/>
  <c r="BR41" i="11"/>
  <c r="BQ41" i="11"/>
  <c r="BP41" i="11"/>
  <c r="BO41" i="11"/>
  <c r="BL41" i="11"/>
  <c r="BK41" i="11"/>
  <c r="BF41" i="11"/>
  <c r="BE41" i="11"/>
  <c r="BD41" i="11"/>
  <c r="BC41" i="11"/>
  <c r="AZ41" i="11"/>
  <c r="DT41" i="11" s="1"/>
  <c r="AY41" i="11"/>
  <c r="DS41" i="11" s="1"/>
  <c r="AX41" i="11"/>
  <c r="AW41" i="11"/>
  <c r="AT41" i="11"/>
  <c r="AS41" i="11"/>
  <c r="AP41" i="11"/>
  <c r="AO41" i="11"/>
  <c r="AL41" i="11"/>
  <c r="AK41" i="11"/>
  <c r="AH41" i="11"/>
  <c r="AG41" i="11"/>
  <c r="AD41" i="11"/>
  <c r="AC41" i="11"/>
  <c r="Z41" i="11"/>
  <c r="Y41" i="11"/>
  <c r="V41" i="11"/>
  <c r="U41" i="11"/>
  <c r="R41" i="11"/>
  <c r="Q41" i="11"/>
  <c r="N41" i="11"/>
  <c r="M41" i="11"/>
  <c r="J41" i="11"/>
  <c r="I41" i="11"/>
  <c r="H41" i="11"/>
  <c r="G41" i="11"/>
  <c r="D41" i="11"/>
  <c r="C41" i="11"/>
  <c r="DR40" i="11"/>
  <c r="DQ40" i="11"/>
  <c r="DP40" i="11"/>
  <c r="DO40" i="11"/>
  <c r="DN40" i="11"/>
  <c r="DM40" i="11"/>
  <c r="DH40" i="11"/>
  <c r="DG40" i="11"/>
  <c r="DB40" i="11"/>
  <c r="DA40" i="11"/>
  <c r="CV40" i="11"/>
  <c r="CU40" i="11"/>
  <c r="CP40" i="11"/>
  <c r="CO40" i="11"/>
  <c r="CJ40" i="11"/>
  <c r="CI40" i="11"/>
  <c r="CD40" i="11"/>
  <c r="CC40" i="11"/>
  <c r="BX40" i="11"/>
  <c r="BW40" i="11"/>
  <c r="BR40" i="11"/>
  <c r="BQ40" i="11"/>
  <c r="BL40" i="11"/>
  <c r="BK40" i="11"/>
  <c r="BF40" i="11"/>
  <c r="BE40" i="11"/>
  <c r="BD40" i="11"/>
  <c r="BC40" i="11"/>
  <c r="AZ40" i="11"/>
  <c r="DT40" i="11" s="1"/>
  <c r="AY40" i="11"/>
  <c r="DS40" i="11" s="1"/>
  <c r="AX40" i="11"/>
  <c r="AW40" i="11"/>
  <c r="AT40" i="11"/>
  <c r="AS40" i="11"/>
  <c r="AP40" i="11"/>
  <c r="AO40" i="11"/>
  <c r="AL40" i="11"/>
  <c r="AK40" i="11"/>
  <c r="AH40" i="11"/>
  <c r="AG40" i="11"/>
  <c r="AD40" i="11"/>
  <c r="AC40" i="11"/>
  <c r="Z40" i="11"/>
  <c r="Y40" i="11"/>
  <c r="V40" i="11"/>
  <c r="U40" i="11"/>
  <c r="R40" i="11"/>
  <c r="Q40" i="11"/>
  <c r="N40" i="11"/>
  <c r="M40" i="11"/>
  <c r="J40" i="11"/>
  <c r="I40" i="11"/>
  <c r="H40" i="11"/>
  <c r="G40" i="11"/>
  <c r="D40" i="11"/>
  <c r="C40" i="11"/>
  <c r="DR39" i="11"/>
  <c r="DQ39" i="11"/>
  <c r="DP39" i="11"/>
  <c r="DO39" i="11"/>
  <c r="DN39" i="11"/>
  <c r="DM39" i="11"/>
  <c r="DH39" i="11"/>
  <c r="DG39" i="11"/>
  <c r="DB39" i="11"/>
  <c r="DA39" i="11"/>
  <c r="CV39" i="11"/>
  <c r="CU39" i="11"/>
  <c r="CP39" i="11"/>
  <c r="CO39" i="11"/>
  <c r="CJ39" i="11"/>
  <c r="CI39" i="11"/>
  <c r="CD39" i="11"/>
  <c r="CC39" i="11"/>
  <c r="BX39" i="11"/>
  <c r="BW39" i="11"/>
  <c r="BR39" i="11"/>
  <c r="BQ39" i="11"/>
  <c r="BL39" i="11"/>
  <c r="BK39" i="11"/>
  <c r="BF39" i="11"/>
  <c r="BE39" i="11"/>
  <c r="BD39" i="11"/>
  <c r="BC39" i="11"/>
  <c r="AZ39" i="11"/>
  <c r="AY39" i="11"/>
  <c r="DS39" i="11" s="1"/>
  <c r="AX39" i="11"/>
  <c r="AW39" i="11"/>
  <c r="AT39" i="11"/>
  <c r="AS39" i="11"/>
  <c r="AP39" i="11"/>
  <c r="AO39" i="11"/>
  <c r="AL39" i="11"/>
  <c r="AK39" i="11"/>
  <c r="AH39" i="11"/>
  <c r="AG39" i="11"/>
  <c r="AD39" i="11"/>
  <c r="AC39" i="11"/>
  <c r="Z39" i="11"/>
  <c r="Y39" i="11"/>
  <c r="V39" i="11"/>
  <c r="U39" i="11"/>
  <c r="R39" i="11"/>
  <c r="Q39" i="11"/>
  <c r="N39" i="11"/>
  <c r="M39" i="11"/>
  <c r="J39" i="11"/>
  <c r="I39" i="11"/>
  <c r="H39" i="11"/>
  <c r="G39" i="11"/>
  <c r="D39" i="11"/>
  <c r="C39" i="11"/>
  <c r="DR36" i="11"/>
  <c r="DQ36" i="11"/>
  <c r="DP36" i="11"/>
  <c r="DO36" i="11"/>
  <c r="DN36" i="11"/>
  <c r="DM36" i="11"/>
  <c r="DH36" i="11"/>
  <c r="DG36" i="11"/>
  <c r="DB36" i="11"/>
  <c r="DA36" i="11"/>
  <c r="CV36" i="11"/>
  <c r="CU36" i="11"/>
  <c r="CP36" i="11"/>
  <c r="CO36" i="11"/>
  <c r="CJ36" i="11"/>
  <c r="CI36" i="11"/>
  <c r="CD36" i="11"/>
  <c r="CC36" i="11"/>
  <c r="BX36" i="11"/>
  <c r="BW36" i="11"/>
  <c r="BR36" i="11"/>
  <c r="BQ36" i="11"/>
  <c r="BL36" i="11"/>
  <c r="BK36" i="11"/>
  <c r="BF36" i="11"/>
  <c r="BE36" i="11"/>
  <c r="BD36" i="11"/>
  <c r="BC36" i="11"/>
  <c r="AZ36" i="11"/>
  <c r="DT36" i="11" s="1"/>
  <c r="AY36" i="11"/>
  <c r="DS36" i="11" s="1"/>
  <c r="AX36" i="11"/>
  <c r="AW36" i="11"/>
  <c r="AT36" i="11"/>
  <c r="AS36" i="11"/>
  <c r="AP36" i="11"/>
  <c r="AO36" i="11"/>
  <c r="AL36" i="11"/>
  <c r="AK36" i="11"/>
  <c r="AH36" i="11"/>
  <c r="AG36" i="11"/>
  <c r="AD36" i="11"/>
  <c r="AC36" i="11"/>
  <c r="Z36" i="11"/>
  <c r="Y36" i="11"/>
  <c r="V36" i="11"/>
  <c r="U36" i="11"/>
  <c r="R36" i="11"/>
  <c r="Q36" i="11"/>
  <c r="N36" i="11"/>
  <c r="M36" i="11"/>
  <c r="J36" i="11"/>
  <c r="I36" i="11"/>
  <c r="H36" i="11"/>
  <c r="G36" i="11"/>
  <c r="D36" i="11"/>
  <c r="C36" i="11"/>
  <c r="DR35" i="11"/>
  <c r="DQ35" i="11"/>
  <c r="DP35" i="11"/>
  <c r="DO35" i="11"/>
  <c r="DN35" i="11"/>
  <c r="DM35" i="11"/>
  <c r="DH35" i="11"/>
  <c r="DG35" i="11"/>
  <c r="DB35" i="11"/>
  <c r="DA35" i="11"/>
  <c r="CV35" i="11"/>
  <c r="CU35" i="11"/>
  <c r="CP35" i="11"/>
  <c r="CO35" i="11"/>
  <c r="CJ35" i="11"/>
  <c r="CI35" i="11"/>
  <c r="CD35" i="11"/>
  <c r="CC35" i="11"/>
  <c r="BX35" i="11"/>
  <c r="BW35" i="11"/>
  <c r="BR35" i="11"/>
  <c r="BQ35" i="11"/>
  <c r="BL35" i="11"/>
  <c r="BK35" i="11"/>
  <c r="BF35" i="11"/>
  <c r="BE35" i="11"/>
  <c r="BD35" i="11"/>
  <c r="BC35" i="11"/>
  <c r="AZ35" i="11"/>
  <c r="DT35" i="11" s="1"/>
  <c r="AY35" i="11"/>
  <c r="DS35" i="11" s="1"/>
  <c r="AX35" i="11"/>
  <c r="AW35" i="11"/>
  <c r="AT35" i="11"/>
  <c r="AS35" i="11"/>
  <c r="AP35" i="11"/>
  <c r="AO35" i="11"/>
  <c r="AL35" i="11"/>
  <c r="AK35" i="11"/>
  <c r="AH35" i="11"/>
  <c r="AG35" i="11"/>
  <c r="AD35" i="11"/>
  <c r="AC35" i="11"/>
  <c r="Z35" i="11"/>
  <c r="Y35" i="11"/>
  <c r="V35" i="11"/>
  <c r="U35" i="11"/>
  <c r="R35" i="11"/>
  <c r="Q35" i="11"/>
  <c r="N35" i="11"/>
  <c r="M35" i="11"/>
  <c r="J35" i="11"/>
  <c r="I35" i="11"/>
  <c r="H35" i="11"/>
  <c r="G35" i="11"/>
  <c r="D35" i="11"/>
  <c r="C35" i="11"/>
  <c r="DR34" i="11"/>
  <c r="DQ34" i="11"/>
  <c r="DP34" i="11"/>
  <c r="DO34" i="11"/>
  <c r="DN34" i="11"/>
  <c r="DM34" i="11"/>
  <c r="DH34" i="11"/>
  <c r="DG34" i="11"/>
  <c r="DB34" i="11"/>
  <c r="DA34" i="11"/>
  <c r="CV34" i="11"/>
  <c r="CU34" i="11"/>
  <c r="CP34" i="11"/>
  <c r="CO34" i="11"/>
  <c r="CJ34" i="11"/>
  <c r="CI34" i="11"/>
  <c r="CD34" i="11"/>
  <c r="CC34" i="11"/>
  <c r="BX34" i="11"/>
  <c r="BW34" i="11"/>
  <c r="BR34" i="11"/>
  <c r="BQ34" i="11"/>
  <c r="BL34" i="11"/>
  <c r="BK34" i="11"/>
  <c r="BF34" i="11"/>
  <c r="BE34" i="11"/>
  <c r="BD34" i="11"/>
  <c r="BC34" i="11"/>
  <c r="AZ34" i="11"/>
  <c r="DT34" i="11" s="1"/>
  <c r="AY34" i="11"/>
  <c r="DS34" i="11" s="1"/>
  <c r="AX34" i="11"/>
  <c r="AW34" i="11"/>
  <c r="AT34" i="11"/>
  <c r="AS34" i="11"/>
  <c r="AP34" i="11"/>
  <c r="AO34" i="11"/>
  <c r="AL34" i="11"/>
  <c r="AK34" i="11"/>
  <c r="AH34" i="11"/>
  <c r="AG34" i="11"/>
  <c r="AD34" i="11"/>
  <c r="AC34" i="11"/>
  <c r="Z34" i="11"/>
  <c r="Y34" i="11"/>
  <c r="V34" i="11"/>
  <c r="U34" i="11"/>
  <c r="R34" i="11"/>
  <c r="Q34" i="11"/>
  <c r="N34" i="11"/>
  <c r="M34" i="11"/>
  <c r="J34" i="11"/>
  <c r="I34" i="11"/>
  <c r="H34" i="11"/>
  <c r="G34" i="11"/>
  <c r="D34" i="11"/>
  <c r="C34" i="11"/>
  <c r="DR33" i="11"/>
  <c r="DQ33" i="11"/>
  <c r="DP33" i="11"/>
  <c r="DO33" i="11"/>
  <c r="DN33" i="11"/>
  <c r="DM33" i="11"/>
  <c r="DH33" i="11"/>
  <c r="DG33" i="11"/>
  <c r="DB33" i="11"/>
  <c r="DA33" i="11"/>
  <c r="CV33" i="11"/>
  <c r="CU33" i="11"/>
  <c r="CP33" i="11"/>
  <c r="CO33" i="11"/>
  <c r="CJ33" i="11"/>
  <c r="CI33" i="11"/>
  <c r="CD33" i="11"/>
  <c r="CC33" i="11"/>
  <c r="BX33" i="11"/>
  <c r="BW33" i="11"/>
  <c r="BR33" i="11"/>
  <c r="BQ33" i="11"/>
  <c r="BL33" i="11"/>
  <c r="BK33" i="11"/>
  <c r="BF33" i="11"/>
  <c r="BE33" i="11"/>
  <c r="BD33" i="11"/>
  <c r="BC33" i="11"/>
  <c r="AZ33" i="11"/>
  <c r="DT33" i="11" s="1"/>
  <c r="AY33" i="11"/>
  <c r="DS33" i="11" s="1"/>
  <c r="AX33" i="11"/>
  <c r="AW33" i="11"/>
  <c r="AT33" i="11"/>
  <c r="AS33" i="11"/>
  <c r="AP33" i="11"/>
  <c r="AO33" i="11"/>
  <c r="AL33" i="11"/>
  <c r="AK33" i="11"/>
  <c r="AH33" i="11"/>
  <c r="AG33" i="11"/>
  <c r="AD33" i="11"/>
  <c r="AC33" i="11"/>
  <c r="Z33" i="11"/>
  <c r="Y33" i="11"/>
  <c r="V33" i="11"/>
  <c r="U33" i="11"/>
  <c r="R33" i="11"/>
  <c r="Q33" i="11"/>
  <c r="N33" i="11"/>
  <c r="M33" i="11"/>
  <c r="J33" i="11"/>
  <c r="I33" i="11"/>
  <c r="H33" i="11"/>
  <c r="G33" i="11"/>
  <c r="D33" i="11"/>
  <c r="C33" i="11"/>
  <c r="DR32" i="11"/>
  <c r="DQ32" i="11"/>
  <c r="DP32" i="11"/>
  <c r="DO32" i="11"/>
  <c r="DN32" i="11"/>
  <c r="DM32" i="11"/>
  <c r="DH32" i="11"/>
  <c r="DG32" i="11"/>
  <c r="DB32" i="11"/>
  <c r="DA32" i="11"/>
  <c r="CV32" i="11"/>
  <c r="CU32" i="11"/>
  <c r="CP32" i="11"/>
  <c r="CO32" i="11"/>
  <c r="CJ32" i="11"/>
  <c r="CI32" i="11"/>
  <c r="CD32" i="11"/>
  <c r="CC32" i="11"/>
  <c r="BX32" i="11"/>
  <c r="BW32" i="11"/>
  <c r="BR32" i="11"/>
  <c r="BQ32" i="11"/>
  <c r="BL32" i="11"/>
  <c r="BK32" i="11"/>
  <c r="BF32" i="11"/>
  <c r="BE32" i="11"/>
  <c r="BD32" i="11"/>
  <c r="BC32" i="11"/>
  <c r="AZ32" i="11"/>
  <c r="DT32" i="11" s="1"/>
  <c r="AY32" i="11"/>
  <c r="DS32" i="11" s="1"/>
  <c r="AX32" i="11"/>
  <c r="AW32" i="11"/>
  <c r="AT32" i="11"/>
  <c r="AS32" i="11"/>
  <c r="AP32" i="11"/>
  <c r="AO32" i="11"/>
  <c r="AL32" i="11"/>
  <c r="AK32" i="11"/>
  <c r="AH32" i="11"/>
  <c r="AG32" i="11"/>
  <c r="AD32" i="11"/>
  <c r="AC32" i="11"/>
  <c r="Z32" i="11"/>
  <c r="Y32" i="11"/>
  <c r="V32" i="11"/>
  <c r="U32" i="11"/>
  <c r="R32" i="11"/>
  <c r="Q32" i="11"/>
  <c r="N32" i="11"/>
  <c r="M32" i="11"/>
  <c r="J32" i="11"/>
  <c r="I32" i="11"/>
  <c r="H32" i="11"/>
  <c r="G32" i="11"/>
  <c r="D32" i="11"/>
  <c r="C32" i="11"/>
  <c r="DR31" i="11"/>
  <c r="DQ31" i="11"/>
  <c r="DP31" i="11"/>
  <c r="DO31" i="11"/>
  <c r="DN31" i="11"/>
  <c r="DM31" i="11"/>
  <c r="DH31" i="11"/>
  <c r="DG31" i="11"/>
  <c r="DB31" i="11"/>
  <c r="DA31" i="11"/>
  <c r="CV31" i="11"/>
  <c r="CU31" i="11"/>
  <c r="CP31" i="11"/>
  <c r="CO31" i="11"/>
  <c r="CJ31" i="11"/>
  <c r="CI31" i="11"/>
  <c r="CD31" i="11"/>
  <c r="CC31" i="11"/>
  <c r="BX31" i="11"/>
  <c r="BW31" i="11"/>
  <c r="BR31" i="11"/>
  <c r="BQ31" i="11"/>
  <c r="BL31" i="11"/>
  <c r="BK31" i="11"/>
  <c r="BF31" i="11"/>
  <c r="BE31" i="11"/>
  <c r="BD31" i="11"/>
  <c r="BC31" i="11"/>
  <c r="AZ31" i="11"/>
  <c r="DT31" i="11" s="1"/>
  <c r="AY31" i="11"/>
  <c r="DS31" i="11" s="1"/>
  <c r="AX31" i="11"/>
  <c r="AW31" i="11"/>
  <c r="AT31" i="11"/>
  <c r="AS31" i="11"/>
  <c r="AP31" i="11"/>
  <c r="AO31" i="11"/>
  <c r="AL31" i="11"/>
  <c r="AK31" i="11"/>
  <c r="AH31" i="11"/>
  <c r="AG31" i="11"/>
  <c r="AD31" i="11"/>
  <c r="AC31" i="11"/>
  <c r="Z31" i="11"/>
  <c r="Y31" i="11"/>
  <c r="V31" i="11"/>
  <c r="U31" i="11"/>
  <c r="R31" i="11"/>
  <c r="Q31" i="11"/>
  <c r="N31" i="11"/>
  <c r="M31" i="11"/>
  <c r="J31" i="11"/>
  <c r="I31" i="11"/>
  <c r="H31" i="11"/>
  <c r="G31" i="11"/>
  <c r="D31" i="11"/>
  <c r="C31" i="11"/>
  <c r="DR30" i="11"/>
  <c r="DQ30" i="11"/>
  <c r="DP30" i="11"/>
  <c r="DO30" i="11"/>
  <c r="DN30" i="11"/>
  <c r="DM30" i="11"/>
  <c r="DH30" i="11"/>
  <c r="DG30" i="11"/>
  <c r="DB30" i="11"/>
  <c r="DA30" i="11"/>
  <c r="CV30" i="11"/>
  <c r="CU30" i="11"/>
  <c r="CP30" i="11"/>
  <c r="CO30" i="11"/>
  <c r="CJ30" i="11"/>
  <c r="CI30" i="11"/>
  <c r="CD30" i="11"/>
  <c r="CC30" i="11"/>
  <c r="BX30" i="11"/>
  <c r="BW30" i="11"/>
  <c r="BR30" i="11"/>
  <c r="BQ30" i="11"/>
  <c r="BL30" i="11"/>
  <c r="BK30" i="11"/>
  <c r="BF30" i="11"/>
  <c r="BE30" i="11"/>
  <c r="BD30" i="11"/>
  <c r="BC30" i="11"/>
  <c r="AZ30" i="11"/>
  <c r="DT30" i="11" s="1"/>
  <c r="AY30" i="11"/>
  <c r="DS30" i="11" s="1"/>
  <c r="AX30" i="11"/>
  <c r="AW30" i="11"/>
  <c r="AT30" i="11"/>
  <c r="AS30" i="11"/>
  <c r="AP30" i="11"/>
  <c r="AO30" i="11"/>
  <c r="AL30" i="11"/>
  <c r="AK30" i="11"/>
  <c r="AH30" i="11"/>
  <c r="AG30" i="11"/>
  <c r="AD30" i="11"/>
  <c r="AC30" i="11"/>
  <c r="Z30" i="11"/>
  <c r="Y30" i="11"/>
  <c r="V30" i="11"/>
  <c r="U30" i="11"/>
  <c r="R30" i="11"/>
  <c r="Q30" i="11"/>
  <c r="N30" i="11"/>
  <c r="M30" i="11"/>
  <c r="J30" i="11"/>
  <c r="I30" i="11"/>
  <c r="H30" i="11"/>
  <c r="G30" i="11"/>
  <c r="D30" i="11"/>
  <c r="C30" i="11"/>
  <c r="DR29" i="11"/>
  <c r="DQ29" i="11"/>
  <c r="DP29" i="11"/>
  <c r="DO29" i="11"/>
  <c r="DN29" i="11"/>
  <c r="DM29" i="11"/>
  <c r="DH29" i="11"/>
  <c r="DG29" i="11"/>
  <c r="DB29" i="11"/>
  <c r="DA29" i="11"/>
  <c r="CV29" i="11"/>
  <c r="CU29" i="11"/>
  <c r="CP29" i="11"/>
  <c r="CO29" i="11"/>
  <c r="CJ29" i="11"/>
  <c r="CI29" i="11"/>
  <c r="CD29" i="11"/>
  <c r="CC29" i="11"/>
  <c r="BX29" i="11"/>
  <c r="BW29" i="11"/>
  <c r="BR29" i="11"/>
  <c r="BQ29" i="11"/>
  <c r="BL29" i="11"/>
  <c r="BK29" i="11"/>
  <c r="BF29" i="11"/>
  <c r="BE29" i="11"/>
  <c r="BD29" i="11"/>
  <c r="BC29" i="11"/>
  <c r="AZ29" i="11"/>
  <c r="DT29" i="11" s="1"/>
  <c r="AY29" i="11"/>
  <c r="DS29" i="11" s="1"/>
  <c r="AX29" i="11"/>
  <c r="AW29" i="11"/>
  <c r="AT29" i="11"/>
  <c r="AS29" i="11"/>
  <c r="AP29" i="11"/>
  <c r="AO29" i="11"/>
  <c r="AL29" i="11"/>
  <c r="AK29" i="11"/>
  <c r="AH29" i="11"/>
  <c r="AG29" i="11"/>
  <c r="AD29" i="11"/>
  <c r="AC29" i="11"/>
  <c r="Z29" i="11"/>
  <c r="Y29" i="11"/>
  <c r="V29" i="11"/>
  <c r="U29" i="11"/>
  <c r="R29" i="11"/>
  <c r="Q29" i="11"/>
  <c r="N29" i="11"/>
  <c r="M29" i="11"/>
  <c r="J29" i="11"/>
  <c r="I29" i="11"/>
  <c r="H29" i="11"/>
  <c r="G29" i="11"/>
  <c r="D29" i="11"/>
  <c r="C29" i="11"/>
  <c r="DR28" i="11"/>
  <c r="DQ28" i="11"/>
  <c r="DP28" i="11"/>
  <c r="DO28" i="11"/>
  <c r="DN28" i="11"/>
  <c r="DM28" i="11"/>
  <c r="DH28" i="11"/>
  <c r="DG28" i="11"/>
  <c r="DB28" i="11"/>
  <c r="DA28" i="11"/>
  <c r="CV28" i="11"/>
  <c r="CU28" i="11"/>
  <c r="CP28" i="11"/>
  <c r="CO28" i="11"/>
  <c r="CJ28" i="11"/>
  <c r="CI28" i="11"/>
  <c r="CD28" i="11"/>
  <c r="CC28" i="11"/>
  <c r="BX28" i="11"/>
  <c r="BW28" i="11"/>
  <c r="BR28" i="11"/>
  <c r="BQ28" i="11"/>
  <c r="BL28" i="11"/>
  <c r="BK28" i="11"/>
  <c r="BF28" i="11"/>
  <c r="BE28" i="11"/>
  <c r="BD28" i="11"/>
  <c r="BC28" i="11"/>
  <c r="AZ28" i="11"/>
  <c r="DT28" i="11" s="1"/>
  <c r="AY28" i="11"/>
  <c r="DS28" i="11" s="1"/>
  <c r="AX28" i="11"/>
  <c r="AW28" i="11"/>
  <c r="AT28" i="11"/>
  <c r="AS28" i="11"/>
  <c r="AP28" i="11"/>
  <c r="AO28" i="11"/>
  <c r="AL28" i="11"/>
  <c r="AK28" i="11"/>
  <c r="AH28" i="11"/>
  <c r="AG28" i="11"/>
  <c r="AD28" i="11"/>
  <c r="AC28" i="11"/>
  <c r="Z28" i="11"/>
  <c r="Y28" i="11"/>
  <c r="V28" i="11"/>
  <c r="U28" i="11"/>
  <c r="R28" i="11"/>
  <c r="Q28" i="11"/>
  <c r="N28" i="11"/>
  <c r="M28" i="11"/>
  <c r="J28" i="11"/>
  <c r="I28" i="11"/>
  <c r="H28" i="11"/>
  <c r="G28" i="11"/>
  <c r="D28" i="11"/>
  <c r="C28" i="11"/>
  <c r="DR26" i="11"/>
  <c r="DQ26" i="11"/>
  <c r="DP26" i="11"/>
  <c r="DO26" i="11"/>
  <c r="DN26" i="11"/>
  <c r="DM26" i="11"/>
  <c r="DH26" i="11"/>
  <c r="DG26" i="11"/>
  <c r="DB26" i="11"/>
  <c r="DA26" i="11"/>
  <c r="CV26" i="11"/>
  <c r="CU26" i="11"/>
  <c r="CP26" i="11"/>
  <c r="CO26" i="11"/>
  <c r="CJ26" i="11"/>
  <c r="CI26" i="11"/>
  <c r="CD26" i="11"/>
  <c r="CC26" i="11"/>
  <c r="BX26" i="11"/>
  <c r="BW26" i="11"/>
  <c r="BR26" i="11"/>
  <c r="BQ26" i="11"/>
  <c r="BL26" i="11"/>
  <c r="BK26" i="11"/>
  <c r="BF26" i="11"/>
  <c r="BE26" i="11"/>
  <c r="BD26" i="11"/>
  <c r="BC26" i="11"/>
  <c r="AZ26" i="11"/>
  <c r="DT26" i="11" s="1"/>
  <c r="AY26" i="11"/>
  <c r="DS26" i="11" s="1"/>
  <c r="AX26" i="11"/>
  <c r="AW26" i="11"/>
  <c r="AT26" i="11"/>
  <c r="AS26" i="11"/>
  <c r="AP26" i="11"/>
  <c r="AO26" i="11"/>
  <c r="AL26" i="11"/>
  <c r="AK26" i="11"/>
  <c r="AH26" i="11"/>
  <c r="AG26" i="11"/>
  <c r="AD26" i="11"/>
  <c r="AC26" i="11"/>
  <c r="Z26" i="11"/>
  <c r="Y26" i="11"/>
  <c r="V26" i="11"/>
  <c r="U26" i="11"/>
  <c r="R26" i="11"/>
  <c r="Q26" i="11"/>
  <c r="N26" i="11"/>
  <c r="M26" i="11"/>
  <c r="J26" i="11"/>
  <c r="I26" i="11"/>
  <c r="H26" i="11"/>
  <c r="G26" i="11"/>
  <c r="D26" i="11"/>
  <c r="C26" i="11"/>
  <c r="DR25" i="11"/>
  <c r="DQ25" i="11"/>
  <c r="DP25" i="11"/>
  <c r="DO25" i="11"/>
  <c r="DN25" i="11"/>
  <c r="DM25" i="11"/>
  <c r="DH25" i="11"/>
  <c r="DG25" i="11"/>
  <c r="DB25" i="11"/>
  <c r="DA25" i="11"/>
  <c r="CV25" i="11"/>
  <c r="CU25" i="11"/>
  <c r="CP25" i="11"/>
  <c r="CO25" i="11"/>
  <c r="CJ25" i="11"/>
  <c r="CI25" i="11"/>
  <c r="CD25" i="11"/>
  <c r="CC25" i="11"/>
  <c r="BX25" i="11"/>
  <c r="BW25" i="11"/>
  <c r="BR25" i="11"/>
  <c r="BQ25" i="11"/>
  <c r="BL25" i="11"/>
  <c r="BK25" i="11"/>
  <c r="BF25" i="11"/>
  <c r="BE25" i="11"/>
  <c r="BD25" i="11"/>
  <c r="BC25" i="11"/>
  <c r="AZ25" i="11"/>
  <c r="DT25" i="11" s="1"/>
  <c r="AY25" i="11"/>
  <c r="DS25" i="11" s="1"/>
  <c r="AX25" i="11"/>
  <c r="AW25" i="11"/>
  <c r="AT25" i="11"/>
  <c r="AS25" i="11"/>
  <c r="AP25" i="11"/>
  <c r="AO25" i="11"/>
  <c r="AL25" i="11"/>
  <c r="AK25" i="11"/>
  <c r="AH25" i="11"/>
  <c r="AG25" i="11"/>
  <c r="AD25" i="11"/>
  <c r="AC25" i="11"/>
  <c r="Z25" i="11"/>
  <c r="Y25" i="11"/>
  <c r="V25" i="11"/>
  <c r="U25" i="11"/>
  <c r="R25" i="11"/>
  <c r="Q25" i="11"/>
  <c r="N25" i="11"/>
  <c r="M25" i="11"/>
  <c r="J25" i="11"/>
  <c r="I25" i="11"/>
  <c r="H25" i="11"/>
  <c r="G25" i="11"/>
  <c r="D25" i="11"/>
  <c r="C25" i="11"/>
  <c r="DR24" i="11"/>
  <c r="DQ24" i="11"/>
  <c r="DP24" i="11"/>
  <c r="DO24" i="11"/>
  <c r="DN24" i="11"/>
  <c r="DM24" i="11"/>
  <c r="DH24" i="11"/>
  <c r="DG24" i="11"/>
  <c r="DB24" i="11"/>
  <c r="DA24" i="11"/>
  <c r="CV24" i="11"/>
  <c r="CU24" i="11"/>
  <c r="CP24" i="11"/>
  <c r="CO24" i="11"/>
  <c r="CJ24" i="11"/>
  <c r="CI24" i="11"/>
  <c r="CD24" i="11"/>
  <c r="CC24" i="11"/>
  <c r="BX24" i="11"/>
  <c r="BW24" i="11"/>
  <c r="BR24" i="11"/>
  <c r="BQ24" i="11"/>
  <c r="BL24" i="11"/>
  <c r="BK24" i="11"/>
  <c r="BF24" i="11"/>
  <c r="BE24" i="11"/>
  <c r="BD24" i="11"/>
  <c r="BC24" i="11"/>
  <c r="AZ24" i="11"/>
  <c r="DT130" i="11" s="1"/>
  <c r="AY24" i="11"/>
  <c r="DS130" i="11" s="1"/>
  <c r="AX24" i="11"/>
  <c r="AW24" i="11"/>
  <c r="AT24" i="11"/>
  <c r="AS24" i="11"/>
  <c r="AP24" i="11"/>
  <c r="AO24" i="11"/>
  <c r="AL24" i="11"/>
  <c r="AK24" i="11"/>
  <c r="AH24" i="11"/>
  <c r="AG24" i="11"/>
  <c r="AD24" i="11"/>
  <c r="AC24" i="11"/>
  <c r="Z24" i="11"/>
  <c r="Y24" i="11"/>
  <c r="V24" i="11"/>
  <c r="U24" i="11"/>
  <c r="R24" i="11"/>
  <c r="Q24" i="11"/>
  <c r="N24" i="11"/>
  <c r="M24" i="11"/>
  <c r="J24" i="11"/>
  <c r="I24" i="11"/>
  <c r="H24" i="11"/>
  <c r="G24" i="11"/>
  <c r="D24" i="11"/>
  <c r="C24" i="11"/>
  <c r="DR23" i="11"/>
  <c r="DQ23" i="11"/>
  <c r="DP23" i="11"/>
  <c r="DO23" i="11"/>
  <c r="DN23" i="11"/>
  <c r="DM23" i="11"/>
  <c r="DH23" i="11"/>
  <c r="DG23" i="11"/>
  <c r="DB23" i="11"/>
  <c r="DA23" i="11"/>
  <c r="CV23" i="11"/>
  <c r="CU23" i="11"/>
  <c r="CP23" i="11"/>
  <c r="CO23" i="11"/>
  <c r="CJ23" i="11"/>
  <c r="CI23" i="11"/>
  <c r="CD23" i="11"/>
  <c r="CC23" i="11"/>
  <c r="BX23" i="11"/>
  <c r="BW23" i="11"/>
  <c r="BR23" i="11"/>
  <c r="BQ23" i="11"/>
  <c r="BL23" i="11"/>
  <c r="BK23" i="11"/>
  <c r="BF23" i="11"/>
  <c r="BE23" i="11"/>
  <c r="BD23" i="11"/>
  <c r="BC23" i="11"/>
  <c r="AZ23" i="11"/>
  <c r="DT23" i="11" s="1"/>
  <c r="AY23" i="11"/>
  <c r="DS23" i="11" s="1"/>
  <c r="AX23" i="11"/>
  <c r="AW23" i="11"/>
  <c r="AT23" i="11"/>
  <c r="AS23" i="11"/>
  <c r="AP23" i="11"/>
  <c r="AO23" i="11"/>
  <c r="AL23" i="11"/>
  <c r="AK23" i="11"/>
  <c r="AH23" i="11"/>
  <c r="AG23" i="11"/>
  <c r="AD23" i="11"/>
  <c r="AC23" i="11"/>
  <c r="Z23" i="11"/>
  <c r="Y23" i="11"/>
  <c r="V23" i="11"/>
  <c r="U23" i="11"/>
  <c r="R23" i="11"/>
  <c r="Q23" i="11"/>
  <c r="N23" i="11"/>
  <c r="M23" i="11"/>
  <c r="J23" i="11"/>
  <c r="I23" i="11"/>
  <c r="H23" i="11"/>
  <c r="G23" i="11"/>
  <c r="D23" i="11"/>
  <c r="C23" i="11"/>
  <c r="DR22" i="11"/>
  <c r="DQ22" i="11"/>
  <c r="DP22" i="11"/>
  <c r="DO22" i="11"/>
  <c r="DN22" i="11"/>
  <c r="DM22" i="11"/>
  <c r="DH22" i="11"/>
  <c r="DG22" i="11"/>
  <c r="DB22" i="11"/>
  <c r="DA22" i="11"/>
  <c r="CV22" i="11"/>
  <c r="CU22" i="11"/>
  <c r="CP22" i="11"/>
  <c r="CO22" i="11"/>
  <c r="CJ22" i="11"/>
  <c r="CI22" i="11"/>
  <c r="CD22" i="11"/>
  <c r="CC22" i="11"/>
  <c r="BX22" i="11"/>
  <c r="BW22" i="11"/>
  <c r="BR22" i="11"/>
  <c r="BQ22" i="11"/>
  <c r="BL22" i="11"/>
  <c r="BK22" i="11"/>
  <c r="BF22" i="11"/>
  <c r="BE22" i="11"/>
  <c r="BD22" i="11"/>
  <c r="BC22" i="11"/>
  <c r="AZ22" i="11"/>
  <c r="DT22" i="11" s="1"/>
  <c r="AY22" i="11"/>
  <c r="DS22" i="11" s="1"/>
  <c r="AX22" i="11"/>
  <c r="AW22" i="11"/>
  <c r="AT22" i="11"/>
  <c r="AS22" i="11"/>
  <c r="AP22" i="11"/>
  <c r="AO22" i="11"/>
  <c r="AL22" i="11"/>
  <c r="AK22" i="11"/>
  <c r="AH22" i="11"/>
  <c r="AG22" i="11"/>
  <c r="AD22" i="11"/>
  <c r="AC22" i="11"/>
  <c r="Z22" i="11"/>
  <c r="Y22" i="11"/>
  <c r="V22" i="11"/>
  <c r="U22" i="11"/>
  <c r="R22" i="11"/>
  <c r="Q22" i="11"/>
  <c r="N22" i="11"/>
  <c r="M22" i="11"/>
  <c r="J22" i="11"/>
  <c r="I22" i="11"/>
  <c r="H22" i="11"/>
  <c r="G22" i="11"/>
  <c r="D22" i="11"/>
  <c r="C22" i="11"/>
  <c r="DR21" i="11"/>
  <c r="DQ21" i="11"/>
  <c r="DP21" i="11"/>
  <c r="DO21" i="11"/>
  <c r="DN21" i="11"/>
  <c r="DM21" i="11"/>
  <c r="DH21" i="11"/>
  <c r="DG21" i="11"/>
  <c r="DB21" i="11"/>
  <c r="DA21" i="11"/>
  <c r="CV21" i="11"/>
  <c r="CU21" i="11"/>
  <c r="CP21" i="11"/>
  <c r="CO21" i="11"/>
  <c r="CJ21" i="11"/>
  <c r="CI21" i="11"/>
  <c r="CD21" i="11"/>
  <c r="CC21" i="11"/>
  <c r="BX21" i="11"/>
  <c r="BW21" i="11"/>
  <c r="BR21" i="11"/>
  <c r="BQ21" i="11"/>
  <c r="BL21" i="11"/>
  <c r="BK21" i="11"/>
  <c r="BF21" i="11"/>
  <c r="BE21" i="11"/>
  <c r="BD21" i="11"/>
  <c r="BC21" i="11"/>
  <c r="AZ21" i="11"/>
  <c r="DT21" i="11" s="1"/>
  <c r="AY21" i="11"/>
  <c r="DS21" i="11" s="1"/>
  <c r="AX21" i="11"/>
  <c r="AW21" i="11"/>
  <c r="AT21" i="11"/>
  <c r="AS21" i="11"/>
  <c r="AP21" i="11"/>
  <c r="AO21" i="11"/>
  <c r="AL21" i="11"/>
  <c r="AK21" i="11"/>
  <c r="AH21" i="11"/>
  <c r="AG21" i="11"/>
  <c r="AD21" i="11"/>
  <c r="AC21" i="11"/>
  <c r="Z21" i="11"/>
  <c r="Y21" i="11"/>
  <c r="V21" i="11"/>
  <c r="U21" i="11"/>
  <c r="R21" i="11"/>
  <c r="Q21" i="11"/>
  <c r="N21" i="11"/>
  <c r="M21" i="11"/>
  <c r="J21" i="11"/>
  <c r="I21" i="11"/>
  <c r="H21" i="11"/>
  <c r="G21" i="11"/>
  <c r="D21" i="11"/>
  <c r="C21" i="11"/>
  <c r="DR20" i="11"/>
  <c r="DQ20" i="11"/>
  <c r="DP20" i="11"/>
  <c r="DO20" i="11"/>
  <c r="DN20" i="11"/>
  <c r="DM20" i="11"/>
  <c r="DH20" i="11"/>
  <c r="DG20" i="11"/>
  <c r="DB20" i="11"/>
  <c r="DA20" i="11"/>
  <c r="CV20" i="11"/>
  <c r="CU20" i="11"/>
  <c r="CP20" i="11"/>
  <c r="CO20" i="11"/>
  <c r="CJ20" i="11"/>
  <c r="CI20" i="11"/>
  <c r="CD20" i="11"/>
  <c r="CC20" i="11"/>
  <c r="BX20" i="11"/>
  <c r="BW20" i="11"/>
  <c r="BR20" i="11"/>
  <c r="BQ20" i="11"/>
  <c r="BL20" i="11"/>
  <c r="BK20" i="11"/>
  <c r="BF20" i="11"/>
  <c r="BE20" i="11"/>
  <c r="BD20" i="11"/>
  <c r="BC20" i="11"/>
  <c r="AZ20" i="11"/>
  <c r="DT20" i="11" s="1"/>
  <c r="AY20" i="11"/>
  <c r="DS20" i="11" s="1"/>
  <c r="AX20" i="11"/>
  <c r="AW20" i="11"/>
  <c r="AT20" i="11"/>
  <c r="AS20" i="11"/>
  <c r="AP20" i="11"/>
  <c r="AO20" i="11"/>
  <c r="AL20" i="11"/>
  <c r="AK20" i="11"/>
  <c r="AH20" i="11"/>
  <c r="AG20" i="11"/>
  <c r="AD20" i="11"/>
  <c r="AC20" i="11"/>
  <c r="Z20" i="11"/>
  <c r="Y20" i="11"/>
  <c r="V20" i="11"/>
  <c r="U20" i="11"/>
  <c r="R20" i="11"/>
  <c r="Q20" i="11"/>
  <c r="N20" i="11"/>
  <c r="M20" i="11"/>
  <c r="J20" i="11"/>
  <c r="I20" i="11"/>
  <c r="H20" i="11"/>
  <c r="G20" i="11"/>
  <c r="D20" i="11"/>
  <c r="C20" i="11"/>
  <c r="DR19" i="11"/>
  <c r="DQ19" i="11"/>
  <c r="DP19" i="11"/>
  <c r="DO19" i="11"/>
  <c r="DN19" i="11"/>
  <c r="DM19" i="11"/>
  <c r="DH19" i="11"/>
  <c r="DG19" i="11"/>
  <c r="DB19" i="11"/>
  <c r="DA19" i="11"/>
  <c r="CV19" i="11"/>
  <c r="CU19" i="11"/>
  <c r="CP19" i="11"/>
  <c r="CO19" i="11"/>
  <c r="CJ19" i="11"/>
  <c r="CI19" i="11"/>
  <c r="CD19" i="11"/>
  <c r="CC19" i="11"/>
  <c r="BX19" i="11"/>
  <c r="BW19" i="11"/>
  <c r="BR19" i="11"/>
  <c r="BQ19" i="11"/>
  <c r="BL19" i="11"/>
  <c r="BK19" i="11"/>
  <c r="BF19" i="11"/>
  <c r="BE19" i="11"/>
  <c r="BD19" i="11"/>
  <c r="BC19" i="11"/>
  <c r="AZ19" i="11"/>
  <c r="DT19" i="11" s="1"/>
  <c r="AY19" i="11"/>
  <c r="DS19" i="11" s="1"/>
  <c r="AX19" i="11"/>
  <c r="AW19" i="11"/>
  <c r="AT19" i="11"/>
  <c r="AS19" i="11"/>
  <c r="AP19" i="11"/>
  <c r="AO19" i="11"/>
  <c r="AL19" i="11"/>
  <c r="AK19" i="11"/>
  <c r="AH19" i="11"/>
  <c r="AG19" i="11"/>
  <c r="AD19" i="11"/>
  <c r="AC19" i="11"/>
  <c r="Z19" i="11"/>
  <c r="Y19" i="11"/>
  <c r="V19" i="11"/>
  <c r="U19" i="11"/>
  <c r="R19" i="11"/>
  <c r="Q19" i="11"/>
  <c r="N19" i="11"/>
  <c r="M19" i="11"/>
  <c r="J19" i="11"/>
  <c r="I19" i="11"/>
  <c r="H19" i="11"/>
  <c r="G19" i="11"/>
  <c r="D19" i="11"/>
  <c r="C19" i="11"/>
  <c r="DR18" i="11"/>
  <c r="DQ18" i="11"/>
  <c r="DP18" i="11"/>
  <c r="DO18" i="11"/>
  <c r="DN18" i="11"/>
  <c r="DM18" i="11"/>
  <c r="DH18" i="11"/>
  <c r="DG18" i="11"/>
  <c r="DB18" i="11"/>
  <c r="DA18" i="11"/>
  <c r="CV18" i="11"/>
  <c r="CU18" i="11"/>
  <c r="CP18" i="11"/>
  <c r="CO18" i="11"/>
  <c r="CJ18" i="11"/>
  <c r="CI18" i="11"/>
  <c r="CD18" i="11"/>
  <c r="CC18" i="11"/>
  <c r="BX18" i="11"/>
  <c r="BW18" i="11"/>
  <c r="BR18" i="11"/>
  <c r="BQ18" i="11"/>
  <c r="BL18" i="11"/>
  <c r="BK18" i="11"/>
  <c r="BF18" i="11"/>
  <c r="BE18" i="11"/>
  <c r="BD18" i="11"/>
  <c r="BC18" i="11"/>
  <c r="AZ18" i="11"/>
  <c r="DT18" i="11" s="1"/>
  <c r="AY18" i="11"/>
  <c r="DS18" i="11" s="1"/>
  <c r="AX18" i="11"/>
  <c r="AW18" i="11"/>
  <c r="AT18" i="11"/>
  <c r="AS18" i="11"/>
  <c r="AP18" i="11"/>
  <c r="AO18" i="11"/>
  <c r="AL18" i="11"/>
  <c r="AK18" i="11"/>
  <c r="AH18" i="11"/>
  <c r="AG18" i="11"/>
  <c r="AD18" i="11"/>
  <c r="AC18" i="11"/>
  <c r="Z18" i="11"/>
  <c r="Y18" i="11"/>
  <c r="V18" i="11"/>
  <c r="U18" i="11"/>
  <c r="R18" i="11"/>
  <c r="Q18" i="11"/>
  <c r="N18" i="11"/>
  <c r="M18" i="11"/>
  <c r="J18" i="11"/>
  <c r="I18" i="11"/>
  <c r="H18" i="11"/>
  <c r="G18" i="11"/>
  <c r="D18" i="11"/>
  <c r="C18" i="11"/>
  <c r="DR17" i="11"/>
  <c r="DQ17" i="11"/>
  <c r="DP17" i="11"/>
  <c r="DO17" i="11"/>
  <c r="DN17" i="11"/>
  <c r="DM17" i="11"/>
  <c r="DH17" i="11"/>
  <c r="DG17" i="11"/>
  <c r="DB17" i="11"/>
  <c r="DA17" i="11"/>
  <c r="CV17" i="11"/>
  <c r="CU17" i="11"/>
  <c r="CP17" i="11"/>
  <c r="CO17" i="11"/>
  <c r="CJ17" i="11"/>
  <c r="CI17" i="11"/>
  <c r="CD17" i="11"/>
  <c r="CC17" i="11"/>
  <c r="BX17" i="11"/>
  <c r="BW17" i="11"/>
  <c r="BR17" i="11"/>
  <c r="BQ17" i="11"/>
  <c r="BL17" i="11"/>
  <c r="BK17" i="11"/>
  <c r="BF17" i="11"/>
  <c r="BE17" i="11"/>
  <c r="BD17" i="11"/>
  <c r="BC17" i="11"/>
  <c r="AZ17" i="11"/>
  <c r="DT17" i="11" s="1"/>
  <c r="AY17" i="11"/>
  <c r="DS17" i="11" s="1"/>
  <c r="AX17" i="11"/>
  <c r="AW17" i="11"/>
  <c r="AT17" i="11"/>
  <c r="AS17" i="11"/>
  <c r="AP17" i="11"/>
  <c r="AO17" i="11"/>
  <c r="AL17" i="11"/>
  <c r="AK17" i="11"/>
  <c r="AH17" i="11"/>
  <c r="AG17" i="11"/>
  <c r="AD17" i="11"/>
  <c r="AC17" i="11"/>
  <c r="Z17" i="11"/>
  <c r="Y17" i="11"/>
  <c r="V17" i="11"/>
  <c r="U17" i="11"/>
  <c r="R17" i="11"/>
  <c r="Q17" i="11"/>
  <c r="N17" i="11"/>
  <c r="M17" i="11"/>
  <c r="J17" i="11"/>
  <c r="I17" i="11"/>
  <c r="H17" i="11"/>
  <c r="G17" i="11"/>
  <c r="D17" i="11"/>
  <c r="C17" i="11"/>
  <c r="DQ16" i="11"/>
  <c r="DO16" i="11"/>
  <c r="DM16" i="11"/>
  <c r="DG16" i="11"/>
  <c r="DA16" i="11"/>
  <c r="CU16" i="11"/>
  <c r="CO16" i="11"/>
  <c r="CI16" i="11"/>
  <c r="CC16" i="11"/>
  <c r="BW16" i="11"/>
  <c r="BQ16" i="11"/>
  <c r="BK16" i="11"/>
  <c r="BE16" i="11"/>
  <c r="BC16" i="11"/>
  <c r="AY16" i="11"/>
  <c r="DS16" i="11" s="1"/>
  <c r="AW16" i="11"/>
  <c r="AS16" i="11"/>
  <c r="AO16" i="11"/>
  <c r="AK16" i="11"/>
  <c r="AG16" i="11"/>
  <c r="AC16" i="11"/>
  <c r="Y16" i="11"/>
  <c r="U16" i="11"/>
  <c r="Q16" i="11"/>
  <c r="M16" i="11"/>
  <c r="I16" i="11"/>
  <c r="G16" i="11"/>
  <c r="C16" i="11"/>
  <c r="DQ15" i="11"/>
  <c r="DO15" i="11"/>
  <c r="DM15" i="11"/>
  <c r="DG15" i="11"/>
  <c r="DA15" i="11"/>
  <c r="CU15" i="11"/>
  <c r="CO15" i="11"/>
  <c r="CI15" i="11"/>
  <c r="CC15" i="11"/>
  <c r="BW15" i="11"/>
  <c r="BQ15" i="11"/>
  <c r="BK15" i="11"/>
  <c r="BE15" i="11"/>
  <c r="BC15" i="11"/>
  <c r="AY15" i="11"/>
  <c r="DS15" i="11" s="1"/>
  <c r="AW15" i="11"/>
  <c r="AS15" i="11"/>
  <c r="AO15" i="11"/>
  <c r="AK15" i="11"/>
  <c r="AG15" i="11"/>
  <c r="AC15" i="11"/>
  <c r="Y15" i="11"/>
  <c r="U15" i="11"/>
  <c r="Q15" i="11"/>
  <c r="M15" i="11"/>
  <c r="I15" i="11"/>
  <c r="G15" i="11"/>
  <c r="C15" i="11"/>
  <c r="DR14" i="11"/>
  <c r="DQ14" i="11"/>
  <c r="DP14" i="11"/>
  <c r="DO14" i="11"/>
  <c r="DN14" i="11"/>
  <c r="DM14" i="11"/>
  <c r="DH14" i="11"/>
  <c r="DG14" i="11"/>
  <c r="DB14" i="11"/>
  <c r="DA14" i="11"/>
  <c r="CV14" i="11"/>
  <c r="CU14" i="11"/>
  <c r="CP14" i="11"/>
  <c r="CO14" i="11"/>
  <c r="CJ14" i="11"/>
  <c r="CI14" i="11"/>
  <c r="CD14" i="11"/>
  <c r="CC14" i="11"/>
  <c r="BX14" i="11"/>
  <c r="BW14" i="11"/>
  <c r="BR14" i="11"/>
  <c r="BQ14" i="11"/>
  <c r="BL14" i="11"/>
  <c r="BK14" i="11"/>
  <c r="BF14" i="11"/>
  <c r="BE14" i="11"/>
  <c r="BD14" i="11"/>
  <c r="BC14" i="11"/>
  <c r="AZ14" i="11"/>
  <c r="DT14" i="11" s="1"/>
  <c r="AY14" i="11"/>
  <c r="DS14" i="11" s="1"/>
  <c r="AX14" i="11"/>
  <c r="AW14" i="11"/>
  <c r="AT14" i="11"/>
  <c r="AS14" i="11"/>
  <c r="AP14" i="11"/>
  <c r="AO14" i="11"/>
  <c r="AL14" i="11"/>
  <c r="AK14" i="11"/>
  <c r="AH14" i="11"/>
  <c r="AG14" i="11"/>
  <c r="AD14" i="11"/>
  <c r="AC14" i="11"/>
  <c r="Z14" i="11"/>
  <c r="Y14" i="11"/>
  <c r="V14" i="11"/>
  <c r="U14" i="11"/>
  <c r="R14" i="11"/>
  <c r="Q14" i="11"/>
  <c r="N14" i="11"/>
  <c r="M14" i="11"/>
  <c r="J14" i="11"/>
  <c r="I14" i="11"/>
  <c r="H14" i="11"/>
  <c r="G14" i="11"/>
  <c r="D14" i="11"/>
  <c r="C14" i="11"/>
  <c r="DR13" i="11"/>
  <c r="DQ13" i="11"/>
  <c r="DP13" i="11"/>
  <c r="DO13" i="11"/>
  <c r="DN13" i="11"/>
  <c r="DM13" i="11"/>
  <c r="DH13" i="11"/>
  <c r="DG13" i="11"/>
  <c r="DB13" i="11"/>
  <c r="DA13" i="11"/>
  <c r="CV13" i="11"/>
  <c r="CU13" i="11"/>
  <c r="CP13" i="11"/>
  <c r="CO13" i="11"/>
  <c r="CJ13" i="11"/>
  <c r="CI13" i="11"/>
  <c r="CD13" i="11"/>
  <c r="CC13" i="11"/>
  <c r="BX13" i="11"/>
  <c r="BW13" i="11"/>
  <c r="BR13" i="11"/>
  <c r="BQ13" i="11"/>
  <c r="BL13" i="11"/>
  <c r="BK13" i="11"/>
  <c r="BF13" i="11"/>
  <c r="BE13" i="11"/>
  <c r="BD13" i="11"/>
  <c r="BC13" i="11"/>
  <c r="AZ13" i="11"/>
  <c r="DT13" i="11" s="1"/>
  <c r="AY13" i="11"/>
  <c r="DS13" i="11" s="1"/>
  <c r="AX13" i="11"/>
  <c r="AW13" i="11"/>
  <c r="AT13" i="11"/>
  <c r="AS13" i="11"/>
  <c r="AP13" i="11"/>
  <c r="AO13" i="11"/>
  <c r="AL13" i="11"/>
  <c r="AK13" i="11"/>
  <c r="AH13" i="11"/>
  <c r="AG13" i="11"/>
  <c r="AD13" i="11"/>
  <c r="AC13" i="11"/>
  <c r="Z13" i="11"/>
  <c r="Y13" i="11"/>
  <c r="V13" i="11"/>
  <c r="U13" i="11"/>
  <c r="R13" i="11"/>
  <c r="Q13" i="11"/>
  <c r="N13" i="11"/>
  <c r="M13" i="11"/>
  <c r="J13" i="11"/>
  <c r="I13" i="11"/>
  <c r="H13" i="11"/>
  <c r="G13" i="11"/>
  <c r="D13" i="11"/>
  <c r="C13" i="11"/>
  <c r="AX12" i="11"/>
  <c r="AW12" i="11"/>
  <c r="AT12" i="11"/>
  <c r="AS12" i="11"/>
  <c r="AP12" i="11"/>
  <c r="AO12" i="11"/>
  <c r="AL12" i="11"/>
  <c r="AK12" i="11"/>
  <c r="AH12" i="11"/>
  <c r="AG12" i="11"/>
  <c r="AD12" i="11"/>
  <c r="AC12" i="11"/>
  <c r="Z12" i="11"/>
  <c r="Y12" i="11"/>
  <c r="V12" i="11"/>
  <c r="U12" i="11"/>
  <c r="R12" i="11"/>
  <c r="Q12" i="11"/>
  <c r="N12" i="11"/>
  <c r="M12" i="11"/>
  <c r="J12" i="11"/>
  <c r="I12" i="11"/>
  <c r="H12" i="11"/>
  <c r="G12" i="11"/>
  <c r="D12" i="11"/>
  <c r="C12" i="11"/>
  <c r="DR11" i="11"/>
  <c r="DQ11" i="11"/>
  <c r="DP11" i="11"/>
  <c r="DO11" i="11"/>
  <c r="DN11" i="11"/>
  <c r="DM11" i="11"/>
  <c r="DH11" i="11"/>
  <c r="DG11" i="11"/>
  <c r="DB11" i="11"/>
  <c r="DA11" i="11"/>
  <c r="CV11" i="11"/>
  <c r="CU11" i="11"/>
  <c r="CP11" i="11"/>
  <c r="CO11" i="11"/>
  <c r="CJ11" i="11"/>
  <c r="CI11" i="11"/>
  <c r="CD11" i="11"/>
  <c r="CC11" i="11"/>
  <c r="BX11" i="11"/>
  <c r="BW11" i="11"/>
  <c r="BR11" i="11"/>
  <c r="BQ11" i="11"/>
  <c r="BL11" i="11"/>
  <c r="BK11" i="11"/>
  <c r="BF11" i="11"/>
  <c r="BE11" i="11"/>
  <c r="BD11" i="11"/>
  <c r="BC11" i="11"/>
  <c r="AZ11" i="11"/>
  <c r="DT11" i="11" s="1"/>
  <c r="AY11" i="11"/>
  <c r="DS11" i="11" s="1"/>
  <c r="AX11" i="11"/>
  <c r="AW11" i="11"/>
  <c r="AT11" i="11"/>
  <c r="AS11" i="11"/>
  <c r="AP11" i="11"/>
  <c r="AO11" i="11"/>
  <c r="AL11" i="11"/>
  <c r="AK11" i="11"/>
  <c r="AH11" i="11"/>
  <c r="AG11" i="11"/>
  <c r="AD11" i="11"/>
  <c r="AC11" i="11"/>
  <c r="Z11" i="11"/>
  <c r="Y11" i="11"/>
  <c r="V11" i="11"/>
  <c r="U11" i="11"/>
  <c r="R11" i="11"/>
  <c r="Q11" i="11"/>
  <c r="N11" i="11"/>
  <c r="M11" i="11"/>
  <c r="J11" i="11"/>
  <c r="I11" i="11"/>
  <c r="H11" i="11"/>
  <c r="G11" i="11"/>
  <c r="D11" i="11"/>
  <c r="C11" i="11"/>
  <c r="BN8" i="11"/>
  <c r="BR8" i="11" s="1"/>
  <c r="BT8" i="11" s="1"/>
  <c r="BM8" i="11"/>
  <c r="BQ8" i="11" s="1"/>
  <c r="BS8" i="11" s="1"/>
  <c r="BH8" i="11"/>
  <c r="BJ8" i="11" s="1"/>
  <c r="BG8" i="11"/>
  <c r="BI8" i="11" s="1"/>
  <c r="AY8" i="11"/>
  <c r="BA8" i="11" s="1"/>
  <c r="H8" i="11"/>
  <c r="J8" i="11" s="1"/>
  <c r="L8" i="11" s="1"/>
  <c r="N8" i="11" s="1"/>
  <c r="P8" i="11" s="1"/>
  <c r="R8" i="11" s="1"/>
  <c r="T8" i="11" s="1"/>
  <c r="V8" i="11" s="1"/>
  <c r="X8" i="11" s="1"/>
  <c r="Z8" i="11" s="1"/>
  <c r="AB8" i="11" s="1"/>
  <c r="AD8" i="11" s="1"/>
  <c r="AF8" i="11" s="1"/>
  <c r="AH8" i="11" s="1"/>
  <c r="AJ8" i="11" s="1"/>
  <c r="AL8" i="11" s="1"/>
  <c r="AN8" i="11" s="1"/>
  <c r="AP8" i="11" s="1"/>
  <c r="AR8" i="11" s="1"/>
  <c r="AT8" i="11" s="1"/>
  <c r="AV8" i="11" s="1"/>
  <c r="AX8" i="11" s="1"/>
  <c r="G8" i="11"/>
  <c r="I8" i="11" s="1"/>
  <c r="K8" i="11" s="1"/>
  <c r="M8" i="11" s="1"/>
  <c r="O8" i="11" s="1"/>
  <c r="Q8" i="11" s="1"/>
  <c r="S8" i="11" s="1"/>
  <c r="U8" i="11" s="1"/>
  <c r="W8" i="11" s="1"/>
  <c r="Y8" i="11" s="1"/>
  <c r="AA8" i="11" s="1"/>
  <c r="AC8" i="11" s="1"/>
  <c r="AE8" i="11" s="1"/>
  <c r="AG8" i="11" s="1"/>
  <c r="AI8" i="11" s="1"/>
  <c r="AK8" i="11" s="1"/>
  <c r="AM8" i="11" s="1"/>
  <c r="AO8" i="11" s="1"/>
  <c r="AQ8" i="11" s="1"/>
  <c r="AS8" i="11" s="1"/>
  <c r="AU8" i="11" s="1"/>
  <c r="AW8" i="11" s="1"/>
  <c r="DO7" i="11"/>
  <c r="DO113" i="11" s="1"/>
  <c r="AA5" i="9"/>
  <c r="D5" i="9"/>
  <c r="C5" i="9"/>
  <c r="BI7" i="10"/>
  <c r="BI7" i="9"/>
  <c r="BI113" i="9" s="1"/>
  <c r="CJ115" i="1" l="1"/>
  <c r="BK116" i="1"/>
  <c r="BG66" i="11"/>
  <c r="BH71" i="11"/>
  <c r="K55" i="11"/>
  <c r="K12" i="11"/>
  <c r="BW116" i="1"/>
  <c r="BX116" i="1"/>
  <c r="E99" i="11"/>
  <c r="DU99" i="11" s="1"/>
  <c r="BH22" i="11"/>
  <c r="BN22" i="11" s="1"/>
  <c r="BT22" i="11" s="1"/>
  <c r="BZ22" i="11" s="1"/>
  <c r="CF22" i="11" s="1"/>
  <c r="CL22" i="11" s="1"/>
  <c r="CR22" i="11" s="1"/>
  <c r="CX22" i="11" s="1"/>
  <c r="DD22" i="11" s="1"/>
  <c r="DJ22" i="11" s="1"/>
  <c r="BH25" i="11"/>
  <c r="J38" i="11"/>
  <c r="AP38" i="11"/>
  <c r="BD38" i="11"/>
  <c r="L105" i="11"/>
  <c r="BJ105" i="11" s="1"/>
  <c r="L24" i="11"/>
  <c r="DP49" i="11"/>
  <c r="DP47" i="11" s="1"/>
  <c r="F70" i="11"/>
  <c r="BB70" i="11" s="1"/>
  <c r="E103" i="11"/>
  <c r="DU103" i="11" s="1"/>
  <c r="F71" i="11"/>
  <c r="BB71" i="11" s="1"/>
  <c r="F111" i="11"/>
  <c r="DV111" i="11" s="1"/>
  <c r="BG106" i="11"/>
  <c r="BM106" i="11" s="1"/>
  <c r="BG108" i="11"/>
  <c r="BM108" i="11" s="1"/>
  <c r="BS108" i="11" s="1"/>
  <c r="BY108" i="11" s="1"/>
  <c r="CE108" i="11" s="1"/>
  <c r="CK108" i="11" s="1"/>
  <c r="CQ108" i="11" s="1"/>
  <c r="CW108" i="11" s="1"/>
  <c r="DC108" i="11" s="1"/>
  <c r="DI108" i="11" s="1"/>
  <c r="E29" i="11"/>
  <c r="K30" i="11"/>
  <c r="E31" i="11"/>
  <c r="DU31" i="11" s="1"/>
  <c r="K36" i="11"/>
  <c r="O36" i="11" s="1"/>
  <c r="G49" i="11"/>
  <c r="CI115" i="1"/>
  <c r="BX38" i="11"/>
  <c r="F44" i="11"/>
  <c r="DV44" i="11" s="1"/>
  <c r="DG116" i="1"/>
  <c r="BH44" i="11"/>
  <c r="BN44" i="11" s="1"/>
  <c r="BT44" i="11" s="1"/>
  <c r="BZ44" i="11" s="1"/>
  <c r="CF44" i="11" s="1"/>
  <c r="CL44" i="11" s="1"/>
  <c r="CR44" i="11" s="1"/>
  <c r="CX44" i="11" s="1"/>
  <c r="DD44" i="11" s="1"/>
  <c r="DJ44" i="11" s="1"/>
  <c r="CI116" i="1"/>
  <c r="F30" i="11"/>
  <c r="DV30" i="11" s="1"/>
  <c r="L36" i="11"/>
  <c r="Q49" i="11"/>
  <c r="CU49" i="11"/>
  <c r="DQ49" i="11"/>
  <c r="DQ47" i="11" s="1"/>
  <c r="E54" i="11"/>
  <c r="DU54" i="11" s="1"/>
  <c r="K62" i="11"/>
  <c r="BI62" i="11" s="1"/>
  <c r="AP27" i="11"/>
  <c r="BH111" i="11"/>
  <c r="BN111" i="11" s="1"/>
  <c r="BT111" i="11" s="1"/>
  <c r="BZ111" i="11" s="1"/>
  <c r="CF111" i="11" s="1"/>
  <c r="CL111" i="11" s="1"/>
  <c r="CR111" i="11" s="1"/>
  <c r="CX111" i="11" s="1"/>
  <c r="DD111" i="11" s="1"/>
  <c r="DJ111" i="11" s="1"/>
  <c r="F48" i="11"/>
  <c r="DV48" i="11" s="1"/>
  <c r="F50" i="11"/>
  <c r="DV50" i="11" s="1"/>
  <c r="F56" i="11"/>
  <c r="DV56" i="11" s="1"/>
  <c r="F80" i="11"/>
  <c r="DV80" i="11" s="1"/>
  <c r="E92" i="11"/>
  <c r="DU92" i="11" s="1"/>
  <c r="F43" i="11"/>
  <c r="DV43" i="11" s="1"/>
  <c r="U101" i="11"/>
  <c r="CO101" i="11"/>
  <c r="DH115" i="1"/>
  <c r="BG45" i="11"/>
  <c r="F68" i="11"/>
  <c r="BB68" i="11" s="1"/>
  <c r="F106" i="11"/>
  <c r="DV106" i="11" s="1"/>
  <c r="BH106" i="11"/>
  <c r="BN106" i="11" s="1"/>
  <c r="BT106" i="11" s="1"/>
  <c r="BZ106" i="11" s="1"/>
  <c r="CF106" i="11" s="1"/>
  <c r="CL106" i="11" s="1"/>
  <c r="CR106" i="11" s="1"/>
  <c r="CX106" i="11" s="1"/>
  <c r="DD106" i="11" s="1"/>
  <c r="DJ106" i="11" s="1"/>
  <c r="F19" i="11"/>
  <c r="DV19" i="11" s="1"/>
  <c r="F22" i="11"/>
  <c r="DV22" i="11" s="1"/>
  <c r="F23" i="11"/>
  <c r="DV23" i="11" s="1"/>
  <c r="C49" i="11"/>
  <c r="E86" i="11"/>
  <c r="AY101" i="11"/>
  <c r="DS101" i="11" s="1"/>
  <c r="F82" i="11"/>
  <c r="DV82" i="11" s="1"/>
  <c r="F83" i="11"/>
  <c r="DV83" i="11" s="1"/>
  <c r="F25" i="11"/>
  <c r="DV25" i="11" s="1"/>
  <c r="BN25" i="11"/>
  <c r="BT25" i="11" s="1"/>
  <c r="BZ25" i="11" s="1"/>
  <c r="CF25" i="11" s="1"/>
  <c r="CL25" i="11" s="1"/>
  <c r="CR25" i="11" s="1"/>
  <c r="CX25" i="11" s="1"/>
  <c r="DD25" i="11" s="1"/>
  <c r="DJ25" i="11" s="1"/>
  <c r="K41" i="11"/>
  <c r="BI41" i="11" s="1"/>
  <c r="E64" i="11"/>
  <c r="BA64" i="11" s="1"/>
  <c r="E68" i="11"/>
  <c r="BA68" i="11" s="1"/>
  <c r="BH70" i="11"/>
  <c r="AZ84" i="11"/>
  <c r="DT84" i="11" s="1"/>
  <c r="F93" i="11"/>
  <c r="DV93" i="11" s="1"/>
  <c r="F96" i="11"/>
  <c r="DV96" i="11" s="1"/>
  <c r="F97" i="11"/>
  <c r="DV97" i="11" s="1"/>
  <c r="F51" i="11"/>
  <c r="DV51" i="11" s="1"/>
  <c r="F100" i="11"/>
  <c r="DV100" i="11" s="1"/>
  <c r="BH48" i="11"/>
  <c r="F67" i="11"/>
  <c r="BB67" i="11" s="1"/>
  <c r="BH67" i="11"/>
  <c r="BH80" i="11"/>
  <c r="BN80" i="11" s="1"/>
  <c r="BT80" i="11" s="1"/>
  <c r="BZ80" i="11" s="1"/>
  <c r="CF80" i="11" s="1"/>
  <c r="CL80" i="11" s="1"/>
  <c r="CR80" i="11" s="1"/>
  <c r="CX80" i="11" s="1"/>
  <c r="DD80" i="11" s="1"/>
  <c r="DJ80" i="11" s="1"/>
  <c r="L99" i="11"/>
  <c r="BJ99" i="11" s="1"/>
  <c r="BH32" i="11"/>
  <c r="BN32" i="11" s="1"/>
  <c r="BT32" i="11" s="1"/>
  <c r="BZ32" i="11" s="1"/>
  <c r="CF32" i="11" s="1"/>
  <c r="CL32" i="11" s="1"/>
  <c r="CR32" i="11" s="1"/>
  <c r="CX32" i="11" s="1"/>
  <c r="DD32" i="11" s="1"/>
  <c r="DJ32" i="11" s="1"/>
  <c r="BH34" i="11"/>
  <c r="BG39" i="11"/>
  <c r="K42" i="11"/>
  <c r="BE49" i="11"/>
  <c r="BE47" i="11" s="1"/>
  <c r="BG58" i="11"/>
  <c r="BM58" i="11" s="1"/>
  <c r="BS58" i="11" s="1"/>
  <c r="BY58" i="11" s="1"/>
  <c r="CE58" i="11" s="1"/>
  <c r="CK58" i="11" s="1"/>
  <c r="CQ58" i="11" s="1"/>
  <c r="CW58" i="11" s="1"/>
  <c r="DC58" i="11" s="1"/>
  <c r="DI58" i="11" s="1"/>
  <c r="BH93" i="11"/>
  <c r="BN93" i="11" s="1"/>
  <c r="BT93" i="11" s="1"/>
  <c r="BZ93" i="11" s="1"/>
  <c r="CF93" i="11" s="1"/>
  <c r="CL93" i="11" s="1"/>
  <c r="CR93" i="11" s="1"/>
  <c r="CX93" i="11" s="1"/>
  <c r="DD93" i="11" s="1"/>
  <c r="DJ93" i="11" s="1"/>
  <c r="BH97" i="11"/>
  <c r="BN97" i="11" s="1"/>
  <c r="BT97" i="11" s="1"/>
  <c r="BZ97" i="11" s="1"/>
  <c r="CF97" i="11" s="1"/>
  <c r="CL97" i="11" s="1"/>
  <c r="CR97" i="11" s="1"/>
  <c r="CX97" i="11" s="1"/>
  <c r="DD97" i="11" s="1"/>
  <c r="DJ97" i="11" s="1"/>
  <c r="F98" i="11"/>
  <c r="DV98" i="11" s="1"/>
  <c r="BH98" i="11"/>
  <c r="BN98" i="11" s="1"/>
  <c r="BT98" i="11" s="1"/>
  <c r="BZ98" i="11" s="1"/>
  <c r="CF98" i="11" s="1"/>
  <c r="CL98" i="11" s="1"/>
  <c r="CR98" i="11" s="1"/>
  <c r="CX98" i="11" s="1"/>
  <c r="DD98" i="11" s="1"/>
  <c r="DJ98" i="11" s="1"/>
  <c r="BG99" i="11"/>
  <c r="BM99" i="11" s="1"/>
  <c r="BS99" i="11" s="1"/>
  <c r="BY99" i="11" s="1"/>
  <c r="CE99" i="11" s="1"/>
  <c r="CK99" i="11" s="1"/>
  <c r="CQ99" i="11" s="1"/>
  <c r="CW99" i="11" s="1"/>
  <c r="DC99" i="11" s="1"/>
  <c r="DI99" i="11" s="1"/>
  <c r="E106" i="11"/>
  <c r="DU106" i="11" s="1"/>
  <c r="E108" i="11"/>
  <c r="DU108" i="11" s="1"/>
  <c r="K109" i="11"/>
  <c r="BI109" i="11" s="1"/>
  <c r="E110" i="11"/>
  <c r="DU110" i="11" s="1"/>
  <c r="F42" i="11"/>
  <c r="DV42" i="11" s="1"/>
  <c r="F69" i="11"/>
  <c r="BB69" i="11" s="1"/>
  <c r="E45" i="11"/>
  <c r="DU45" i="11" s="1"/>
  <c r="F72" i="11"/>
  <c r="BB72" i="11" s="1"/>
  <c r="F79" i="11"/>
  <c r="DV79" i="11" s="1"/>
  <c r="K18" i="11"/>
  <c r="BI18" i="11" s="1"/>
  <c r="K25" i="11"/>
  <c r="BI25" i="11" s="1"/>
  <c r="E26" i="11"/>
  <c r="DU26" i="11" s="1"/>
  <c r="L53" i="11"/>
  <c r="BJ53" i="11" s="1"/>
  <c r="BH72" i="11"/>
  <c r="F73" i="11"/>
  <c r="BB73" i="11" s="1"/>
  <c r="CJ116" i="1"/>
  <c r="DH116" i="1"/>
  <c r="BL116" i="1"/>
  <c r="BX115" i="1"/>
  <c r="BL115" i="1"/>
  <c r="BK115" i="1"/>
  <c r="BW115" i="1"/>
  <c r="F32" i="11"/>
  <c r="DV32" i="11" s="1"/>
  <c r="Z38" i="11"/>
  <c r="E61" i="11"/>
  <c r="DU61" i="11" s="1"/>
  <c r="L65" i="11"/>
  <c r="BJ65" i="11" s="1"/>
  <c r="E71" i="11"/>
  <c r="BA71" i="11" s="1"/>
  <c r="D78" i="11"/>
  <c r="U84" i="11"/>
  <c r="AK84" i="11"/>
  <c r="BQ84" i="11"/>
  <c r="CO84" i="11"/>
  <c r="DM84" i="11"/>
  <c r="DP38" i="11"/>
  <c r="AW49" i="11"/>
  <c r="AW47" i="11" s="1"/>
  <c r="L61" i="11"/>
  <c r="BJ61" i="11" s="1"/>
  <c r="L62" i="11"/>
  <c r="BJ62" i="11" s="1"/>
  <c r="BG65" i="11"/>
  <c r="BH73" i="11"/>
  <c r="K102" i="11"/>
  <c r="BI102" i="11" s="1"/>
  <c r="F35" i="11"/>
  <c r="DV35" i="11" s="1"/>
  <c r="K46" i="11"/>
  <c r="BI46" i="11" s="1"/>
  <c r="AG49" i="11"/>
  <c r="AG47" i="11" s="1"/>
  <c r="BW49" i="11"/>
  <c r="BW47" i="11" s="1"/>
  <c r="BH11" i="11"/>
  <c r="BN11" i="11" s="1"/>
  <c r="L13" i="11"/>
  <c r="L14" i="11"/>
  <c r="L17" i="11"/>
  <c r="F18" i="11"/>
  <c r="DV18" i="11" s="1"/>
  <c r="BH30" i="11"/>
  <c r="BN30" i="11" s="1"/>
  <c r="BT30" i="11" s="1"/>
  <c r="BZ30" i="11" s="1"/>
  <c r="CF30" i="11" s="1"/>
  <c r="CL30" i="11" s="1"/>
  <c r="CR30" i="11" s="1"/>
  <c r="CX30" i="11" s="1"/>
  <c r="DD30" i="11" s="1"/>
  <c r="DJ30" i="11" s="1"/>
  <c r="BG31" i="11"/>
  <c r="BM31" i="11" s="1"/>
  <c r="BS31" i="11" s="1"/>
  <c r="BY31" i="11" s="1"/>
  <c r="CE31" i="11" s="1"/>
  <c r="CK31" i="11" s="1"/>
  <c r="CQ31" i="11" s="1"/>
  <c r="CW31" i="11" s="1"/>
  <c r="DC31" i="11" s="1"/>
  <c r="DI31" i="11" s="1"/>
  <c r="BH43" i="11"/>
  <c r="BN43" i="11" s="1"/>
  <c r="BT43" i="11" s="1"/>
  <c r="BZ43" i="11" s="1"/>
  <c r="CF43" i="11" s="1"/>
  <c r="CL43" i="11" s="1"/>
  <c r="CR43" i="11" s="1"/>
  <c r="CX43" i="11" s="1"/>
  <c r="DD43" i="11" s="1"/>
  <c r="DJ43" i="11" s="1"/>
  <c r="L45" i="11"/>
  <c r="BJ45" i="11" s="1"/>
  <c r="F46" i="11"/>
  <c r="DV46" i="11" s="1"/>
  <c r="F54" i="11"/>
  <c r="DV54" i="11" s="1"/>
  <c r="BH54" i="11"/>
  <c r="F55" i="11"/>
  <c r="DV55" i="11" s="1"/>
  <c r="K57" i="11"/>
  <c r="BI57" i="11" s="1"/>
  <c r="BH68" i="11"/>
  <c r="E69" i="11"/>
  <c r="BA69" i="11" s="1"/>
  <c r="K79" i="11"/>
  <c r="O79" i="11" s="1"/>
  <c r="F86" i="11"/>
  <c r="E104" i="11"/>
  <c r="DU104" i="11" s="1"/>
  <c r="AK101" i="11"/>
  <c r="BQ101" i="11"/>
  <c r="DM101" i="11"/>
  <c r="K105" i="11"/>
  <c r="BI105" i="11" s="1"/>
  <c r="C101" i="11"/>
  <c r="BH33" i="11"/>
  <c r="BN33" i="11" s="1"/>
  <c r="BT33" i="11" s="1"/>
  <c r="BZ33" i="11" s="1"/>
  <c r="CF33" i="11" s="1"/>
  <c r="CL33" i="11" s="1"/>
  <c r="CR33" i="11" s="1"/>
  <c r="CX33" i="11" s="1"/>
  <c r="DD33" i="11" s="1"/>
  <c r="DJ33" i="11" s="1"/>
  <c r="BN34" i="11"/>
  <c r="BT34" i="11" s="1"/>
  <c r="BZ34" i="11" s="1"/>
  <c r="CF34" i="11" s="1"/>
  <c r="CL34" i="11" s="1"/>
  <c r="CR34" i="11" s="1"/>
  <c r="CX34" i="11" s="1"/>
  <c r="DD34" i="11" s="1"/>
  <c r="DJ34" i="11" s="1"/>
  <c r="CV38" i="11"/>
  <c r="BM45" i="11"/>
  <c r="BS45" i="11" s="1"/>
  <c r="BY45" i="11" s="1"/>
  <c r="CE45" i="11" s="1"/>
  <c r="CK45" i="11" s="1"/>
  <c r="CQ45" i="11" s="1"/>
  <c r="CW45" i="11" s="1"/>
  <c r="DC45" i="11" s="1"/>
  <c r="DI45" i="11" s="1"/>
  <c r="E66" i="11"/>
  <c r="BA66" i="11" s="1"/>
  <c r="E72" i="11"/>
  <c r="BA72" i="11" s="1"/>
  <c r="E96" i="11"/>
  <c r="DU96" i="11" s="1"/>
  <c r="F103" i="11"/>
  <c r="DV103" i="11" s="1"/>
  <c r="M84" i="11"/>
  <c r="AC84" i="11"/>
  <c r="AS84" i="11"/>
  <c r="BE84" i="11"/>
  <c r="CC84" i="11"/>
  <c r="DA84" i="11"/>
  <c r="DQ84" i="11"/>
  <c r="BG103" i="11"/>
  <c r="BM103" i="11" s="1"/>
  <c r="BS103" i="11" s="1"/>
  <c r="BY103" i="11" s="1"/>
  <c r="CE103" i="11" s="1"/>
  <c r="CK103" i="11" s="1"/>
  <c r="CQ103" i="11" s="1"/>
  <c r="CW103" i="11" s="1"/>
  <c r="DC103" i="11" s="1"/>
  <c r="DI103" i="11" s="1"/>
  <c r="BG23" i="11"/>
  <c r="BM23" i="11" s="1"/>
  <c r="BS23" i="11" s="1"/>
  <c r="BY23" i="11" s="1"/>
  <c r="CE23" i="11" s="1"/>
  <c r="CK23" i="11" s="1"/>
  <c r="CQ23" i="11" s="1"/>
  <c r="CW23" i="11" s="1"/>
  <c r="DC23" i="11" s="1"/>
  <c r="DI23" i="11" s="1"/>
  <c r="F39" i="11"/>
  <c r="DV39" i="11" s="1"/>
  <c r="L40" i="11"/>
  <c r="DO49" i="11"/>
  <c r="DO47" i="11" s="1"/>
  <c r="BH56" i="11"/>
  <c r="BN56" i="11" s="1"/>
  <c r="BT56" i="11" s="1"/>
  <c r="BZ56" i="11" s="1"/>
  <c r="CF56" i="11" s="1"/>
  <c r="CL56" i="11" s="1"/>
  <c r="CR56" i="11" s="1"/>
  <c r="CX56" i="11" s="1"/>
  <c r="DD56" i="11" s="1"/>
  <c r="DJ56" i="11" s="1"/>
  <c r="L58" i="11"/>
  <c r="BJ58" i="11" s="1"/>
  <c r="K64" i="11"/>
  <c r="BI64" i="11" s="1"/>
  <c r="BH69" i="11"/>
  <c r="E70" i="11"/>
  <c r="BA70" i="11" s="1"/>
  <c r="BH79" i="11"/>
  <c r="BG80" i="11"/>
  <c r="BM80" i="11" s="1"/>
  <c r="BS80" i="11" s="1"/>
  <c r="BY80" i="11" s="1"/>
  <c r="CE80" i="11" s="1"/>
  <c r="CK80" i="11" s="1"/>
  <c r="CQ80" i="11" s="1"/>
  <c r="CW80" i="11" s="1"/>
  <c r="DC80" i="11" s="1"/>
  <c r="DI80" i="11" s="1"/>
  <c r="E112" i="11"/>
  <c r="DU112" i="11" s="1"/>
  <c r="BH19" i="11"/>
  <c r="BN19" i="11" s="1"/>
  <c r="BT19" i="11" s="1"/>
  <c r="BZ19" i="11" s="1"/>
  <c r="CF19" i="11" s="1"/>
  <c r="CL19" i="11" s="1"/>
  <c r="CR19" i="11" s="1"/>
  <c r="CX19" i="11" s="1"/>
  <c r="DD19" i="11" s="1"/>
  <c r="DJ19" i="11" s="1"/>
  <c r="F41" i="11"/>
  <c r="DV41" i="11" s="1"/>
  <c r="K52" i="11"/>
  <c r="BI52" i="11" s="1"/>
  <c r="L59" i="11"/>
  <c r="BJ59" i="11" s="1"/>
  <c r="F108" i="11"/>
  <c r="F109" i="11"/>
  <c r="DV109" i="11" s="1"/>
  <c r="E73" i="11"/>
  <c r="BA73" i="11" s="1"/>
  <c r="N84" i="11"/>
  <c r="AD84" i="11"/>
  <c r="AT84" i="11"/>
  <c r="BF84" i="11"/>
  <c r="CD84" i="11"/>
  <c r="DB84" i="11"/>
  <c r="DR84" i="11"/>
  <c r="M101" i="11"/>
  <c r="AC101" i="11"/>
  <c r="AS101" i="11"/>
  <c r="BE101" i="11"/>
  <c r="CC101" i="11"/>
  <c r="DA101" i="11"/>
  <c r="DQ101" i="11"/>
  <c r="BS106" i="11"/>
  <c r="BY106" i="11" s="1"/>
  <c r="CE106" i="11" s="1"/>
  <c r="CK106" i="11" s="1"/>
  <c r="CQ106" i="11" s="1"/>
  <c r="CW106" i="11" s="1"/>
  <c r="DC106" i="11" s="1"/>
  <c r="DI106" i="11" s="1"/>
  <c r="Q47" i="11"/>
  <c r="AK49" i="11"/>
  <c r="AK47" i="11" s="1"/>
  <c r="D101" i="11"/>
  <c r="CU47" i="11"/>
  <c r="L20" i="11"/>
  <c r="BJ20" i="11" s="1"/>
  <c r="L21" i="11"/>
  <c r="BJ21" i="11" s="1"/>
  <c r="K22" i="11"/>
  <c r="O22" i="11" s="1"/>
  <c r="BH23" i="11"/>
  <c r="BN23" i="11" s="1"/>
  <c r="BT23" i="11" s="1"/>
  <c r="BZ23" i="11" s="1"/>
  <c r="CF23" i="11" s="1"/>
  <c r="CL23" i="11" s="1"/>
  <c r="CR23" i="11" s="1"/>
  <c r="CX23" i="11" s="1"/>
  <c r="DD23" i="11" s="1"/>
  <c r="DJ23" i="11" s="1"/>
  <c r="L26" i="11"/>
  <c r="BJ26" i="11" s="1"/>
  <c r="K28" i="11"/>
  <c r="J27" i="11"/>
  <c r="R27" i="11"/>
  <c r="AH27" i="11"/>
  <c r="BH29" i="11"/>
  <c r="BN29" i="11" s="1"/>
  <c r="BT29" i="11" s="1"/>
  <c r="BZ29" i="11" s="1"/>
  <c r="CF29" i="11" s="1"/>
  <c r="CL29" i="11" s="1"/>
  <c r="CR29" i="11" s="1"/>
  <c r="CX29" i="11" s="1"/>
  <c r="DD29" i="11" s="1"/>
  <c r="DJ29" i="11" s="1"/>
  <c r="BL27" i="11"/>
  <c r="BX27" i="11"/>
  <c r="CJ27" i="11"/>
  <c r="CV27" i="11"/>
  <c r="L31" i="11"/>
  <c r="BJ31" i="11" s="1"/>
  <c r="K40" i="11"/>
  <c r="O40" i="11" s="1"/>
  <c r="BH41" i="11"/>
  <c r="K48" i="11"/>
  <c r="BI48" i="11" s="1"/>
  <c r="K82" i="11"/>
  <c r="BI82" i="11" s="1"/>
  <c r="BH83" i="11"/>
  <c r="BN83" i="11" s="1"/>
  <c r="BT83" i="11" s="1"/>
  <c r="BZ83" i="11" s="1"/>
  <c r="CF83" i="11" s="1"/>
  <c r="CL83" i="11" s="1"/>
  <c r="CR83" i="11" s="1"/>
  <c r="CX83" i="11" s="1"/>
  <c r="DD83" i="11" s="1"/>
  <c r="DJ83" i="11" s="1"/>
  <c r="BG96" i="11"/>
  <c r="BM96" i="11" s="1"/>
  <c r="BS96" i="11" s="1"/>
  <c r="BY96" i="11" s="1"/>
  <c r="CE96" i="11" s="1"/>
  <c r="CK96" i="11" s="1"/>
  <c r="CQ96" i="11" s="1"/>
  <c r="CW96" i="11" s="1"/>
  <c r="DC96" i="11" s="1"/>
  <c r="DI96" i="11" s="1"/>
  <c r="DR94" i="11"/>
  <c r="K98" i="11"/>
  <c r="O98" i="11" s="1"/>
  <c r="G101" i="11"/>
  <c r="Q101" i="11"/>
  <c r="AG101" i="11"/>
  <c r="AW101" i="11"/>
  <c r="BK101" i="11"/>
  <c r="CI101" i="11"/>
  <c r="DG101" i="11"/>
  <c r="I101" i="11"/>
  <c r="Y101" i="11"/>
  <c r="AO101" i="11"/>
  <c r="BG104" i="11"/>
  <c r="BM104" i="11" s="1"/>
  <c r="BS104" i="11" s="1"/>
  <c r="BY104" i="11" s="1"/>
  <c r="CE104" i="11" s="1"/>
  <c r="CK104" i="11" s="1"/>
  <c r="CQ104" i="11" s="1"/>
  <c r="CW104" i="11" s="1"/>
  <c r="DC104" i="11" s="1"/>
  <c r="DI104" i="11" s="1"/>
  <c r="BC101" i="11"/>
  <c r="BW101" i="11"/>
  <c r="CU101" i="11"/>
  <c r="DO101" i="11"/>
  <c r="K107" i="11"/>
  <c r="BI107" i="11" s="1"/>
  <c r="BG110" i="11"/>
  <c r="BM110" i="11" s="1"/>
  <c r="BS110" i="11" s="1"/>
  <c r="BY110" i="11" s="1"/>
  <c r="CE110" i="11" s="1"/>
  <c r="CK110" i="11" s="1"/>
  <c r="CQ110" i="11" s="1"/>
  <c r="CW110" i="11" s="1"/>
  <c r="DC110" i="11" s="1"/>
  <c r="DI110" i="11" s="1"/>
  <c r="D38" i="11"/>
  <c r="U49" i="11"/>
  <c r="U47" i="11" s="1"/>
  <c r="K13" i="11"/>
  <c r="K14" i="11"/>
  <c r="K17" i="11"/>
  <c r="BI17" i="11" s="1"/>
  <c r="BH18" i="11"/>
  <c r="BN18" i="11" s="1"/>
  <c r="BT18" i="11" s="1"/>
  <c r="BZ18" i="11" s="1"/>
  <c r="CF18" i="11" s="1"/>
  <c r="CL18" i="11" s="1"/>
  <c r="CR18" i="11" s="1"/>
  <c r="CX18" i="11" s="1"/>
  <c r="DD18" i="11" s="1"/>
  <c r="DJ18" i="11" s="1"/>
  <c r="BG19" i="11"/>
  <c r="BM19" i="11" s="1"/>
  <c r="BS19" i="11" s="1"/>
  <c r="BY19" i="11" s="1"/>
  <c r="CE19" i="11" s="1"/>
  <c r="CK19" i="11" s="1"/>
  <c r="CQ19" i="11" s="1"/>
  <c r="CW19" i="11" s="1"/>
  <c r="DC19" i="11" s="1"/>
  <c r="DI19" i="11" s="1"/>
  <c r="BG20" i="11"/>
  <c r="BM20" i="11" s="1"/>
  <c r="BS20" i="11" s="1"/>
  <c r="BY20" i="11" s="1"/>
  <c r="CE20" i="11" s="1"/>
  <c r="CK20" i="11" s="1"/>
  <c r="CQ20" i="11" s="1"/>
  <c r="CW20" i="11" s="1"/>
  <c r="DC20" i="11" s="1"/>
  <c r="DI20" i="11" s="1"/>
  <c r="BG21" i="11"/>
  <c r="BM21" i="11" s="1"/>
  <c r="BS21" i="11" s="1"/>
  <c r="BY21" i="11" s="1"/>
  <c r="CE21" i="11" s="1"/>
  <c r="CK21" i="11" s="1"/>
  <c r="CQ21" i="11" s="1"/>
  <c r="CW21" i="11" s="1"/>
  <c r="DC21" i="11" s="1"/>
  <c r="DI21" i="11" s="1"/>
  <c r="BG35" i="11"/>
  <c r="BM35" i="11" s="1"/>
  <c r="BS35" i="11" s="1"/>
  <c r="BY35" i="11" s="1"/>
  <c r="CE35" i="11" s="1"/>
  <c r="CK35" i="11" s="1"/>
  <c r="CQ35" i="11" s="1"/>
  <c r="CW35" i="11" s="1"/>
  <c r="DC35" i="11" s="1"/>
  <c r="DI35" i="11" s="1"/>
  <c r="K44" i="11"/>
  <c r="AZ49" i="11"/>
  <c r="DT49" i="11" s="1"/>
  <c r="K51" i="11"/>
  <c r="BI51" i="11" s="1"/>
  <c r="K53" i="11"/>
  <c r="BG54" i="11"/>
  <c r="BH55" i="11"/>
  <c r="BN55" i="11" s="1"/>
  <c r="BT55" i="11" s="1"/>
  <c r="BG56" i="11"/>
  <c r="BM56" i="11" s="1"/>
  <c r="BS56" i="11" s="1"/>
  <c r="BY56" i="11" s="1"/>
  <c r="CE56" i="11" s="1"/>
  <c r="CK56" i="11" s="1"/>
  <c r="CQ56" i="11" s="1"/>
  <c r="CW56" i="11" s="1"/>
  <c r="DC56" i="11" s="1"/>
  <c r="DI56" i="11" s="1"/>
  <c r="K59" i="11"/>
  <c r="BI59" i="11" s="1"/>
  <c r="BG60" i="11"/>
  <c r="L63" i="11"/>
  <c r="BJ63" i="11" s="1"/>
  <c r="L66" i="11"/>
  <c r="BJ66" i="11" s="1"/>
  <c r="BG67" i="11"/>
  <c r="BG68" i="11"/>
  <c r="BG69" i="11"/>
  <c r="BG70" i="11"/>
  <c r="BG71" i="11"/>
  <c r="BG72" i="11"/>
  <c r="BG73" i="11"/>
  <c r="L92" i="11"/>
  <c r="K93" i="11"/>
  <c r="K100" i="11"/>
  <c r="O100" i="11" s="1"/>
  <c r="BH103" i="11"/>
  <c r="BN103" i="11" s="1"/>
  <c r="BT103" i="11" s="1"/>
  <c r="BZ103" i="11" s="1"/>
  <c r="CF103" i="11" s="1"/>
  <c r="CL103" i="11" s="1"/>
  <c r="CR103" i="11" s="1"/>
  <c r="CX103" i="11" s="1"/>
  <c r="DD103" i="11" s="1"/>
  <c r="DJ103" i="11" s="1"/>
  <c r="BH109" i="11"/>
  <c r="BN109" i="11" s="1"/>
  <c r="BT109" i="11" s="1"/>
  <c r="BZ109" i="11" s="1"/>
  <c r="CF109" i="11" s="1"/>
  <c r="CL109" i="11" s="1"/>
  <c r="CR109" i="11" s="1"/>
  <c r="CX109" i="11" s="1"/>
  <c r="DD109" i="11" s="1"/>
  <c r="DJ109" i="11" s="1"/>
  <c r="BG112" i="11"/>
  <c r="BM112" i="11" s="1"/>
  <c r="BS112" i="11" s="1"/>
  <c r="BY112" i="11" s="1"/>
  <c r="CE112" i="11" s="1"/>
  <c r="CK112" i="11" s="1"/>
  <c r="CQ112" i="11" s="1"/>
  <c r="CW112" i="11" s="1"/>
  <c r="DC112" i="11" s="1"/>
  <c r="DI112" i="11" s="1"/>
  <c r="BG24" i="11"/>
  <c r="BM24" i="11" s="1"/>
  <c r="BS24" i="11" s="1"/>
  <c r="BY24" i="11" s="1"/>
  <c r="CE24" i="11" s="1"/>
  <c r="CK24" i="11" s="1"/>
  <c r="CQ24" i="11" s="1"/>
  <c r="CW24" i="11" s="1"/>
  <c r="DC24" i="11" s="1"/>
  <c r="DI24" i="11" s="1"/>
  <c r="K26" i="11"/>
  <c r="BI26" i="11" s="1"/>
  <c r="BH28" i="11"/>
  <c r="BG29" i="11"/>
  <c r="BM29" i="11" s="1"/>
  <c r="BS29" i="11" s="1"/>
  <c r="BY29" i="11" s="1"/>
  <c r="CE29" i="11" s="1"/>
  <c r="CK29" i="11" s="1"/>
  <c r="CQ29" i="11" s="1"/>
  <c r="CW29" i="11" s="1"/>
  <c r="DC29" i="11" s="1"/>
  <c r="DI29" i="11" s="1"/>
  <c r="K32" i="11"/>
  <c r="BI32" i="11" s="1"/>
  <c r="K33" i="11"/>
  <c r="O33" i="11" s="1"/>
  <c r="BH35" i="11"/>
  <c r="BN35" i="11" s="1"/>
  <c r="BT35" i="11" s="1"/>
  <c r="BZ35" i="11" s="1"/>
  <c r="CF35" i="11" s="1"/>
  <c r="CL35" i="11" s="1"/>
  <c r="CR35" i="11" s="1"/>
  <c r="CX35" i="11" s="1"/>
  <c r="DD35" i="11" s="1"/>
  <c r="DJ35" i="11" s="1"/>
  <c r="R38" i="11"/>
  <c r="AX38" i="11"/>
  <c r="BH39" i="11"/>
  <c r="BN39" i="11" s="1"/>
  <c r="CJ38" i="11"/>
  <c r="AH38" i="11"/>
  <c r="BL38" i="11"/>
  <c r="DH38" i="11"/>
  <c r="BH42" i="11"/>
  <c r="BN42" i="11" s="1"/>
  <c r="BT42" i="11" s="1"/>
  <c r="BZ42" i="11" s="1"/>
  <c r="CF42" i="11" s="1"/>
  <c r="CL42" i="11" s="1"/>
  <c r="CR42" i="11" s="1"/>
  <c r="CX42" i="11" s="1"/>
  <c r="DD42" i="11" s="1"/>
  <c r="DJ42" i="11" s="1"/>
  <c r="BG43" i="11"/>
  <c r="BM43" i="11" s="1"/>
  <c r="BS43" i="11" s="1"/>
  <c r="BY43" i="11" s="1"/>
  <c r="CE43" i="11" s="1"/>
  <c r="CK43" i="11" s="1"/>
  <c r="CQ43" i="11" s="1"/>
  <c r="CW43" i="11" s="1"/>
  <c r="DC43" i="11" s="1"/>
  <c r="DI43" i="11" s="1"/>
  <c r="BH46" i="11"/>
  <c r="D49" i="11"/>
  <c r="I49" i="11"/>
  <c r="I47" i="11" s="1"/>
  <c r="Y49" i="11"/>
  <c r="Y47" i="11" s="1"/>
  <c r="AO49" i="11"/>
  <c r="AO47" i="11" s="1"/>
  <c r="BK49" i="11"/>
  <c r="BK47" i="11" s="1"/>
  <c r="BQ49" i="11"/>
  <c r="BQ47" i="11" s="1"/>
  <c r="CC49" i="11"/>
  <c r="CC47" i="11" s="1"/>
  <c r="CI49" i="11"/>
  <c r="CI47" i="11" s="1"/>
  <c r="CO49" i="11"/>
  <c r="CO47" i="11" s="1"/>
  <c r="DA49" i="11"/>
  <c r="DA47" i="11" s="1"/>
  <c r="DG49" i="11"/>
  <c r="DG47" i="11" s="1"/>
  <c r="DM49" i="11"/>
  <c r="DM47" i="11" s="1"/>
  <c r="J49" i="11"/>
  <c r="J47" i="11" s="1"/>
  <c r="J37" i="11" s="1"/>
  <c r="BH51" i="11"/>
  <c r="L52" i="11"/>
  <c r="BJ52" i="11" s="1"/>
  <c r="BF49" i="11"/>
  <c r="L57" i="11"/>
  <c r="BJ57" i="11" s="1"/>
  <c r="L60" i="11"/>
  <c r="BJ60" i="11" s="1"/>
  <c r="BG61" i="11"/>
  <c r="BM61" i="11" s="1"/>
  <c r="BS61" i="11" s="1"/>
  <c r="BY61" i="11" s="1"/>
  <c r="CE61" i="11" s="1"/>
  <c r="CK61" i="11" s="1"/>
  <c r="CQ61" i="11" s="1"/>
  <c r="CW61" i="11" s="1"/>
  <c r="DC61" i="11" s="1"/>
  <c r="DI61" i="11" s="1"/>
  <c r="K63" i="11"/>
  <c r="BI63" i="11" s="1"/>
  <c r="L64" i="11"/>
  <c r="BJ64" i="11" s="1"/>
  <c r="C78" i="11"/>
  <c r="V78" i="11"/>
  <c r="BH82" i="11"/>
  <c r="CJ81" i="11"/>
  <c r="BG83" i="11"/>
  <c r="BM83" i="11" s="1"/>
  <c r="BS83" i="11" s="1"/>
  <c r="BY83" i="11" s="1"/>
  <c r="CE83" i="11" s="1"/>
  <c r="CK83" i="11" s="1"/>
  <c r="CQ83" i="11" s="1"/>
  <c r="CW83" i="11" s="1"/>
  <c r="DC83" i="11" s="1"/>
  <c r="DI83" i="11" s="1"/>
  <c r="L85" i="11"/>
  <c r="BG92" i="11"/>
  <c r="BM92" i="11" s="1"/>
  <c r="L95" i="11"/>
  <c r="P95" i="11" s="1"/>
  <c r="BH96" i="11"/>
  <c r="BN96" i="11" s="1"/>
  <c r="BT96" i="11" s="1"/>
  <c r="BZ96" i="11" s="1"/>
  <c r="CF96" i="11" s="1"/>
  <c r="CL96" i="11" s="1"/>
  <c r="CR96" i="11" s="1"/>
  <c r="CX96" i="11" s="1"/>
  <c r="DD96" i="11" s="1"/>
  <c r="DJ96" i="11" s="1"/>
  <c r="BG97" i="11"/>
  <c r="BM97" i="11" s="1"/>
  <c r="BS97" i="11" s="1"/>
  <c r="BY97" i="11" s="1"/>
  <c r="CE97" i="11" s="1"/>
  <c r="CK97" i="11" s="1"/>
  <c r="CQ97" i="11" s="1"/>
  <c r="CW97" i="11" s="1"/>
  <c r="DC97" i="11" s="1"/>
  <c r="DI97" i="11" s="1"/>
  <c r="BH100" i="11"/>
  <c r="BN100" i="11" s="1"/>
  <c r="BT100" i="11" s="1"/>
  <c r="BZ100" i="11" s="1"/>
  <c r="CF100" i="11" s="1"/>
  <c r="CL100" i="11" s="1"/>
  <c r="CR100" i="11" s="1"/>
  <c r="CX100" i="11" s="1"/>
  <c r="DD100" i="11" s="1"/>
  <c r="DJ100" i="11" s="1"/>
  <c r="BH108" i="11"/>
  <c r="BN108" i="11" s="1"/>
  <c r="BT108" i="11" s="1"/>
  <c r="BZ108" i="11" s="1"/>
  <c r="CF108" i="11" s="1"/>
  <c r="CL108" i="11" s="1"/>
  <c r="CR108" i="11" s="1"/>
  <c r="CX108" i="11" s="1"/>
  <c r="DD108" i="11" s="1"/>
  <c r="DJ108" i="11" s="1"/>
  <c r="L110" i="11"/>
  <c r="BJ110" i="11" s="1"/>
  <c r="K111" i="11"/>
  <c r="BI111" i="11" s="1"/>
  <c r="C81" i="11"/>
  <c r="BG13" i="11"/>
  <c r="BM13" i="11" s="1"/>
  <c r="BS13" i="11" s="1"/>
  <c r="BY13" i="11" s="1"/>
  <c r="CE13" i="11" s="1"/>
  <c r="CK13" i="11" s="1"/>
  <c r="CQ13" i="11" s="1"/>
  <c r="CW13" i="11" s="1"/>
  <c r="DC13" i="11" s="1"/>
  <c r="DI13" i="11" s="1"/>
  <c r="BG14" i="11"/>
  <c r="BM14" i="11" s="1"/>
  <c r="BS14" i="11" s="1"/>
  <c r="BY14" i="11" s="1"/>
  <c r="CE14" i="11" s="1"/>
  <c r="CK14" i="11" s="1"/>
  <c r="CQ14" i="11" s="1"/>
  <c r="CW14" i="11" s="1"/>
  <c r="DC14" i="11" s="1"/>
  <c r="DI14" i="11" s="1"/>
  <c r="BG17" i="11"/>
  <c r="BM17" i="11" s="1"/>
  <c r="BS17" i="11" s="1"/>
  <c r="BY17" i="11" s="1"/>
  <c r="CE17" i="11" s="1"/>
  <c r="CK17" i="11" s="1"/>
  <c r="CQ17" i="11" s="1"/>
  <c r="CW17" i="11" s="1"/>
  <c r="DC17" i="11" s="1"/>
  <c r="DI17" i="11" s="1"/>
  <c r="L18" i="11"/>
  <c r="BJ18" i="11" s="1"/>
  <c r="K19" i="11"/>
  <c r="BI19" i="11" s="1"/>
  <c r="F20" i="11"/>
  <c r="DV20" i="11" s="1"/>
  <c r="BH20" i="11"/>
  <c r="BN20" i="11" s="1"/>
  <c r="BT20" i="11" s="1"/>
  <c r="BZ20" i="11" s="1"/>
  <c r="CF20" i="11" s="1"/>
  <c r="CL20" i="11" s="1"/>
  <c r="CR20" i="11" s="1"/>
  <c r="CX20" i="11" s="1"/>
  <c r="DD20" i="11" s="1"/>
  <c r="DJ20" i="11" s="1"/>
  <c r="K24" i="11"/>
  <c r="BI24" i="11" s="1"/>
  <c r="E25" i="11"/>
  <c r="DU25" i="11" s="1"/>
  <c r="BG25" i="11"/>
  <c r="BM25" i="11" s="1"/>
  <c r="BS25" i="11" s="1"/>
  <c r="BY25" i="11" s="1"/>
  <c r="CE25" i="11" s="1"/>
  <c r="CK25" i="11" s="1"/>
  <c r="CQ25" i="11" s="1"/>
  <c r="CW25" i="11" s="1"/>
  <c r="DC25" i="11" s="1"/>
  <c r="DI25" i="11" s="1"/>
  <c r="BG28" i="11"/>
  <c r="BM28" i="11" s="1"/>
  <c r="L29" i="11"/>
  <c r="P29" i="11" s="1"/>
  <c r="DR27" i="11"/>
  <c r="L32" i="11"/>
  <c r="BJ32" i="11" s="1"/>
  <c r="L33" i="11"/>
  <c r="F36" i="11"/>
  <c r="DV36" i="11" s="1"/>
  <c r="BH36" i="11"/>
  <c r="BN36" i="11" s="1"/>
  <c r="BT36" i="11" s="1"/>
  <c r="BZ36" i="11" s="1"/>
  <c r="CF36" i="11" s="1"/>
  <c r="CL36" i="11" s="1"/>
  <c r="CR36" i="11" s="1"/>
  <c r="CX36" i="11" s="1"/>
  <c r="DD36" i="11" s="1"/>
  <c r="DJ36" i="11" s="1"/>
  <c r="F40" i="11"/>
  <c r="BB40" i="11" s="1"/>
  <c r="BH40" i="11"/>
  <c r="BN40" i="11" s="1"/>
  <c r="BT40" i="11" s="1"/>
  <c r="BZ40" i="11" s="1"/>
  <c r="CF40" i="11" s="1"/>
  <c r="CL40" i="11" s="1"/>
  <c r="CR40" i="11" s="1"/>
  <c r="CX40" i="11" s="1"/>
  <c r="DD40" i="11" s="1"/>
  <c r="DJ40" i="11" s="1"/>
  <c r="BG41" i="11"/>
  <c r="E42" i="11"/>
  <c r="DU42" i="11" s="1"/>
  <c r="BG42" i="11"/>
  <c r="BM42" i="11" s="1"/>
  <c r="BS42" i="11" s="1"/>
  <c r="BY42" i="11" s="1"/>
  <c r="CE42" i="11" s="1"/>
  <c r="CK42" i="11" s="1"/>
  <c r="CQ42" i="11" s="1"/>
  <c r="CW42" i="11" s="1"/>
  <c r="DC42" i="11" s="1"/>
  <c r="DI42" i="11" s="1"/>
  <c r="L43" i="11"/>
  <c r="L46" i="11"/>
  <c r="BJ46" i="11" s="1"/>
  <c r="BG50" i="11"/>
  <c r="BC49" i="11"/>
  <c r="BG59" i="11"/>
  <c r="F60" i="11"/>
  <c r="DV60" i="11" s="1"/>
  <c r="BH60" i="11"/>
  <c r="F61" i="11"/>
  <c r="DV61" i="11" s="1"/>
  <c r="BH61" i="11"/>
  <c r="BN61" i="11" s="1"/>
  <c r="BT61" i="11" s="1"/>
  <c r="BZ61" i="11" s="1"/>
  <c r="CF61" i="11" s="1"/>
  <c r="CL61" i="11" s="1"/>
  <c r="CR61" i="11" s="1"/>
  <c r="CX61" i="11" s="1"/>
  <c r="DD61" i="11" s="1"/>
  <c r="DJ61" i="11" s="1"/>
  <c r="K65" i="11"/>
  <c r="BI65" i="11" s="1"/>
  <c r="E65" i="11"/>
  <c r="BA65" i="11" s="1"/>
  <c r="L107" i="11"/>
  <c r="BJ107" i="11" s="1"/>
  <c r="F107" i="11"/>
  <c r="DV107" i="11" s="1"/>
  <c r="L11" i="11"/>
  <c r="BJ11" i="11" s="1"/>
  <c r="E22" i="11"/>
  <c r="DU22" i="11" s="1"/>
  <c r="BG22" i="11"/>
  <c r="BM22" i="11" s="1"/>
  <c r="BS22" i="11" s="1"/>
  <c r="BY22" i="11" s="1"/>
  <c r="CE22" i="11" s="1"/>
  <c r="CK22" i="11" s="1"/>
  <c r="CQ22" i="11" s="1"/>
  <c r="CW22" i="11" s="1"/>
  <c r="DC22" i="11" s="1"/>
  <c r="DI22" i="11" s="1"/>
  <c r="L23" i="11"/>
  <c r="BJ23" i="11" s="1"/>
  <c r="BG26" i="11"/>
  <c r="BM26" i="11" s="1"/>
  <c r="BS26" i="11" s="1"/>
  <c r="BY26" i="11" s="1"/>
  <c r="CE26" i="11" s="1"/>
  <c r="CK26" i="11" s="1"/>
  <c r="CQ26" i="11" s="1"/>
  <c r="CW26" i="11" s="1"/>
  <c r="DC26" i="11" s="1"/>
  <c r="DI26" i="11" s="1"/>
  <c r="Z27" i="11"/>
  <c r="DH27" i="11"/>
  <c r="L30" i="11"/>
  <c r="BJ30" i="11" s="1"/>
  <c r="F31" i="11"/>
  <c r="DV31" i="11" s="1"/>
  <c r="BH31" i="11"/>
  <c r="BN31" i="11" s="1"/>
  <c r="BT31" i="11" s="1"/>
  <c r="BZ31" i="11" s="1"/>
  <c r="CF31" i="11" s="1"/>
  <c r="CL31" i="11" s="1"/>
  <c r="CR31" i="11" s="1"/>
  <c r="CX31" i="11" s="1"/>
  <c r="DD31" i="11" s="1"/>
  <c r="DJ31" i="11" s="1"/>
  <c r="BG34" i="11"/>
  <c r="BM34" i="11" s="1"/>
  <c r="BS34" i="11" s="1"/>
  <c r="BY34" i="11" s="1"/>
  <c r="CE34" i="11" s="1"/>
  <c r="CK34" i="11" s="1"/>
  <c r="CQ34" i="11" s="1"/>
  <c r="CW34" i="11" s="1"/>
  <c r="DC34" i="11" s="1"/>
  <c r="DI34" i="11" s="1"/>
  <c r="L35" i="11"/>
  <c r="BJ35" i="11" s="1"/>
  <c r="L39" i="11"/>
  <c r="BJ39" i="11" s="1"/>
  <c r="H38" i="11"/>
  <c r="N38" i="11"/>
  <c r="V38" i="11"/>
  <c r="AD38" i="11"/>
  <c r="AL38" i="11"/>
  <c r="AT38" i="11"/>
  <c r="DT39" i="11"/>
  <c r="AZ38" i="11"/>
  <c r="DT38" i="11" s="1"/>
  <c r="BF38" i="11"/>
  <c r="BR38" i="11"/>
  <c r="CD38" i="11"/>
  <c r="CP38" i="11"/>
  <c r="DB38" i="11"/>
  <c r="DN38" i="11"/>
  <c r="DR38" i="11"/>
  <c r="L44" i="11"/>
  <c r="BJ44" i="11" s="1"/>
  <c r="F45" i="11"/>
  <c r="DV45" i="11" s="1"/>
  <c r="BH45" i="11"/>
  <c r="BN45" i="11" s="1"/>
  <c r="BT45" i="11" s="1"/>
  <c r="BZ45" i="11" s="1"/>
  <c r="CF45" i="11" s="1"/>
  <c r="CL45" i="11" s="1"/>
  <c r="CR45" i="11" s="1"/>
  <c r="CX45" i="11" s="1"/>
  <c r="DD45" i="11" s="1"/>
  <c r="DJ45" i="11" s="1"/>
  <c r="L48" i="11"/>
  <c r="BJ48" i="11" s="1"/>
  <c r="M49" i="11"/>
  <c r="M47" i="11" s="1"/>
  <c r="AC49" i="11"/>
  <c r="AC47" i="11" s="1"/>
  <c r="AS49" i="11"/>
  <c r="AS47" i="11" s="1"/>
  <c r="F53" i="11"/>
  <c r="DV53" i="11" s="1"/>
  <c r="BH53" i="11"/>
  <c r="BN53" i="11" s="1"/>
  <c r="BT53" i="11" s="1"/>
  <c r="BZ53" i="11" s="1"/>
  <c r="CF53" i="11" s="1"/>
  <c r="CL53" i="11" s="1"/>
  <c r="CR53" i="11" s="1"/>
  <c r="CX53" i="11" s="1"/>
  <c r="DD53" i="11" s="1"/>
  <c r="DJ53" i="11" s="1"/>
  <c r="L54" i="11"/>
  <c r="BJ54" i="11" s="1"/>
  <c r="BG55" i="11"/>
  <c r="BM55" i="11" s="1"/>
  <c r="BS55" i="11" s="1"/>
  <c r="L56" i="11"/>
  <c r="P56" i="11" s="1"/>
  <c r="BG63" i="11"/>
  <c r="L82" i="11"/>
  <c r="P82" i="11" s="1"/>
  <c r="K83" i="11"/>
  <c r="I84" i="11"/>
  <c r="Q84" i="11"/>
  <c r="Y84" i="11"/>
  <c r="AG84" i="11"/>
  <c r="AO84" i="11"/>
  <c r="AW84" i="11"/>
  <c r="BG85" i="11"/>
  <c r="BM85" i="11" s="1"/>
  <c r="BC84" i="11"/>
  <c r="BK84" i="11"/>
  <c r="BW84" i="11"/>
  <c r="CI84" i="11"/>
  <c r="CU84" i="11"/>
  <c r="DG84" i="11"/>
  <c r="DO84" i="11"/>
  <c r="BG95" i="11"/>
  <c r="BM95" i="11" s="1"/>
  <c r="BS95" i="11" s="1"/>
  <c r="BY95" i="11" s="1"/>
  <c r="CE95" i="11" s="1"/>
  <c r="CK95" i="11" s="1"/>
  <c r="CQ95" i="11" s="1"/>
  <c r="CW95" i="11" s="1"/>
  <c r="DC95" i="11" s="1"/>
  <c r="DI95" i="11" s="1"/>
  <c r="K96" i="11"/>
  <c r="J101" i="11"/>
  <c r="R101" i="11"/>
  <c r="Z101" i="11"/>
  <c r="AH101" i="11"/>
  <c r="AP101" i="11"/>
  <c r="AX101" i="11"/>
  <c r="BL101" i="11"/>
  <c r="BX101" i="11"/>
  <c r="CJ101" i="11"/>
  <c r="CV101" i="11"/>
  <c r="DH101" i="11"/>
  <c r="DP101" i="11"/>
  <c r="D47" i="11"/>
  <c r="L104" i="11"/>
  <c r="BJ104" i="11" s="1"/>
  <c r="F104" i="11"/>
  <c r="DV104" i="11" s="1"/>
  <c r="L112" i="11"/>
  <c r="BJ112" i="11" s="1"/>
  <c r="F112" i="11"/>
  <c r="DV112" i="11" s="1"/>
  <c r="K34" i="11"/>
  <c r="BI34" i="11" s="1"/>
  <c r="E34" i="11"/>
  <c r="DU34" i="11" s="1"/>
  <c r="G47" i="11"/>
  <c r="K85" i="11"/>
  <c r="BI85" i="11" s="1"/>
  <c r="E85" i="11"/>
  <c r="G84" i="11"/>
  <c r="DS85" i="11"/>
  <c r="AY84" i="11"/>
  <c r="DS84" i="11" s="1"/>
  <c r="K95" i="11"/>
  <c r="BI95" i="11" s="1"/>
  <c r="E95" i="11"/>
  <c r="DU95" i="11" s="1"/>
  <c r="L102" i="11"/>
  <c r="BJ102" i="11" s="1"/>
  <c r="H101" i="11"/>
  <c r="F102" i="11"/>
  <c r="N101" i="11"/>
  <c r="V101" i="11"/>
  <c r="AD101" i="11"/>
  <c r="AL101" i="11"/>
  <c r="AT101" i="11"/>
  <c r="DT102" i="11"/>
  <c r="AZ101" i="11"/>
  <c r="DT101" i="11" s="1"/>
  <c r="BF101" i="11"/>
  <c r="BR101" i="11"/>
  <c r="CD101" i="11"/>
  <c r="CP101" i="11"/>
  <c r="DB101" i="11"/>
  <c r="DN101" i="11"/>
  <c r="DR101" i="11"/>
  <c r="L97" i="11"/>
  <c r="BJ97" i="11" s="1"/>
  <c r="L100" i="11"/>
  <c r="BH102" i="11"/>
  <c r="BN102" i="11" s="1"/>
  <c r="BT102" i="11" s="1"/>
  <c r="BZ102" i="11" s="1"/>
  <c r="CF102" i="11" s="1"/>
  <c r="CL102" i="11" s="1"/>
  <c r="CR102" i="11" s="1"/>
  <c r="CX102" i="11" s="1"/>
  <c r="DD102" i="11" s="1"/>
  <c r="DJ102" i="11" s="1"/>
  <c r="L103" i="11"/>
  <c r="BJ103" i="11" s="1"/>
  <c r="BH104" i="11"/>
  <c r="BN104" i="11" s="1"/>
  <c r="BT104" i="11" s="1"/>
  <c r="BZ104" i="11" s="1"/>
  <c r="CF104" i="11" s="1"/>
  <c r="CL104" i="11" s="1"/>
  <c r="CR104" i="11" s="1"/>
  <c r="CX104" i="11" s="1"/>
  <c r="DD104" i="11" s="1"/>
  <c r="DJ104" i="11" s="1"/>
  <c r="BH107" i="11"/>
  <c r="BN107" i="11" s="1"/>
  <c r="BT107" i="11" s="1"/>
  <c r="BZ107" i="11" s="1"/>
  <c r="CF107" i="11" s="1"/>
  <c r="CL107" i="11" s="1"/>
  <c r="CR107" i="11" s="1"/>
  <c r="CX107" i="11" s="1"/>
  <c r="DD107" i="11" s="1"/>
  <c r="DJ107" i="11" s="1"/>
  <c r="L108" i="11"/>
  <c r="BJ108" i="11" s="1"/>
  <c r="L111" i="11"/>
  <c r="BJ111" i="11" s="1"/>
  <c r="BH112" i="11"/>
  <c r="BN112" i="11" s="1"/>
  <c r="BT112" i="11" s="1"/>
  <c r="BZ112" i="11" s="1"/>
  <c r="CF112" i="11" s="1"/>
  <c r="CL112" i="11" s="1"/>
  <c r="CR112" i="11" s="1"/>
  <c r="CX112" i="11" s="1"/>
  <c r="DD112" i="11" s="1"/>
  <c r="DJ112" i="11" s="1"/>
  <c r="BG11" i="11"/>
  <c r="F13" i="11"/>
  <c r="DV13" i="11" s="1"/>
  <c r="BH13" i="11"/>
  <c r="BN13" i="11" s="1"/>
  <c r="BT13" i="11" s="1"/>
  <c r="BZ13" i="11" s="1"/>
  <c r="CF13" i="11" s="1"/>
  <c r="CL13" i="11" s="1"/>
  <c r="CR13" i="11" s="1"/>
  <c r="CX13" i="11" s="1"/>
  <c r="DD13" i="11" s="1"/>
  <c r="DJ13" i="11" s="1"/>
  <c r="BH14" i="11"/>
  <c r="BN14" i="11" s="1"/>
  <c r="BT14" i="11" s="1"/>
  <c r="BZ14" i="11" s="1"/>
  <c r="CF14" i="11" s="1"/>
  <c r="CL14" i="11" s="1"/>
  <c r="CR14" i="11" s="1"/>
  <c r="CX14" i="11" s="1"/>
  <c r="DD14" i="11" s="1"/>
  <c r="DJ14" i="11" s="1"/>
  <c r="BH17" i="11"/>
  <c r="BN17" i="11" s="1"/>
  <c r="BT17" i="11" s="1"/>
  <c r="BZ17" i="11" s="1"/>
  <c r="CF17" i="11" s="1"/>
  <c r="CL17" i="11" s="1"/>
  <c r="CR17" i="11" s="1"/>
  <c r="CX17" i="11" s="1"/>
  <c r="DD17" i="11" s="1"/>
  <c r="DJ17" i="11" s="1"/>
  <c r="BG18" i="11"/>
  <c r="BM18" i="11" s="1"/>
  <c r="BS18" i="11" s="1"/>
  <c r="BY18" i="11" s="1"/>
  <c r="CE18" i="11" s="1"/>
  <c r="CK18" i="11" s="1"/>
  <c r="CQ18" i="11" s="1"/>
  <c r="CW18" i="11" s="1"/>
  <c r="DC18" i="11" s="1"/>
  <c r="DI18" i="11" s="1"/>
  <c r="L19" i="11"/>
  <c r="K20" i="11"/>
  <c r="BI20" i="11" s="1"/>
  <c r="F21" i="11"/>
  <c r="DV21" i="11" s="1"/>
  <c r="BH21" i="11"/>
  <c r="BN21" i="11" s="1"/>
  <c r="BT21" i="11" s="1"/>
  <c r="BZ21" i="11" s="1"/>
  <c r="CF21" i="11" s="1"/>
  <c r="CL21" i="11" s="1"/>
  <c r="CR21" i="11" s="1"/>
  <c r="CX21" i="11" s="1"/>
  <c r="DD21" i="11" s="1"/>
  <c r="DJ21" i="11" s="1"/>
  <c r="L22" i="11"/>
  <c r="P22" i="11" s="1"/>
  <c r="K23" i="11"/>
  <c r="BI23" i="11" s="1"/>
  <c r="F24" i="11"/>
  <c r="DV24" i="11" s="1"/>
  <c r="BH24" i="11"/>
  <c r="BN24" i="11" s="1"/>
  <c r="BT24" i="11" s="1"/>
  <c r="BZ24" i="11" s="1"/>
  <c r="CF24" i="11" s="1"/>
  <c r="CL24" i="11" s="1"/>
  <c r="CR24" i="11" s="1"/>
  <c r="CX24" i="11" s="1"/>
  <c r="DD24" i="11" s="1"/>
  <c r="DJ24" i="11" s="1"/>
  <c r="L25" i="11"/>
  <c r="F26" i="11"/>
  <c r="DV26" i="11" s="1"/>
  <c r="BH26" i="11"/>
  <c r="BN26" i="11" s="1"/>
  <c r="BT26" i="11" s="1"/>
  <c r="BZ26" i="11" s="1"/>
  <c r="CF26" i="11" s="1"/>
  <c r="CL26" i="11" s="1"/>
  <c r="CR26" i="11" s="1"/>
  <c r="CX26" i="11" s="1"/>
  <c r="DD26" i="11" s="1"/>
  <c r="DJ26" i="11" s="1"/>
  <c r="L28" i="11"/>
  <c r="BJ28" i="11" s="1"/>
  <c r="K29" i="11"/>
  <c r="BI29" i="11" s="1"/>
  <c r="E30" i="11"/>
  <c r="DU30" i="11" s="1"/>
  <c r="BG30" i="11"/>
  <c r="BM30" i="11" s="1"/>
  <c r="BS30" i="11" s="1"/>
  <c r="BY30" i="11" s="1"/>
  <c r="CE30" i="11" s="1"/>
  <c r="CK30" i="11" s="1"/>
  <c r="CQ30" i="11" s="1"/>
  <c r="CW30" i="11" s="1"/>
  <c r="DC30" i="11" s="1"/>
  <c r="DI30" i="11" s="1"/>
  <c r="K31" i="11"/>
  <c r="BI31" i="11" s="1"/>
  <c r="E32" i="11"/>
  <c r="DU32" i="11" s="1"/>
  <c r="BG32" i="11"/>
  <c r="BM32" i="11" s="1"/>
  <c r="BS32" i="11" s="1"/>
  <c r="BY32" i="11" s="1"/>
  <c r="CE32" i="11" s="1"/>
  <c r="CK32" i="11" s="1"/>
  <c r="CQ32" i="11" s="1"/>
  <c r="CW32" i="11" s="1"/>
  <c r="DC32" i="11" s="1"/>
  <c r="DI32" i="11" s="1"/>
  <c r="BG33" i="11"/>
  <c r="BM33" i="11" s="1"/>
  <c r="BS33" i="11" s="1"/>
  <c r="BY33" i="11" s="1"/>
  <c r="CE33" i="11" s="1"/>
  <c r="CK33" i="11" s="1"/>
  <c r="CQ33" i="11" s="1"/>
  <c r="CW33" i="11" s="1"/>
  <c r="DC33" i="11" s="1"/>
  <c r="DI33" i="11" s="1"/>
  <c r="L34" i="11"/>
  <c r="BJ34" i="11" s="1"/>
  <c r="K35" i="11"/>
  <c r="BI35" i="11" s="1"/>
  <c r="E36" i="11"/>
  <c r="DU36" i="11" s="1"/>
  <c r="BG36" i="11"/>
  <c r="BM36" i="11" s="1"/>
  <c r="BS36" i="11" s="1"/>
  <c r="BY36" i="11" s="1"/>
  <c r="CE36" i="11" s="1"/>
  <c r="CK36" i="11" s="1"/>
  <c r="CQ36" i="11" s="1"/>
  <c r="CW36" i="11" s="1"/>
  <c r="DC36" i="11" s="1"/>
  <c r="DI36" i="11" s="1"/>
  <c r="K39" i="11"/>
  <c r="BI39" i="11" s="1"/>
  <c r="M38" i="11"/>
  <c r="U38" i="11"/>
  <c r="AC38" i="11"/>
  <c r="AK38" i="11"/>
  <c r="AS38" i="11"/>
  <c r="BE38" i="11"/>
  <c r="BQ38" i="11"/>
  <c r="BQ37" i="11" s="1"/>
  <c r="CC38" i="11"/>
  <c r="CO38" i="11"/>
  <c r="DA38" i="11"/>
  <c r="DM38" i="11"/>
  <c r="DQ38" i="11"/>
  <c r="E40" i="11"/>
  <c r="DU40" i="11" s="1"/>
  <c r="BG40" i="11"/>
  <c r="BM40" i="11" s="1"/>
  <c r="BS40" i="11" s="1"/>
  <c r="BY40" i="11" s="1"/>
  <c r="CE40" i="11" s="1"/>
  <c r="CK40" i="11" s="1"/>
  <c r="CQ40" i="11" s="1"/>
  <c r="CW40" i="11" s="1"/>
  <c r="DC40" i="11" s="1"/>
  <c r="DI40" i="11" s="1"/>
  <c r="L41" i="11"/>
  <c r="BJ41" i="11" s="1"/>
  <c r="L42" i="11"/>
  <c r="P42" i="11" s="1"/>
  <c r="K43" i="11"/>
  <c r="E44" i="11"/>
  <c r="DU44" i="11" s="1"/>
  <c r="BG44" i="11"/>
  <c r="BM44" i="11" s="1"/>
  <c r="BS44" i="11" s="1"/>
  <c r="BY44" i="11" s="1"/>
  <c r="CE44" i="11" s="1"/>
  <c r="CK44" i="11" s="1"/>
  <c r="CQ44" i="11" s="1"/>
  <c r="CW44" i="11" s="1"/>
  <c r="DC44" i="11" s="1"/>
  <c r="DI44" i="11" s="1"/>
  <c r="K45" i="11"/>
  <c r="O45" i="11" s="1"/>
  <c r="E46" i="11"/>
  <c r="DU46" i="11" s="1"/>
  <c r="BG46" i="11"/>
  <c r="E48" i="11"/>
  <c r="DU48" i="11" s="1"/>
  <c r="BG48" i="11"/>
  <c r="AY49" i="11"/>
  <c r="L50" i="11"/>
  <c r="BJ50" i="11" s="1"/>
  <c r="H49" i="11"/>
  <c r="N49" i="11"/>
  <c r="N47" i="11" s="1"/>
  <c r="V49" i="11"/>
  <c r="V47" i="11" s="1"/>
  <c r="AD49" i="11"/>
  <c r="AD47" i="11" s="1"/>
  <c r="AL49" i="11"/>
  <c r="AL47" i="11" s="1"/>
  <c r="AL37" i="11" s="1"/>
  <c r="AT49" i="11"/>
  <c r="AT47" i="11" s="1"/>
  <c r="AT37" i="11" s="1"/>
  <c r="BG51" i="11"/>
  <c r="F52" i="11"/>
  <c r="DV52" i="11" s="1"/>
  <c r="BH52" i="11"/>
  <c r="BG57" i="11"/>
  <c r="F58" i="11"/>
  <c r="DV58" i="11" s="1"/>
  <c r="BH58" i="11"/>
  <c r="BN58" i="11" s="1"/>
  <c r="BT58" i="11" s="1"/>
  <c r="BZ58" i="11" s="1"/>
  <c r="CF58" i="11" s="1"/>
  <c r="CL58" i="11" s="1"/>
  <c r="CR58" i="11" s="1"/>
  <c r="CX58" i="11" s="1"/>
  <c r="DD58" i="11" s="1"/>
  <c r="DJ58" i="11" s="1"/>
  <c r="F62" i="11"/>
  <c r="DV62" i="11" s="1"/>
  <c r="BH62" i="11"/>
  <c r="BG64" i="11"/>
  <c r="K66" i="11"/>
  <c r="BI66" i="11" s="1"/>
  <c r="L67" i="11"/>
  <c r="BJ67" i="11" s="1"/>
  <c r="L68" i="11"/>
  <c r="BJ68" i="11" s="1"/>
  <c r="L69" i="11"/>
  <c r="BJ69" i="11" s="1"/>
  <c r="L70" i="11"/>
  <c r="BJ70" i="11" s="1"/>
  <c r="L71" i="11"/>
  <c r="BJ71" i="11" s="1"/>
  <c r="L72" i="11"/>
  <c r="BJ72" i="11" s="1"/>
  <c r="L73" i="11"/>
  <c r="BJ73" i="11" s="1"/>
  <c r="L79" i="11"/>
  <c r="BJ79" i="11" s="1"/>
  <c r="K80" i="11"/>
  <c r="D81" i="11"/>
  <c r="K92" i="11"/>
  <c r="O92" i="11" s="1"/>
  <c r="E93" i="11"/>
  <c r="DU93" i="11" s="1"/>
  <c r="BG93" i="11"/>
  <c r="BM93" i="11" s="1"/>
  <c r="BS93" i="11" s="1"/>
  <c r="BY93" i="11" s="1"/>
  <c r="CE93" i="11" s="1"/>
  <c r="CK93" i="11" s="1"/>
  <c r="CQ93" i="11" s="1"/>
  <c r="CW93" i="11" s="1"/>
  <c r="DC93" i="11" s="1"/>
  <c r="DI93" i="11" s="1"/>
  <c r="L98" i="11"/>
  <c r="BJ98" i="11" s="1"/>
  <c r="F99" i="11"/>
  <c r="DV99" i="11" s="1"/>
  <c r="BH99" i="11"/>
  <c r="BN99" i="11" s="1"/>
  <c r="BT99" i="11" s="1"/>
  <c r="BZ99" i="11" s="1"/>
  <c r="CF99" i="11" s="1"/>
  <c r="CL99" i="11" s="1"/>
  <c r="CR99" i="11" s="1"/>
  <c r="CX99" i="11" s="1"/>
  <c r="DD99" i="11" s="1"/>
  <c r="DJ99" i="11" s="1"/>
  <c r="F105" i="11"/>
  <c r="DV105" i="11" s="1"/>
  <c r="BH105" i="11"/>
  <c r="BN105" i="11" s="1"/>
  <c r="BT105" i="11" s="1"/>
  <c r="BZ105" i="11" s="1"/>
  <c r="CF105" i="11" s="1"/>
  <c r="CL105" i="11" s="1"/>
  <c r="CR105" i="11" s="1"/>
  <c r="CX105" i="11" s="1"/>
  <c r="DD105" i="11" s="1"/>
  <c r="DJ105" i="11" s="1"/>
  <c r="L106" i="11"/>
  <c r="BJ106" i="11" s="1"/>
  <c r="L109" i="11"/>
  <c r="BJ109" i="11" s="1"/>
  <c r="F110" i="11"/>
  <c r="DV110" i="11" s="1"/>
  <c r="BH110" i="11"/>
  <c r="BN110" i="11" s="1"/>
  <c r="BT110" i="11" s="1"/>
  <c r="BZ110" i="11" s="1"/>
  <c r="CF110" i="11" s="1"/>
  <c r="CL110" i="11" s="1"/>
  <c r="CR110" i="11" s="1"/>
  <c r="CX110" i="11" s="1"/>
  <c r="DD110" i="11" s="1"/>
  <c r="DJ110" i="11" s="1"/>
  <c r="BL116" i="10"/>
  <c r="BC116" i="10"/>
  <c r="BF116" i="10"/>
  <c r="AW116" i="10"/>
  <c r="AQ116" i="10"/>
  <c r="AN116" i="10"/>
  <c r="AK116" i="10"/>
  <c r="AH116" i="10"/>
  <c r="AE116" i="10"/>
  <c r="AZ116" i="10"/>
  <c r="AB116" i="10"/>
  <c r="AT116" i="10"/>
  <c r="BL115" i="9"/>
  <c r="BF115" i="9"/>
  <c r="AQ115" i="9"/>
  <c r="AN115" i="9"/>
  <c r="AK115" i="9"/>
  <c r="AH115" i="9"/>
  <c r="AE115" i="9"/>
  <c r="AW115" i="9"/>
  <c r="AB115" i="9"/>
  <c r="AZ115" i="9"/>
  <c r="BC115" i="9"/>
  <c r="AT115" i="9"/>
  <c r="BL117" i="9"/>
  <c r="BF117" i="9"/>
  <c r="AQ117" i="9"/>
  <c r="AN117" i="9"/>
  <c r="AK117" i="9"/>
  <c r="AH117" i="9"/>
  <c r="AE117" i="9"/>
  <c r="AW117" i="9"/>
  <c r="AZ117" i="9"/>
  <c r="BC117" i="9"/>
  <c r="AB117" i="9"/>
  <c r="AO117" i="8"/>
  <c r="BA117" i="8"/>
  <c r="I38" i="11"/>
  <c r="I37" i="11" s="1"/>
  <c r="Q38" i="11"/>
  <c r="Q37" i="11" s="1"/>
  <c r="Y38" i="11"/>
  <c r="Y37" i="11" s="1"/>
  <c r="AG38" i="11"/>
  <c r="AO38" i="11"/>
  <c r="AW38" i="11"/>
  <c r="BK38" i="11"/>
  <c r="BW38" i="11"/>
  <c r="CI38" i="11"/>
  <c r="CI37" i="11" s="1"/>
  <c r="CU38" i="11"/>
  <c r="DG38" i="11"/>
  <c r="DG37" i="11" s="1"/>
  <c r="DO38" i="11"/>
  <c r="C47" i="11"/>
  <c r="R49" i="11"/>
  <c r="Z49" i="11"/>
  <c r="Z47" i="11" s="1"/>
  <c r="Z37" i="11" s="1"/>
  <c r="AH49" i="11"/>
  <c r="AH47" i="11" s="1"/>
  <c r="AH37" i="11" s="1"/>
  <c r="AP49" i="11"/>
  <c r="AP47" i="11" s="1"/>
  <c r="AP37" i="11" s="1"/>
  <c r="AX49" i="11"/>
  <c r="AX47" i="11" s="1"/>
  <c r="AX37" i="11" s="1"/>
  <c r="BH50" i="11"/>
  <c r="BD49" i="11"/>
  <c r="BH49" i="11" s="1"/>
  <c r="BL49" i="11"/>
  <c r="BL47" i="11" s="1"/>
  <c r="BR49" i="11"/>
  <c r="BX49" i="11"/>
  <c r="BX47" i="11" s="1"/>
  <c r="BX37" i="11" s="1"/>
  <c r="CD49" i="11"/>
  <c r="CD47" i="11" s="1"/>
  <c r="CD37" i="11" s="1"/>
  <c r="CJ49" i="11"/>
  <c r="CJ47" i="11" s="1"/>
  <c r="CJ37" i="11" s="1"/>
  <c r="CP49" i="11"/>
  <c r="CP47" i="11" s="1"/>
  <c r="CP37" i="11" s="1"/>
  <c r="CV49" i="11"/>
  <c r="CV47" i="11" s="1"/>
  <c r="CV37" i="11" s="1"/>
  <c r="DB49" i="11"/>
  <c r="DB47" i="11" s="1"/>
  <c r="DH49" i="11"/>
  <c r="DH47" i="11" s="1"/>
  <c r="DN49" i="11"/>
  <c r="DR49" i="11"/>
  <c r="DR47" i="11" s="1"/>
  <c r="BD101" i="11"/>
  <c r="BH101" i="11" s="1"/>
  <c r="BL115" i="10"/>
  <c r="AW115" i="10"/>
  <c r="AQ115" i="10"/>
  <c r="AN115" i="10"/>
  <c r="AK115" i="10"/>
  <c r="AH115" i="10"/>
  <c r="AE115" i="10"/>
  <c r="AT115" i="10"/>
  <c r="AB115" i="10"/>
  <c r="AZ115" i="10"/>
  <c r="BC115" i="10"/>
  <c r="BF115" i="10"/>
  <c r="BL117" i="10"/>
  <c r="AW117" i="10"/>
  <c r="AQ117" i="10"/>
  <c r="AN117" i="10"/>
  <c r="AK117" i="10"/>
  <c r="AH117" i="10"/>
  <c r="AE117" i="10"/>
  <c r="AZ117" i="10"/>
  <c r="BC117" i="10"/>
  <c r="AB117" i="10"/>
  <c r="BF117" i="10"/>
  <c r="BL116" i="9"/>
  <c r="AZ116" i="9"/>
  <c r="BC116" i="9"/>
  <c r="BF116" i="9"/>
  <c r="AQ116" i="9"/>
  <c r="AN116" i="9"/>
  <c r="AK116" i="9"/>
  <c r="AH116" i="9"/>
  <c r="AE116" i="9"/>
  <c r="AB116" i="9"/>
  <c r="AW116" i="9"/>
  <c r="AT116" i="9"/>
  <c r="AT117" i="9"/>
  <c r="K50" i="11"/>
  <c r="BI50" i="11" s="1"/>
  <c r="L51" i="11"/>
  <c r="BJ51" i="11" s="1"/>
  <c r="BG52" i="11"/>
  <c r="E53" i="11"/>
  <c r="DU53" i="11" s="1"/>
  <c r="BG53" i="11"/>
  <c r="BM53" i="11" s="1"/>
  <c r="BS53" i="11" s="1"/>
  <c r="BY53" i="11" s="1"/>
  <c r="CE53" i="11" s="1"/>
  <c r="CK53" i="11" s="1"/>
  <c r="CQ53" i="11" s="1"/>
  <c r="CW53" i="11" s="1"/>
  <c r="DC53" i="11" s="1"/>
  <c r="DI53" i="11" s="1"/>
  <c r="K54" i="11"/>
  <c r="BI54" i="11" s="1"/>
  <c r="L55" i="11"/>
  <c r="P55" i="11" s="1"/>
  <c r="K56" i="11"/>
  <c r="F57" i="11"/>
  <c r="DV57" i="11" s="1"/>
  <c r="BH57" i="11"/>
  <c r="K58" i="11"/>
  <c r="O58" i="11" s="1"/>
  <c r="F59" i="11"/>
  <c r="DV59" i="11" s="1"/>
  <c r="BH59" i="11"/>
  <c r="K60" i="11"/>
  <c r="BI60" i="11" s="1"/>
  <c r="K61" i="11"/>
  <c r="O61" i="11" s="1"/>
  <c r="E62" i="11"/>
  <c r="DU62" i="11" s="1"/>
  <c r="BG62" i="11"/>
  <c r="F63" i="11"/>
  <c r="DV63" i="11" s="1"/>
  <c r="BH63" i="11"/>
  <c r="F64" i="11"/>
  <c r="BB64" i="11" s="1"/>
  <c r="BH64" i="11"/>
  <c r="F65" i="11"/>
  <c r="BB65" i="11" s="1"/>
  <c r="BH65" i="11"/>
  <c r="F66" i="11"/>
  <c r="BB66" i="11" s="1"/>
  <c r="BH66" i="11"/>
  <c r="K67" i="11"/>
  <c r="BI67" i="11" s="1"/>
  <c r="K68" i="11"/>
  <c r="BI68" i="11" s="1"/>
  <c r="K69" i="11"/>
  <c r="BI69" i="11" s="1"/>
  <c r="K70" i="11"/>
  <c r="BI70" i="11" s="1"/>
  <c r="K71" i="11"/>
  <c r="BI71" i="11" s="1"/>
  <c r="K72" i="11"/>
  <c r="BI72" i="11" s="1"/>
  <c r="K73" i="11"/>
  <c r="BI73" i="11" s="1"/>
  <c r="E79" i="11"/>
  <c r="DU79" i="11" s="1"/>
  <c r="BG79" i="11"/>
  <c r="L80" i="11"/>
  <c r="BJ80" i="11" s="1"/>
  <c r="E82" i="11"/>
  <c r="DU82" i="11" s="1"/>
  <c r="BG82" i="11"/>
  <c r="BM82" i="11" s="1"/>
  <c r="L83" i="11"/>
  <c r="L81" i="11" s="1"/>
  <c r="BJ81" i="11" s="1"/>
  <c r="K104" i="11"/>
  <c r="BI104" i="11" s="1"/>
  <c r="E105" i="11"/>
  <c r="DU105" i="11" s="1"/>
  <c r="BG105" i="11"/>
  <c r="BM105" i="11" s="1"/>
  <c r="BS105" i="11" s="1"/>
  <c r="BY105" i="11" s="1"/>
  <c r="CE105" i="11" s="1"/>
  <c r="CK105" i="11" s="1"/>
  <c r="CQ105" i="11" s="1"/>
  <c r="CW105" i="11" s="1"/>
  <c r="DC105" i="11" s="1"/>
  <c r="DI105" i="11" s="1"/>
  <c r="K106" i="11"/>
  <c r="BI106" i="11" s="1"/>
  <c r="E107" i="11"/>
  <c r="DU107" i="11" s="1"/>
  <c r="BG107" i="11"/>
  <c r="BM107" i="11" s="1"/>
  <c r="BS107" i="11" s="1"/>
  <c r="BY107" i="11" s="1"/>
  <c r="CE107" i="11" s="1"/>
  <c r="CK107" i="11" s="1"/>
  <c r="CQ107" i="11" s="1"/>
  <c r="CW107" i="11" s="1"/>
  <c r="DC107" i="11" s="1"/>
  <c r="DI107" i="11" s="1"/>
  <c r="K108" i="11"/>
  <c r="BI108" i="11" s="1"/>
  <c r="E109" i="11"/>
  <c r="DU109" i="11" s="1"/>
  <c r="BG109" i="11"/>
  <c r="BM109" i="11" s="1"/>
  <c r="BS109" i="11" s="1"/>
  <c r="BY109" i="11" s="1"/>
  <c r="CE109" i="11" s="1"/>
  <c r="CK109" i="11" s="1"/>
  <c r="CQ109" i="11" s="1"/>
  <c r="CW109" i="11" s="1"/>
  <c r="DC109" i="11" s="1"/>
  <c r="DI109" i="11" s="1"/>
  <c r="K110" i="11"/>
  <c r="BI110" i="11" s="1"/>
  <c r="E111" i="11"/>
  <c r="DU111" i="11" s="1"/>
  <c r="BG111" i="11"/>
  <c r="BM111" i="11" s="1"/>
  <c r="BS111" i="11" s="1"/>
  <c r="BY111" i="11" s="1"/>
  <c r="CE111" i="11" s="1"/>
  <c r="CK111" i="11" s="1"/>
  <c r="CQ111" i="11" s="1"/>
  <c r="CW111" i="11" s="1"/>
  <c r="DC111" i="11" s="1"/>
  <c r="DI111" i="11" s="1"/>
  <c r="K112" i="11"/>
  <c r="BI112" i="11" s="1"/>
  <c r="F85" i="11"/>
  <c r="BB85" i="11" s="1"/>
  <c r="BH85" i="11"/>
  <c r="BN85" i="11" s="1"/>
  <c r="F92" i="11"/>
  <c r="DV92" i="11" s="1"/>
  <c r="BH92" i="11"/>
  <c r="BN92" i="11" s="1"/>
  <c r="L93" i="11"/>
  <c r="F95" i="11"/>
  <c r="DV95" i="11" s="1"/>
  <c r="BH95" i="11"/>
  <c r="BN95" i="11" s="1"/>
  <c r="BT95" i="11" s="1"/>
  <c r="BZ95" i="11" s="1"/>
  <c r="CF95" i="11" s="1"/>
  <c r="CL95" i="11" s="1"/>
  <c r="CR95" i="11" s="1"/>
  <c r="CX95" i="11" s="1"/>
  <c r="DD95" i="11" s="1"/>
  <c r="DJ95" i="11" s="1"/>
  <c r="L96" i="11"/>
  <c r="BJ96" i="11" s="1"/>
  <c r="K97" i="11"/>
  <c r="BI97" i="11" s="1"/>
  <c r="E98" i="11"/>
  <c r="DU98" i="11" s="1"/>
  <c r="BG98" i="11"/>
  <c r="BM98" i="11" s="1"/>
  <c r="BS98" i="11" s="1"/>
  <c r="BY98" i="11" s="1"/>
  <c r="CE98" i="11" s="1"/>
  <c r="CK98" i="11" s="1"/>
  <c r="CQ98" i="11" s="1"/>
  <c r="CW98" i="11" s="1"/>
  <c r="DC98" i="11" s="1"/>
  <c r="DI98" i="11" s="1"/>
  <c r="K99" i="11"/>
  <c r="O99" i="11" s="1"/>
  <c r="E100" i="11"/>
  <c r="DU100" i="11" s="1"/>
  <c r="BG100" i="11"/>
  <c r="BM100" i="11" s="1"/>
  <c r="BS100" i="11" s="1"/>
  <c r="BY100" i="11" s="1"/>
  <c r="CE100" i="11" s="1"/>
  <c r="CK100" i="11" s="1"/>
  <c r="CQ100" i="11" s="1"/>
  <c r="CW100" i="11" s="1"/>
  <c r="DC100" i="11" s="1"/>
  <c r="DI100" i="11" s="1"/>
  <c r="E102" i="11"/>
  <c r="BG102" i="11"/>
  <c r="BM102" i="11" s="1"/>
  <c r="BS102" i="11" s="1"/>
  <c r="BY102" i="11" s="1"/>
  <c r="CE102" i="11" s="1"/>
  <c r="CK102" i="11" s="1"/>
  <c r="CQ102" i="11" s="1"/>
  <c r="CW102" i="11" s="1"/>
  <c r="DC102" i="11" s="1"/>
  <c r="DI102" i="11" s="1"/>
  <c r="K103" i="11"/>
  <c r="BI103" i="11" s="1"/>
  <c r="L115" i="8"/>
  <c r="AO115" i="8"/>
  <c r="DQ27" i="11"/>
  <c r="R47" i="11"/>
  <c r="BF47" i="11"/>
  <c r="BR47" i="11"/>
  <c r="DN47" i="11"/>
  <c r="DN37" i="11" s="1"/>
  <c r="AZ78" i="11"/>
  <c r="DT78" i="11" s="1"/>
  <c r="AL78" i="11"/>
  <c r="BR78" i="11"/>
  <c r="DR78" i="11"/>
  <c r="Z81" i="11"/>
  <c r="DR81" i="11"/>
  <c r="AZ27" i="11"/>
  <c r="DT27" i="11" s="1"/>
  <c r="D27" i="11"/>
  <c r="N27" i="11"/>
  <c r="V27" i="11"/>
  <c r="AD27" i="11"/>
  <c r="AL27" i="11"/>
  <c r="AT27" i="11"/>
  <c r="AX27" i="11"/>
  <c r="BF27" i="11"/>
  <c r="BR27" i="11"/>
  <c r="CD27" i="11"/>
  <c r="CP27" i="11"/>
  <c r="DB27" i="11"/>
  <c r="DN27" i="11"/>
  <c r="DP27" i="11"/>
  <c r="E33" i="11"/>
  <c r="DU33" i="11" s="1"/>
  <c r="K47" i="11"/>
  <c r="BI47" i="11" s="1"/>
  <c r="K11" i="11"/>
  <c r="F29" i="11"/>
  <c r="DV29" i="11" s="1"/>
  <c r="F33" i="11"/>
  <c r="DV33" i="11" s="1"/>
  <c r="F34" i="11"/>
  <c r="DV34" i="11" s="1"/>
  <c r="E41" i="11"/>
  <c r="DU41" i="11" s="1"/>
  <c r="E50" i="11"/>
  <c r="BA50" i="11" s="1"/>
  <c r="E51" i="11"/>
  <c r="DU51" i="11" s="1"/>
  <c r="E52" i="11"/>
  <c r="DU52" i="11" s="1"/>
  <c r="E57" i="11"/>
  <c r="DU57" i="11" s="1"/>
  <c r="D10" i="11"/>
  <c r="D118" i="11" s="1"/>
  <c r="C27" i="11"/>
  <c r="AZ47" i="11"/>
  <c r="DT47" i="11" s="1"/>
  <c r="BD47" i="11"/>
  <c r="BD37" i="11" s="1"/>
  <c r="J78" i="11"/>
  <c r="N78" i="11"/>
  <c r="R78" i="11"/>
  <c r="Z78" i="11"/>
  <c r="AD78" i="11"/>
  <c r="AH78" i="11"/>
  <c r="AP78" i="11"/>
  <c r="AT78" i="11"/>
  <c r="BF78" i="11"/>
  <c r="BL78" i="11"/>
  <c r="BX78" i="11"/>
  <c r="CD78" i="11"/>
  <c r="CJ78" i="11"/>
  <c r="DB78" i="11"/>
  <c r="BL81" i="11"/>
  <c r="DH81" i="11"/>
  <c r="D94" i="11"/>
  <c r="J94" i="11"/>
  <c r="J91" i="11" s="1"/>
  <c r="N94" i="11"/>
  <c r="N91" i="11" s="1"/>
  <c r="R94" i="11"/>
  <c r="R91" i="11" s="1"/>
  <c r="V94" i="11"/>
  <c r="V91" i="11" s="1"/>
  <c r="Z94" i="11"/>
  <c r="Z91" i="11" s="1"/>
  <c r="AD94" i="11"/>
  <c r="AD91" i="11" s="1"/>
  <c r="AH94" i="11"/>
  <c r="AH91" i="11" s="1"/>
  <c r="AL94" i="11"/>
  <c r="AL91" i="11" s="1"/>
  <c r="AP94" i="11"/>
  <c r="AP91" i="11" s="1"/>
  <c r="AT94" i="11"/>
  <c r="AT91" i="11" s="1"/>
  <c r="AX94" i="11"/>
  <c r="AX91" i="11" s="1"/>
  <c r="BF94" i="11"/>
  <c r="BF91" i="11" s="1"/>
  <c r="BL94" i="11"/>
  <c r="BL91" i="11" s="1"/>
  <c r="BR94" i="11"/>
  <c r="BX94" i="11"/>
  <c r="BX91" i="11" s="1"/>
  <c r="CD94" i="11"/>
  <c r="CD91" i="11" s="1"/>
  <c r="CJ94" i="11"/>
  <c r="CJ91" i="11" s="1"/>
  <c r="CP94" i="11"/>
  <c r="CP91" i="11" s="1"/>
  <c r="CV94" i="11"/>
  <c r="CV91" i="11" s="1"/>
  <c r="DB94" i="11"/>
  <c r="DB91" i="11" s="1"/>
  <c r="DH94" i="11"/>
  <c r="DH91" i="11" s="1"/>
  <c r="DN94" i="11"/>
  <c r="DN91" i="11" s="1"/>
  <c r="DP94" i="11"/>
  <c r="DP91" i="11" s="1"/>
  <c r="I94" i="11"/>
  <c r="I91" i="11" s="1"/>
  <c r="M94" i="11"/>
  <c r="M91" i="11" s="1"/>
  <c r="Q94" i="11"/>
  <c r="Q91" i="11" s="1"/>
  <c r="U94" i="11"/>
  <c r="U91" i="11" s="1"/>
  <c r="Y94" i="11"/>
  <c r="Y91" i="11" s="1"/>
  <c r="AG94" i="11"/>
  <c r="AG91" i="11" s="1"/>
  <c r="AK94" i="11"/>
  <c r="AK91" i="11" s="1"/>
  <c r="AO94" i="11"/>
  <c r="AO91" i="11" s="1"/>
  <c r="AS94" i="11"/>
  <c r="AS91" i="11" s="1"/>
  <c r="AW94" i="11"/>
  <c r="AW91" i="11" s="1"/>
  <c r="AY94" i="11"/>
  <c r="AY91" i="11" s="1"/>
  <c r="DS91" i="11" s="1"/>
  <c r="BE94" i="11"/>
  <c r="BK94" i="11"/>
  <c r="BK91" i="11" s="1"/>
  <c r="BQ94" i="11"/>
  <c r="BQ91" i="11" s="1"/>
  <c r="BW94" i="11"/>
  <c r="BW91" i="11" s="1"/>
  <c r="CC94" i="11"/>
  <c r="CC91" i="11" s="1"/>
  <c r="CI94" i="11"/>
  <c r="CI91" i="11" s="1"/>
  <c r="CO94" i="11"/>
  <c r="CO91" i="11" s="1"/>
  <c r="CU94" i="11"/>
  <c r="CU91" i="11" s="1"/>
  <c r="DA94" i="11"/>
  <c r="DA91" i="11" s="1"/>
  <c r="DG94" i="11"/>
  <c r="DM94" i="11"/>
  <c r="DM91" i="11" s="1"/>
  <c r="DO94" i="11"/>
  <c r="DO91" i="11" s="1"/>
  <c r="DQ94" i="11"/>
  <c r="DQ91" i="11" s="1"/>
  <c r="K119" i="11"/>
  <c r="O119" i="11"/>
  <c r="S119" i="11"/>
  <c r="W119" i="11"/>
  <c r="AA119" i="11"/>
  <c r="AE119" i="11"/>
  <c r="AI119" i="11"/>
  <c r="AM119" i="11"/>
  <c r="AQ119" i="11"/>
  <c r="AU119" i="11"/>
  <c r="J81" i="11"/>
  <c r="AP81" i="11"/>
  <c r="CV78" i="11"/>
  <c r="DH78" i="11"/>
  <c r="R81" i="11"/>
  <c r="AH81" i="11"/>
  <c r="BX81" i="11"/>
  <c r="CV81" i="11"/>
  <c r="DQ81" i="11"/>
  <c r="AY78" i="11"/>
  <c r="DS78" i="11" s="1"/>
  <c r="BC78" i="11"/>
  <c r="AZ81" i="11"/>
  <c r="DT81" i="11" s="1"/>
  <c r="BR91" i="11"/>
  <c r="D91" i="11"/>
  <c r="N81" i="11"/>
  <c r="V81" i="11"/>
  <c r="AD81" i="11"/>
  <c r="AL81" i="11"/>
  <c r="AT81" i="11"/>
  <c r="BF81" i="11"/>
  <c r="BR81" i="11"/>
  <c r="CD81" i="11"/>
  <c r="CP81" i="11"/>
  <c r="DB81" i="11"/>
  <c r="DR91" i="11"/>
  <c r="I116" i="8"/>
  <c r="K116" i="8" s="1"/>
  <c r="I115" i="8"/>
  <c r="I117" i="8"/>
  <c r="C38" i="11"/>
  <c r="C94" i="11"/>
  <c r="C91" i="11" s="1"/>
  <c r="I78" i="11"/>
  <c r="M78" i="11"/>
  <c r="Q78" i="11"/>
  <c r="U78" i="11"/>
  <c r="Y78" i="11"/>
  <c r="AC78" i="11"/>
  <c r="AG78" i="11"/>
  <c r="AK78" i="11"/>
  <c r="AO78" i="11"/>
  <c r="AS78" i="11"/>
  <c r="AW78" i="11"/>
  <c r="BE78" i="11"/>
  <c r="BK78" i="11"/>
  <c r="BQ78" i="11"/>
  <c r="BW78" i="11"/>
  <c r="CC78" i="11"/>
  <c r="CI78" i="11"/>
  <c r="CO78" i="11"/>
  <c r="CU78" i="11"/>
  <c r="DA78" i="11"/>
  <c r="DG78" i="11"/>
  <c r="DM78" i="11"/>
  <c r="DO78" i="11"/>
  <c r="DQ78" i="11"/>
  <c r="I81" i="11"/>
  <c r="M81" i="11"/>
  <c r="Q81" i="11"/>
  <c r="U81" i="11"/>
  <c r="Y81" i="11"/>
  <c r="AC81" i="11"/>
  <c r="AG81" i="11"/>
  <c r="AK81" i="11"/>
  <c r="AO81" i="11"/>
  <c r="AS81" i="11"/>
  <c r="AW81" i="11"/>
  <c r="BE81" i="11"/>
  <c r="BK81" i="11"/>
  <c r="BQ81" i="11"/>
  <c r="BW81" i="11"/>
  <c r="CC81" i="11"/>
  <c r="CI81" i="11"/>
  <c r="CO81" i="11"/>
  <c r="CU81" i="11"/>
  <c r="DA81" i="11"/>
  <c r="DG81" i="11"/>
  <c r="DM81" i="11"/>
  <c r="DO81" i="11"/>
  <c r="AX81" i="11"/>
  <c r="DN81" i="11"/>
  <c r="DP81" i="11"/>
  <c r="AZ94" i="11"/>
  <c r="G78" i="11"/>
  <c r="AX78" i="11"/>
  <c r="DN78" i="11"/>
  <c r="DP78" i="11"/>
  <c r="G81" i="11"/>
  <c r="AY81" i="11"/>
  <c r="DS81" i="11" s="1"/>
  <c r="BC81" i="11"/>
  <c r="G94" i="11"/>
  <c r="BD94" i="11"/>
  <c r="BE91" i="11"/>
  <c r="DG91" i="11"/>
  <c r="I27" i="11"/>
  <c r="M27" i="11"/>
  <c r="Q27" i="11"/>
  <c r="U27" i="11"/>
  <c r="Y27" i="11"/>
  <c r="AC27" i="11"/>
  <c r="AG27" i="11"/>
  <c r="AK27" i="11"/>
  <c r="AO27" i="11"/>
  <c r="AS27" i="11"/>
  <c r="AW27" i="11"/>
  <c r="BE27" i="11"/>
  <c r="BK27" i="11"/>
  <c r="BQ27" i="11"/>
  <c r="BW27" i="11"/>
  <c r="CC27" i="11"/>
  <c r="CI27" i="11"/>
  <c r="CO27" i="11"/>
  <c r="CU27" i="11"/>
  <c r="DA27" i="11"/>
  <c r="DG27" i="11"/>
  <c r="DM27" i="11"/>
  <c r="DO27" i="11"/>
  <c r="G38" i="11"/>
  <c r="G37" i="11" s="1"/>
  <c r="AY38" i="11"/>
  <c r="BC38" i="11"/>
  <c r="H78" i="11"/>
  <c r="BD78" i="11"/>
  <c r="H81" i="11"/>
  <c r="BD81" i="11"/>
  <c r="H94" i="11"/>
  <c r="BC94" i="11"/>
  <c r="E97" i="11"/>
  <c r="DU97" i="11" s="1"/>
  <c r="E43" i="11"/>
  <c r="DU43" i="11" s="1"/>
  <c r="E58" i="11"/>
  <c r="DU58" i="11" s="1"/>
  <c r="E83" i="11"/>
  <c r="F28" i="11"/>
  <c r="DV28" i="11" s="1"/>
  <c r="E39" i="11"/>
  <c r="BA39" i="11" s="1"/>
  <c r="E55" i="11"/>
  <c r="BA55" i="11" s="1"/>
  <c r="E56" i="11"/>
  <c r="DU56" i="11" s="1"/>
  <c r="E59" i="11"/>
  <c r="DU59" i="11" s="1"/>
  <c r="E60" i="11"/>
  <c r="DU60" i="11" s="1"/>
  <c r="E63" i="11"/>
  <c r="DU73" i="11" s="1"/>
  <c r="E67" i="11"/>
  <c r="BA67" i="11" s="1"/>
  <c r="E80" i="11"/>
  <c r="BA80" i="11" s="1"/>
  <c r="AC94" i="11"/>
  <c r="AC91" i="11" s="1"/>
  <c r="Q10" i="11"/>
  <c r="E20" i="11"/>
  <c r="DU20" i="11" s="1"/>
  <c r="E24" i="11"/>
  <c r="DU24" i="11" s="1"/>
  <c r="G27" i="11"/>
  <c r="AY27" i="11"/>
  <c r="DS27" i="11" s="1"/>
  <c r="BC27" i="11"/>
  <c r="E19" i="11"/>
  <c r="DU19" i="11" s="1"/>
  <c r="AW10" i="11"/>
  <c r="CI10" i="11"/>
  <c r="DO10" i="11"/>
  <c r="H27" i="11"/>
  <c r="BD27" i="11"/>
  <c r="F11" i="11"/>
  <c r="DV11" i="11" s="1"/>
  <c r="E28" i="11"/>
  <c r="E35" i="11"/>
  <c r="DU35" i="11" s="1"/>
  <c r="AG10" i="11"/>
  <c r="BK10" i="11"/>
  <c r="DG10" i="11"/>
  <c r="E23" i="11"/>
  <c r="DU23" i="11" s="1"/>
  <c r="E12" i="11"/>
  <c r="DU12" i="11" s="1"/>
  <c r="E17" i="11"/>
  <c r="DU17" i="11" s="1"/>
  <c r="E21" i="11"/>
  <c r="DU21" i="11" s="1"/>
  <c r="F14" i="11"/>
  <c r="DV14" i="11" s="1"/>
  <c r="F17" i="11"/>
  <c r="DV17" i="11" s="1"/>
  <c r="C10" i="11"/>
  <c r="J10" i="11"/>
  <c r="J9" i="11" s="1"/>
  <c r="N10" i="11"/>
  <c r="N9" i="11" s="1"/>
  <c r="R10" i="11"/>
  <c r="V10" i="11"/>
  <c r="Z10" i="11"/>
  <c r="AD10" i="11"/>
  <c r="AH10" i="11"/>
  <c r="AL10" i="11"/>
  <c r="AP10" i="11"/>
  <c r="AT10" i="11"/>
  <c r="AX10" i="11"/>
  <c r="AX9" i="11" s="1"/>
  <c r="BF10" i="11"/>
  <c r="BF9" i="11" s="1"/>
  <c r="BL10" i="11"/>
  <c r="BR10" i="11"/>
  <c r="BR9" i="11" s="1"/>
  <c r="BX10" i="11"/>
  <c r="BX9" i="11" s="1"/>
  <c r="CD10" i="11"/>
  <c r="CD9" i="11" s="1"/>
  <c r="CJ10" i="11"/>
  <c r="CP10" i="11"/>
  <c r="CV10" i="11"/>
  <c r="CV9" i="11" s="1"/>
  <c r="DB10" i="11"/>
  <c r="DH10" i="11"/>
  <c r="DN10" i="11"/>
  <c r="DP10" i="11"/>
  <c r="DR10" i="11"/>
  <c r="K21" i="11"/>
  <c r="BI21" i="11" s="1"/>
  <c r="F12" i="11"/>
  <c r="DV12" i="11" s="1"/>
  <c r="I10" i="11"/>
  <c r="M10" i="11"/>
  <c r="U10" i="11"/>
  <c r="Y10" i="11"/>
  <c r="AC10" i="11"/>
  <c r="AK10" i="11"/>
  <c r="AO10" i="11"/>
  <c r="AS10" i="11"/>
  <c r="BE10" i="11"/>
  <c r="BQ10" i="11"/>
  <c r="BW10" i="11"/>
  <c r="CC10" i="11"/>
  <c r="CO10" i="11"/>
  <c r="CU10" i="11"/>
  <c r="DA10" i="11"/>
  <c r="DM10" i="11"/>
  <c r="DQ10" i="11"/>
  <c r="L12" i="11"/>
  <c r="BJ12" i="11" s="1"/>
  <c r="BC10" i="11"/>
  <c r="G10" i="11"/>
  <c r="AY10" i="11"/>
  <c r="DS10" i="11" s="1"/>
  <c r="H10" i="11"/>
  <c r="AZ10" i="11"/>
  <c r="BD10" i="11"/>
  <c r="BG15" i="11"/>
  <c r="BM15" i="11" s="1"/>
  <c r="BS15" i="11" s="1"/>
  <c r="BY15" i="11" s="1"/>
  <c r="CE15" i="11" s="1"/>
  <c r="CK15" i="11" s="1"/>
  <c r="CQ15" i="11" s="1"/>
  <c r="CW15" i="11" s="1"/>
  <c r="DC15" i="11" s="1"/>
  <c r="DI15" i="11" s="1"/>
  <c r="BG16" i="11"/>
  <c r="BM16" i="11" s="1"/>
  <c r="BS16" i="11" s="1"/>
  <c r="BY16" i="11" s="1"/>
  <c r="CE16" i="11" s="1"/>
  <c r="CK16" i="11" s="1"/>
  <c r="CQ16" i="11" s="1"/>
  <c r="CW16" i="11" s="1"/>
  <c r="DC16" i="11" s="1"/>
  <c r="DI16" i="11" s="1"/>
  <c r="E11" i="11"/>
  <c r="DU11" i="11" s="1"/>
  <c r="E14" i="11"/>
  <c r="DU14" i="11" s="1"/>
  <c r="E18" i="11"/>
  <c r="DU18" i="11" s="1"/>
  <c r="K15" i="11"/>
  <c r="O15" i="11" s="1"/>
  <c r="K16" i="11"/>
  <c r="O16" i="11" s="1"/>
  <c r="P102" i="11"/>
  <c r="BP102" i="11" s="1"/>
  <c r="P103" i="11"/>
  <c r="BP103" i="11" s="1"/>
  <c r="P104" i="11"/>
  <c r="BP104" i="11" s="1"/>
  <c r="P105" i="11"/>
  <c r="BP105" i="11" s="1"/>
  <c r="P106" i="11"/>
  <c r="P107" i="11"/>
  <c r="BP107" i="11" s="1"/>
  <c r="E13" i="11"/>
  <c r="DU13" i="11" s="1"/>
  <c r="O102" i="11"/>
  <c r="S102" i="11" s="1"/>
  <c r="O103" i="11"/>
  <c r="BO103" i="11" s="1"/>
  <c r="O104" i="11"/>
  <c r="BO104" i="11" s="1"/>
  <c r="O105" i="11"/>
  <c r="S105" i="11" s="1"/>
  <c r="O106" i="11"/>
  <c r="BO106" i="11" s="1"/>
  <c r="O107" i="11"/>
  <c r="O108" i="11"/>
  <c r="BO108" i="11" s="1"/>
  <c r="O109" i="11"/>
  <c r="O110" i="11"/>
  <c r="BO110" i="11" s="1"/>
  <c r="O111" i="11"/>
  <c r="S111" i="11" s="1"/>
  <c r="O112" i="11"/>
  <c r="BO112" i="11" s="1"/>
  <c r="P109" i="11"/>
  <c r="BP109" i="11" s="1"/>
  <c r="P110" i="11"/>
  <c r="BP110" i="11" s="1"/>
  <c r="P111" i="11"/>
  <c r="P112" i="11"/>
  <c r="BP112" i="11" s="1"/>
  <c r="L119" i="11"/>
  <c r="P119" i="11"/>
  <c r="T119" i="11"/>
  <c r="X119" i="11"/>
  <c r="AB119" i="11"/>
  <c r="AF119" i="11"/>
  <c r="AJ119" i="11"/>
  <c r="L120" i="11"/>
  <c r="P120" i="11"/>
  <c r="T120" i="11"/>
  <c r="X120" i="11"/>
  <c r="AB120" i="11"/>
  <c r="AF120" i="11"/>
  <c r="AJ120" i="11"/>
  <c r="AN120" i="11"/>
  <c r="AR120" i="11"/>
  <c r="AV120" i="11"/>
  <c r="BH120" i="11"/>
  <c r="BN120" i="11"/>
  <c r="BT120" i="11"/>
  <c r="BZ120" i="11"/>
  <c r="CF120" i="11"/>
  <c r="CL120" i="11"/>
  <c r="CR120" i="11"/>
  <c r="CX120" i="11"/>
  <c r="DD120" i="11"/>
  <c r="DJ120" i="11"/>
  <c r="L121" i="11"/>
  <c r="P121" i="11"/>
  <c r="T121" i="11"/>
  <c r="X121" i="11"/>
  <c r="AB121" i="11"/>
  <c r="AF121" i="11"/>
  <c r="AJ121" i="11"/>
  <c r="AN121" i="11"/>
  <c r="AR121" i="11"/>
  <c r="AV121" i="11"/>
  <c r="BH121" i="11"/>
  <c r="BN121" i="11"/>
  <c r="BT121" i="11"/>
  <c r="BZ121" i="11"/>
  <c r="CF121" i="11"/>
  <c r="CL121" i="11"/>
  <c r="CR121" i="11"/>
  <c r="CX121" i="11"/>
  <c r="DD121" i="11"/>
  <c r="DJ121" i="11"/>
  <c r="L122" i="11"/>
  <c r="P122" i="11"/>
  <c r="T122" i="11"/>
  <c r="X122" i="11"/>
  <c r="AB122" i="11"/>
  <c r="AF122" i="11"/>
  <c r="AJ122" i="11"/>
  <c r="AN122" i="11"/>
  <c r="AR122" i="11"/>
  <c r="AV122" i="11"/>
  <c r="BH122" i="11"/>
  <c r="BN122" i="11"/>
  <c r="BT122" i="11"/>
  <c r="BZ122" i="11"/>
  <c r="CF122" i="11"/>
  <c r="CL122" i="11"/>
  <c r="CR122" i="11"/>
  <c r="CX122" i="11"/>
  <c r="DD122" i="11"/>
  <c r="DJ122" i="11"/>
  <c r="L123" i="11"/>
  <c r="P123" i="11"/>
  <c r="T123" i="11"/>
  <c r="X123" i="11"/>
  <c r="AB123" i="11"/>
  <c r="AF123" i="11"/>
  <c r="AJ123" i="11"/>
  <c r="AN123" i="11"/>
  <c r="AR123" i="11"/>
  <c r="AV123" i="11"/>
  <c r="BH123" i="11"/>
  <c r="BN123" i="11"/>
  <c r="BT123" i="11"/>
  <c r="BZ123" i="11"/>
  <c r="CF123" i="11"/>
  <c r="CL123" i="11"/>
  <c r="CR123" i="11"/>
  <c r="CX123" i="11"/>
  <c r="DD123" i="11"/>
  <c r="DJ123" i="11"/>
  <c r="L124" i="11"/>
  <c r="P124" i="11"/>
  <c r="T124" i="11"/>
  <c r="X124" i="11"/>
  <c r="AB124" i="11"/>
  <c r="AF124" i="11"/>
  <c r="AJ124" i="11"/>
  <c r="AN124" i="11"/>
  <c r="AR124" i="11"/>
  <c r="AV124" i="11"/>
  <c r="BH124" i="11"/>
  <c r="BN124" i="11"/>
  <c r="BT124" i="11"/>
  <c r="BZ124" i="11"/>
  <c r="CF124" i="11"/>
  <c r="CL124" i="11"/>
  <c r="CR124" i="11"/>
  <c r="CX124" i="11"/>
  <c r="DD124" i="11"/>
  <c r="DJ124" i="11"/>
  <c r="L125" i="11"/>
  <c r="P125" i="11"/>
  <c r="T125" i="11"/>
  <c r="X125" i="11"/>
  <c r="AB125" i="11"/>
  <c r="AF125" i="11"/>
  <c r="AJ125" i="11"/>
  <c r="AN125" i="11"/>
  <c r="AR125" i="11"/>
  <c r="AV125" i="11"/>
  <c r="BH125" i="11"/>
  <c r="BN125" i="11"/>
  <c r="BT125" i="11"/>
  <c r="BZ125" i="11"/>
  <c r="CF125" i="11"/>
  <c r="CL125" i="11"/>
  <c r="CR125" i="11"/>
  <c r="CX125" i="11"/>
  <c r="DD125" i="11"/>
  <c r="DJ125" i="11"/>
  <c r="L126" i="11"/>
  <c r="P126" i="11"/>
  <c r="T126" i="11"/>
  <c r="X126" i="11"/>
  <c r="AB126" i="11"/>
  <c r="AF126" i="11"/>
  <c r="AJ126" i="11"/>
  <c r="AN126" i="11"/>
  <c r="AR126" i="11"/>
  <c r="AV126" i="11"/>
  <c r="BH126" i="11"/>
  <c r="BN126" i="11"/>
  <c r="BT126" i="11"/>
  <c r="BZ126" i="11"/>
  <c r="CF126" i="11"/>
  <c r="CL126" i="11"/>
  <c r="CR126" i="11"/>
  <c r="CX126" i="11"/>
  <c r="DD126" i="11"/>
  <c r="DJ126" i="11"/>
  <c r="L127" i="11"/>
  <c r="P127" i="11"/>
  <c r="T127" i="11"/>
  <c r="X127" i="11"/>
  <c r="AB127" i="11"/>
  <c r="AF127" i="11"/>
  <c r="AJ127" i="11"/>
  <c r="AN127" i="11"/>
  <c r="AR127" i="11"/>
  <c r="AV127" i="11"/>
  <c r="BH127" i="11"/>
  <c r="BN127" i="11"/>
  <c r="BT127" i="11"/>
  <c r="BZ127" i="11"/>
  <c r="CF127" i="11"/>
  <c r="CL127" i="11"/>
  <c r="CR127" i="11"/>
  <c r="CX127" i="11"/>
  <c r="DD127" i="11"/>
  <c r="DJ127" i="11"/>
  <c r="L128" i="11"/>
  <c r="P128" i="11"/>
  <c r="T128" i="11"/>
  <c r="X128" i="11"/>
  <c r="AB128" i="11"/>
  <c r="AF128" i="11"/>
  <c r="AJ128" i="11"/>
  <c r="AN128" i="11"/>
  <c r="AR128" i="11"/>
  <c r="AV128" i="11"/>
  <c r="BH128" i="11"/>
  <c r="BN128" i="11"/>
  <c r="BT128" i="11"/>
  <c r="BZ128" i="11"/>
  <c r="CF128" i="11"/>
  <c r="CL128" i="11"/>
  <c r="CR128" i="11"/>
  <c r="CX128" i="11"/>
  <c r="DD128" i="11"/>
  <c r="DJ128" i="11"/>
  <c r="L129" i="11"/>
  <c r="P129" i="11"/>
  <c r="T129" i="11"/>
  <c r="X129" i="11"/>
  <c r="AB129" i="11"/>
  <c r="AF129" i="11"/>
  <c r="AJ129" i="11"/>
  <c r="AN129" i="11"/>
  <c r="AR129" i="11"/>
  <c r="AV129" i="11"/>
  <c r="BH129" i="11"/>
  <c r="BN129" i="11"/>
  <c r="BT129" i="11"/>
  <c r="BZ129" i="11"/>
  <c r="CF129" i="11"/>
  <c r="CL129" i="11"/>
  <c r="CR129" i="11"/>
  <c r="CX129" i="11"/>
  <c r="DD129" i="11"/>
  <c r="DJ129" i="11"/>
  <c r="L130" i="11"/>
  <c r="BJ130" i="11" s="1"/>
  <c r="P130" i="11"/>
  <c r="BP130" i="11" s="1"/>
  <c r="T130" i="11"/>
  <c r="BV130" i="11" s="1"/>
  <c r="X130" i="11"/>
  <c r="CB130" i="11" s="1"/>
  <c r="AB130" i="11"/>
  <c r="CH130" i="11" s="1"/>
  <c r="AF130" i="11"/>
  <c r="CN130" i="11" s="1"/>
  <c r="AJ130" i="11"/>
  <c r="CT130" i="11" s="1"/>
  <c r="AN130" i="11"/>
  <c r="CZ130" i="11" s="1"/>
  <c r="AR130" i="11"/>
  <c r="DF130" i="11" s="1"/>
  <c r="AV130" i="11"/>
  <c r="DL130" i="11" s="1"/>
  <c r="BH130" i="11"/>
  <c r="BN130" i="11"/>
  <c r="BT130" i="11"/>
  <c r="BZ130" i="11"/>
  <c r="CF130" i="11"/>
  <c r="CL130" i="11"/>
  <c r="CR130" i="11"/>
  <c r="CX130" i="11"/>
  <c r="DD130" i="11"/>
  <c r="DJ130" i="11"/>
  <c r="K120" i="11"/>
  <c r="O120" i="11"/>
  <c r="S120" i="11"/>
  <c r="W120" i="11"/>
  <c r="AA120" i="11"/>
  <c r="AE120" i="11"/>
  <c r="AI120" i="11"/>
  <c r="AM120" i="11"/>
  <c r="AQ120" i="11"/>
  <c r="AU120" i="11"/>
  <c r="BG120" i="11"/>
  <c r="BM120" i="11"/>
  <c r="BS120" i="11"/>
  <c r="BY120" i="11"/>
  <c r="CE120" i="11"/>
  <c r="CK120" i="11"/>
  <c r="CQ120" i="11"/>
  <c r="CW120" i="11"/>
  <c r="DC120" i="11"/>
  <c r="DI120" i="11"/>
  <c r="K121" i="11"/>
  <c r="O121" i="11"/>
  <c r="S121" i="11"/>
  <c r="W121" i="11"/>
  <c r="AA121" i="11"/>
  <c r="AE121" i="11"/>
  <c r="AI121" i="11"/>
  <c r="AM121" i="11"/>
  <c r="AQ121" i="11"/>
  <c r="AU121" i="11"/>
  <c r="BG121" i="11"/>
  <c r="BM121" i="11"/>
  <c r="BS121" i="11"/>
  <c r="BY121" i="11"/>
  <c r="CE121" i="11"/>
  <c r="CK121" i="11"/>
  <c r="CQ121" i="11"/>
  <c r="CW121" i="11"/>
  <c r="DC121" i="11"/>
  <c r="DI121" i="11"/>
  <c r="K122" i="11"/>
  <c r="O122" i="11"/>
  <c r="S122" i="11"/>
  <c r="W122" i="11"/>
  <c r="AA122" i="11"/>
  <c r="AE122" i="11"/>
  <c r="AI122" i="11"/>
  <c r="AM122" i="11"/>
  <c r="AQ122" i="11"/>
  <c r="AU122" i="11"/>
  <c r="BG122" i="11"/>
  <c r="BM122" i="11"/>
  <c r="BS122" i="11"/>
  <c r="BY122" i="11"/>
  <c r="CE122" i="11"/>
  <c r="CK122" i="11"/>
  <c r="CQ122" i="11"/>
  <c r="CW122" i="11"/>
  <c r="DC122" i="11"/>
  <c r="DI122" i="11"/>
  <c r="K123" i="11"/>
  <c r="O123" i="11"/>
  <c r="S123" i="11"/>
  <c r="W123" i="11"/>
  <c r="AA123" i="11"/>
  <c r="AE123" i="11"/>
  <c r="AI123" i="11"/>
  <c r="AM123" i="11"/>
  <c r="AQ123" i="11"/>
  <c r="AU123" i="11"/>
  <c r="BG123" i="11"/>
  <c r="BM123" i="11"/>
  <c r="BS123" i="11"/>
  <c r="BY123" i="11"/>
  <c r="CE123" i="11"/>
  <c r="CK123" i="11"/>
  <c r="CQ123" i="11"/>
  <c r="CW123" i="11"/>
  <c r="DC123" i="11"/>
  <c r="DI123" i="11"/>
  <c r="K124" i="11"/>
  <c r="O124" i="11"/>
  <c r="S124" i="11"/>
  <c r="W124" i="11"/>
  <c r="AA124" i="11"/>
  <c r="AE124" i="11"/>
  <c r="AI124" i="11"/>
  <c r="AM124" i="11"/>
  <c r="AQ124" i="11"/>
  <c r="AU124" i="11"/>
  <c r="BG124" i="11"/>
  <c r="BM124" i="11"/>
  <c r="BS124" i="11"/>
  <c r="BY124" i="11"/>
  <c r="CE124" i="11"/>
  <c r="CK124" i="11"/>
  <c r="CQ124" i="11"/>
  <c r="CW124" i="11"/>
  <c r="DC124" i="11"/>
  <c r="DI124" i="11"/>
  <c r="K125" i="11"/>
  <c r="O125" i="11"/>
  <c r="S125" i="11"/>
  <c r="W125" i="11"/>
  <c r="AA125" i="11"/>
  <c r="AE125" i="11"/>
  <c r="AI125" i="11"/>
  <c r="AM125" i="11"/>
  <c r="AQ125" i="11"/>
  <c r="AU125" i="11"/>
  <c r="BG125" i="11"/>
  <c r="BM125" i="11"/>
  <c r="BS125" i="11"/>
  <c r="BY125" i="11"/>
  <c r="CE125" i="11"/>
  <c r="CK125" i="11"/>
  <c r="CQ125" i="11"/>
  <c r="CW125" i="11"/>
  <c r="DC125" i="11"/>
  <c r="DI125" i="11"/>
  <c r="K126" i="11"/>
  <c r="O126" i="11"/>
  <c r="S126" i="11"/>
  <c r="W126" i="11"/>
  <c r="AA126" i="11"/>
  <c r="AE126" i="11"/>
  <c r="AI126" i="11"/>
  <c r="AM126" i="11"/>
  <c r="AQ126" i="11"/>
  <c r="AU126" i="11"/>
  <c r="BG126" i="11"/>
  <c r="BM126" i="11"/>
  <c r="BS126" i="11"/>
  <c r="BY126" i="11"/>
  <c r="CE126" i="11"/>
  <c r="CK126" i="11"/>
  <c r="CQ126" i="11"/>
  <c r="CW126" i="11"/>
  <c r="DC126" i="11"/>
  <c r="DI126" i="11"/>
  <c r="K127" i="11"/>
  <c r="O127" i="11"/>
  <c r="S127" i="11"/>
  <c r="W127" i="11"/>
  <c r="AA127" i="11"/>
  <c r="AE127" i="11"/>
  <c r="AI127" i="11"/>
  <c r="AM127" i="11"/>
  <c r="AQ127" i="11"/>
  <c r="AU127" i="11"/>
  <c r="BG127" i="11"/>
  <c r="BM127" i="11"/>
  <c r="BS127" i="11"/>
  <c r="BY127" i="11"/>
  <c r="CE127" i="11"/>
  <c r="CK127" i="11"/>
  <c r="CQ127" i="11"/>
  <c r="CW127" i="11"/>
  <c r="DC127" i="11"/>
  <c r="DI127" i="11"/>
  <c r="K128" i="11"/>
  <c r="O128" i="11"/>
  <c r="S128" i="11"/>
  <c r="W128" i="11"/>
  <c r="AA128" i="11"/>
  <c r="AE128" i="11"/>
  <c r="AI128" i="11"/>
  <c r="AM128" i="11"/>
  <c r="AQ128" i="11"/>
  <c r="AU128" i="11"/>
  <c r="BG128" i="11"/>
  <c r="BM128" i="11"/>
  <c r="BS128" i="11"/>
  <c r="BY128" i="11"/>
  <c r="CE128" i="11"/>
  <c r="CK128" i="11"/>
  <c r="CQ128" i="11"/>
  <c r="CW128" i="11"/>
  <c r="DC128" i="11"/>
  <c r="DI128" i="11"/>
  <c r="K129" i="11"/>
  <c r="O129" i="11"/>
  <c r="S129" i="11"/>
  <c r="W129" i="11"/>
  <c r="AA129" i="11"/>
  <c r="AE129" i="11"/>
  <c r="AI129" i="11"/>
  <c r="AM129" i="11"/>
  <c r="AQ129" i="11"/>
  <c r="AU129" i="11"/>
  <c r="BG129" i="11"/>
  <c r="BM129" i="11"/>
  <c r="BS129" i="11"/>
  <c r="BY129" i="11"/>
  <c r="CE129" i="11"/>
  <c r="CK129" i="11"/>
  <c r="CQ129" i="11"/>
  <c r="CW129" i="11"/>
  <c r="DC129" i="11"/>
  <c r="DI129" i="11"/>
  <c r="K130" i="11"/>
  <c r="BI130" i="11" s="1"/>
  <c r="O130" i="11"/>
  <c r="BO130" i="11" s="1"/>
  <c r="S130" i="11"/>
  <c r="BU130" i="11" s="1"/>
  <c r="W130" i="11"/>
  <c r="CA130" i="11" s="1"/>
  <c r="AA130" i="11"/>
  <c r="CG130" i="11" s="1"/>
  <c r="AE130" i="11"/>
  <c r="CM130" i="11" s="1"/>
  <c r="AI130" i="11"/>
  <c r="CS130" i="11" s="1"/>
  <c r="AM130" i="11"/>
  <c r="CY130" i="11" s="1"/>
  <c r="AQ130" i="11"/>
  <c r="DE130" i="11" s="1"/>
  <c r="AU130" i="11"/>
  <c r="DK130" i="11" s="1"/>
  <c r="BG130" i="11"/>
  <c r="BM130" i="11"/>
  <c r="BS130" i="11"/>
  <c r="BY130" i="11"/>
  <c r="CE130" i="11"/>
  <c r="CK130" i="11"/>
  <c r="CQ130" i="11"/>
  <c r="CW130" i="11"/>
  <c r="DC130" i="11"/>
  <c r="DI130" i="11"/>
  <c r="BX8" i="11"/>
  <c r="BZ8" i="11" s="1"/>
  <c r="BV8" i="11"/>
  <c r="P11" i="11"/>
  <c r="BJ13" i="11"/>
  <c r="P13" i="11"/>
  <c r="BJ14" i="11"/>
  <c r="P14" i="11"/>
  <c r="BJ17" i="11"/>
  <c r="P17" i="11"/>
  <c r="P18" i="11"/>
  <c r="BJ19" i="11"/>
  <c r="P19" i="11"/>
  <c r="BJ24" i="11"/>
  <c r="P24" i="11"/>
  <c r="BJ25" i="11"/>
  <c r="P25" i="11"/>
  <c r="P28" i="11"/>
  <c r="BN28" i="11"/>
  <c r="BJ29" i="11"/>
  <c r="BW8" i="11"/>
  <c r="BY8" i="11" s="1"/>
  <c r="BU8" i="11"/>
  <c r="BI11" i="11"/>
  <c r="O11" i="11"/>
  <c r="BM11" i="11"/>
  <c r="BI12" i="11"/>
  <c r="O12" i="11"/>
  <c r="BI13" i="11"/>
  <c r="O13" i="11"/>
  <c r="BI14" i="11"/>
  <c r="O14" i="11"/>
  <c r="O20" i="11"/>
  <c r="BI22" i="11"/>
  <c r="BI28" i="11"/>
  <c r="O28" i="11"/>
  <c r="P30" i="11"/>
  <c r="P32" i="11"/>
  <c r="BJ33" i="11"/>
  <c r="P33" i="11"/>
  <c r="BJ36" i="11"/>
  <c r="P36" i="11"/>
  <c r="BJ40" i="11"/>
  <c r="P40" i="11"/>
  <c r="BJ43" i="11"/>
  <c r="P43" i="11"/>
  <c r="BJ56" i="11"/>
  <c r="BP8" i="11"/>
  <c r="E15" i="11"/>
  <c r="E16" i="11"/>
  <c r="BB20" i="11"/>
  <c r="BB21" i="11"/>
  <c r="DT24" i="11"/>
  <c r="DU29" i="11"/>
  <c r="BA29" i="11"/>
  <c r="BI30" i="11"/>
  <c r="O30" i="11"/>
  <c r="BI36" i="11"/>
  <c r="BM39" i="11"/>
  <c r="BI42" i="11"/>
  <c r="O42" i="11"/>
  <c r="BI43" i="11"/>
  <c r="O43" i="11"/>
  <c r="BI44" i="11"/>
  <c r="O44" i="11"/>
  <c r="BI45" i="11"/>
  <c r="BI53" i="11"/>
  <c r="O53" i="11"/>
  <c r="BI55" i="11"/>
  <c r="O55" i="11"/>
  <c r="BI56" i="11"/>
  <c r="O56" i="11"/>
  <c r="BO8" i="11"/>
  <c r="BA14" i="11"/>
  <c r="BA22" i="11"/>
  <c r="DS24" i="11"/>
  <c r="BA28" i="11"/>
  <c r="P79" i="11"/>
  <c r="BN79" i="11"/>
  <c r="BJ82" i="11"/>
  <c r="BN82" i="11"/>
  <c r="BH81" i="11"/>
  <c r="BJ85" i="11"/>
  <c r="P85" i="11"/>
  <c r="BJ92" i="11"/>
  <c r="P92" i="11"/>
  <c r="BJ93" i="11"/>
  <c r="P93" i="11"/>
  <c r="BB32" i="11"/>
  <c r="BB39" i="11"/>
  <c r="BB46" i="11"/>
  <c r="BB48" i="11"/>
  <c r="BB50" i="11"/>
  <c r="BB51" i="11"/>
  <c r="BB52" i="11"/>
  <c r="BB54" i="11"/>
  <c r="BB56" i="11"/>
  <c r="BB61" i="11"/>
  <c r="BB63" i="11"/>
  <c r="DT63" i="11"/>
  <c r="DT64" i="11"/>
  <c r="DT65" i="11"/>
  <c r="DT66" i="11"/>
  <c r="DT67" i="11"/>
  <c r="DT68" i="11"/>
  <c r="DT69" i="11"/>
  <c r="DT70" i="11"/>
  <c r="DT71" i="11"/>
  <c r="DT72" i="11"/>
  <c r="BM79" i="11"/>
  <c r="BG78" i="11"/>
  <c r="BI80" i="11"/>
  <c r="O82" i="11"/>
  <c r="BI83" i="11"/>
  <c r="O83" i="11"/>
  <c r="BI93" i="11"/>
  <c r="O93" i="11"/>
  <c r="BA32" i="11"/>
  <c r="BA45" i="11"/>
  <c r="BA51" i="11"/>
  <c r="BA57" i="11"/>
  <c r="BA61" i="11"/>
  <c r="BA62" i="11"/>
  <c r="DS63" i="11"/>
  <c r="DS64" i="11"/>
  <c r="DS65" i="11"/>
  <c r="DS66" i="11"/>
  <c r="DS67" i="11"/>
  <c r="DS68" i="11"/>
  <c r="DS69" i="11"/>
  <c r="DS70" i="11"/>
  <c r="DS71" i="11"/>
  <c r="DS72" i="11"/>
  <c r="P97" i="11"/>
  <c r="BJ100" i="11"/>
  <c r="P100" i="11"/>
  <c r="BP106" i="11"/>
  <c r="T106" i="11"/>
  <c r="BB79" i="11"/>
  <c r="L86" i="11"/>
  <c r="L84" i="11" s="1"/>
  <c r="BJ84" i="11" s="1"/>
  <c r="BB86" i="11"/>
  <c r="BH86" i="11"/>
  <c r="DT86" i="11"/>
  <c r="DV86" i="11"/>
  <c r="BI96" i="11"/>
  <c r="O96" i="11"/>
  <c r="BI98" i="11"/>
  <c r="BO107" i="11"/>
  <c r="S107" i="11"/>
  <c r="BA83" i="11"/>
  <c r="BA85" i="11"/>
  <c r="K86" i="11"/>
  <c r="BA86" i="11"/>
  <c r="BG86" i="11"/>
  <c r="DS86" i="11"/>
  <c r="DU86" i="11"/>
  <c r="BA92" i="11"/>
  <c r="DS112" i="11"/>
  <c r="DS111" i="11"/>
  <c r="DS110" i="11"/>
  <c r="DS109" i="11"/>
  <c r="DS108" i="11"/>
  <c r="BA108" i="11"/>
  <c r="BP111" i="11"/>
  <c r="T111" i="11"/>
  <c r="DS96" i="11"/>
  <c r="DS97" i="11"/>
  <c r="DS98" i="11"/>
  <c r="BA99" i="11"/>
  <c r="DS99" i="11"/>
  <c r="BA100" i="11"/>
  <c r="BA102" i="11"/>
  <c r="BA104" i="11"/>
  <c r="BA105" i="11"/>
  <c r="DS105" i="11"/>
  <c r="BA106" i="11"/>
  <c r="DS106" i="11"/>
  <c r="DS107" i="11"/>
  <c r="DT112" i="11"/>
  <c r="DT111" i="11"/>
  <c r="DT110" i="11"/>
  <c r="DT109" i="11"/>
  <c r="DT108" i="11"/>
  <c r="DV108" i="11"/>
  <c r="BB108" i="11"/>
  <c r="BO109" i="11"/>
  <c r="S109" i="11"/>
  <c r="DT96" i="11"/>
  <c r="DT97" i="11"/>
  <c r="DT98" i="11"/>
  <c r="DT99" i="11"/>
  <c r="BB100" i="11"/>
  <c r="BB102" i="11"/>
  <c r="BB105" i="11"/>
  <c r="DT105" i="11"/>
  <c r="DT106" i="11"/>
  <c r="BB107" i="11"/>
  <c r="DT107" i="11"/>
  <c r="P108" i="11"/>
  <c r="BG119" i="11"/>
  <c r="BM119" i="11"/>
  <c r="BS119" i="11"/>
  <c r="BY119" i="11"/>
  <c r="CE119" i="11"/>
  <c r="CK119" i="11"/>
  <c r="CQ119" i="11"/>
  <c r="CW119" i="11"/>
  <c r="DC119" i="11"/>
  <c r="BB109" i="11"/>
  <c r="BB111" i="11"/>
  <c r="BB112" i="11"/>
  <c r="AN119" i="11"/>
  <c r="AV119" i="11"/>
  <c r="BN119" i="11"/>
  <c r="BZ119" i="11"/>
  <c r="CL119" i="11"/>
  <c r="CX119" i="11"/>
  <c r="DJ119" i="11"/>
  <c r="AR119" i="11"/>
  <c r="BH119" i="11"/>
  <c r="BT119" i="11"/>
  <c r="CF119" i="11"/>
  <c r="CR119" i="11"/>
  <c r="DD119" i="11"/>
  <c r="DI119" i="11"/>
  <c r="V37" i="11" l="1"/>
  <c r="BQ9" i="11"/>
  <c r="C9" i="11"/>
  <c r="BB33" i="11"/>
  <c r="BB25" i="11"/>
  <c r="BI40" i="11"/>
  <c r="P53" i="11"/>
  <c r="T53" i="11" s="1"/>
  <c r="BI15" i="11"/>
  <c r="BA110" i="11"/>
  <c r="S110" i="11"/>
  <c r="BU110" i="11" s="1"/>
  <c r="BA13" i="11"/>
  <c r="CU37" i="11"/>
  <c r="BI100" i="11"/>
  <c r="BJ95" i="11"/>
  <c r="P31" i="11"/>
  <c r="BP31" i="11" s="1"/>
  <c r="DB9" i="11"/>
  <c r="DB74" i="11" s="1"/>
  <c r="BI79" i="11"/>
  <c r="O32" i="11"/>
  <c r="S32" i="11" s="1"/>
  <c r="BA21" i="11"/>
  <c r="BB98" i="11"/>
  <c r="DV69" i="11"/>
  <c r="BR37" i="11"/>
  <c r="BR87" i="11" s="1"/>
  <c r="BR77" i="11" s="1"/>
  <c r="R9" i="11"/>
  <c r="BB97" i="11"/>
  <c r="DU65" i="11"/>
  <c r="BI58" i="11"/>
  <c r="P34" i="11"/>
  <c r="AS37" i="11"/>
  <c r="DS94" i="11"/>
  <c r="DU69" i="11"/>
  <c r="DV65" i="11"/>
  <c r="BB30" i="11"/>
  <c r="BI33" i="11"/>
  <c r="BB23" i="11"/>
  <c r="O21" i="11"/>
  <c r="BG101" i="11"/>
  <c r="BA103" i="11"/>
  <c r="BO102" i="11"/>
  <c r="BA20" i="11"/>
  <c r="BI16" i="11"/>
  <c r="P96" i="11"/>
  <c r="BP96" i="11" s="1"/>
  <c r="CC9" i="11"/>
  <c r="BI61" i="11"/>
  <c r="O31" i="11"/>
  <c r="BJ55" i="11"/>
  <c r="N37" i="11"/>
  <c r="N74" i="11" s="1"/>
  <c r="BB18" i="11"/>
  <c r="P21" i="11"/>
  <c r="BP21" i="11" s="1"/>
  <c r="BA112" i="11"/>
  <c r="O39" i="11"/>
  <c r="BB17" i="11"/>
  <c r="DH9" i="11"/>
  <c r="BE37" i="11"/>
  <c r="BB106" i="11"/>
  <c r="BI99" i="11"/>
  <c r="BJ42" i="11"/>
  <c r="P98" i="11"/>
  <c r="BP98" i="11" s="1"/>
  <c r="BB44" i="11"/>
  <c r="F78" i="11"/>
  <c r="DV78" i="11" s="1"/>
  <c r="BB55" i="11"/>
  <c r="O18" i="11"/>
  <c r="BB82" i="11"/>
  <c r="BB80" i="11"/>
  <c r="BB35" i="11"/>
  <c r="R37" i="11"/>
  <c r="BB96" i="11"/>
  <c r="O19" i="11"/>
  <c r="CJ9" i="11"/>
  <c r="AP9" i="11"/>
  <c r="AP87" i="11" s="1"/>
  <c r="AP77" i="11" s="1"/>
  <c r="CO37" i="11"/>
  <c r="M37" i="11"/>
  <c r="BB95" i="11"/>
  <c r="BA59" i="11"/>
  <c r="BA31" i="11"/>
  <c r="BB12" i="11"/>
  <c r="DR9" i="11"/>
  <c r="BO111" i="11"/>
  <c r="BB22" i="11"/>
  <c r="P99" i="11"/>
  <c r="BP99" i="11" s="1"/>
  <c r="BB57" i="11"/>
  <c r="P61" i="11"/>
  <c r="BP61" i="11" s="1"/>
  <c r="J87" i="11"/>
  <c r="O26" i="11"/>
  <c r="BA111" i="11"/>
  <c r="BA96" i="11"/>
  <c r="O85" i="11"/>
  <c r="BO85" i="11" s="1"/>
  <c r="O17" i="11"/>
  <c r="S17" i="11" s="1"/>
  <c r="P26" i="11"/>
  <c r="BP26" i="11" s="1"/>
  <c r="K101" i="11"/>
  <c r="BI101" i="11" s="1"/>
  <c r="BA97" i="11"/>
  <c r="BB60" i="11"/>
  <c r="BB31" i="11"/>
  <c r="BA42" i="11"/>
  <c r="BB42" i="11"/>
  <c r="M9" i="11"/>
  <c r="M74" i="11" s="1"/>
  <c r="M75" i="11" s="1"/>
  <c r="AD37" i="11"/>
  <c r="L78" i="11"/>
  <c r="AK37" i="11"/>
  <c r="BA41" i="11"/>
  <c r="DH37" i="11"/>
  <c r="BA58" i="11"/>
  <c r="BO105" i="11"/>
  <c r="T104" i="11"/>
  <c r="BV104" i="11" s="1"/>
  <c r="BA33" i="11"/>
  <c r="BG81" i="11"/>
  <c r="DV72" i="11"/>
  <c r="DV68" i="11"/>
  <c r="DV64" i="11"/>
  <c r="P44" i="11"/>
  <c r="BP44" i="11" s="1"/>
  <c r="P39" i="11"/>
  <c r="T39" i="11" s="1"/>
  <c r="O25" i="11"/>
  <c r="BO25" i="11" s="1"/>
  <c r="P23" i="11"/>
  <c r="BP23" i="11" s="1"/>
  <c r="BK37" i="11"/>
  <c r="DQ37" i="11"/>
  <c r="DU72" i="11"/>
  <c r="S104" i="11"/>
  <c r="BU104" i="11" s="1"/>
  <c r="BB83" i="11"/>
  <c r="DU71" i="11"/>
  <c r="DU67" i="11"/>
  <c r="DU63" i="11"/>
  <c r="BA54" i="11"/>
  <c r="BB43" i="11"/>
  <c r="BA26" i="11"/>
  <c r="BM47" i="11"/>
  <c r="BJ22" i="11"/>
  <c r="CU9" i="11"/>
  <c r="CU74" i="11" s="1"/>
  <c r="AL9" i="11"/>
  <c r="AL87" i="11" s="1"/>
  <c r="AL77" i="11" s="1"/>
  <c r="BK9" i="11"/>
  <c r="L49" i="11"/>
  <c r="BJ49" i="11" s="1"/>
  <c r="DU64" i="11"/>
  <c r="S103" i="11"/>
  <c r="T103" i="11"/>
  <c r="BV103" i="11" s="1"/>
  <c r="DV71" i="11"/>
  <c r="DV67" i="11"/>
  <c r="BB53" i="11"/>
  <c r="BA25" i="11"/>
  <c r="BA12" i="11"/>
  <c r="BB19" i="11"/>
  <c r="O23" i="11"/>
  <c r="BD9" i="11"/>
  <c r="BD74" i="11" s="1"/>
  <c r="AT9" i="11"/>
  <c r="AT74" i="11" s="1"/>
  <c r="S112" i="11"/>
  <c r="BU112" i="11" s="1"/>
  <c r="T109" i="11"/>
  <c r="BV109" i="11" s="1"/>
  <c r="BB93" i="11"/>
  <c r="T102" i="11"/>
  <c r="DU70" i="11"/>
  <c r="DU66" i="11"/>
  <c r="BA63" i="11"/>
  <c r="BB41" i="11"/>
  <c r="G9" i="11"/>
  <c r="G74" i="11" s="1"/>
  <c r="G75" i="11" s="1"/>
  <c r="Y9" i="11"/>
  <c r="Y74" i="11" s="1"/>
  <c r="Y75" i="11" s="1"/>
  <c r="DP37" i="11"/>
  <c r="DO37" i="11"/>
  <c r="DU68" i="11"/>
  <c r="DV73" i="11"/>
  <c r="BW37" i="11"/>
  <c r="BA98" i="11"/>
  <c r="BA93" i="11"/>
  <c r="BA43" i="11"/>
  <c r="DV70" i="11"/>
  <c r="DV66" i="11"/>
  <c r="BH78" i="11"/>
  <c r="BA24" i="11"/>
  <c r="F81" i="11"/>
  <c r="F10" i="11"/>
  <c r="BB10" i="11" s="1"/>
  <c r="AK9" i="11"/>
  <c r="AK74" i="11" s="1"/>
  <c r="AK75" i="11" s="1"/>
  <c r="BM101" i="11"/>
  <c r="BS101" i="11" s="1"/>
  <c r="BY101" i="11" s="1"/>
  <c r="CE101" i="11" s="1"/>
  <c r="CK101" i="11" s="1"/>
  <c r="CQ101" i="11" s="1"/>
  <c r="CW101" i="11" s="1"/>
  <c r="DC101" i="11" s="1"/>
  <c r="DI101" i="11" s="1"/>
  <c r="AX87" i="11"/>
  <c r="AX77" i="11" s="1"/>
  <c r="BH38" i="11"/>
  <c r="BA109" i="11"/>
  <c r="T110" i="11"/>
  <c r="S106" i="11"/>
  <c r="W106" i="11" s="1"/>
  <c r="T107" i="11"/>
  <c r="BV107" i="11" s="1"/>
  <c r="K81" i="11"/>
  <c r="BI81" i="11" s="1"/>
  <c r="P83" i="11"/>
  <c r="T83" i="11" s="1"/>
  <c r="BB28" i="11"/>
  <c r="BG10" i="11"/>
  <c r="AH9" i="11"/>
  <c r="O95" i="11"/>
  <c r="S95" i="11" s="1"/>
  <c r="BJ83" i="11"/>
  <c r="CD87" i="11"/>
  <c r="CD77" i="11" s="1"/>
  <c r="BA53" i="11"/>
  <c r="BA40" i="11"/>
  <c r="J77" i="11"/>
  <c r="BB59" i="11"/>
  <c r="BL9" i="11"/>
  <c r="DR37" i="11"/>
  <c r="DR87" i="11" s="1"/>
  <c r="DR77" i="11" s="1"/>
  <c r="BH10" i="11"/>
  <c r="BB110" i="11"/>
  <c r="BA82" i="11"/>
  <c r="T105" i="11"/>
  <c r="BV105" i="11" s="1"/>
  <c r="BI92" i="11"/>
  <c r="BB36" i="11"/>
  <c r="BA19" i="11"/>
  <c r="O35" i="11"/>
  <c r="BB24" i="11"/>
  <c r="P35" i="11"/>
  <c r="BB29" i="11"/>
  <c r="L10" i="11"/>
  <c r="BJ10" i="11" s="1"/>
  <c r="BQ74" i="11"/>
  <c r="V9" i="11"/>
  <c r="V87" i="11" s="1"/>
  <c r="V77" i="11" s="1"/>
  <c r="BL37" i="11"/>
  <c r="AW37" i="11"/>
  <c r="K78" i="11"/>
  <c r="BI78" i="11" s="1"/>
  <c r="DM37" i="11"/>
  <c r="AK76" i="11"/>
  <c r="DN9" i="11"/>
  <c r="DN87" i="11" s="1"/>
  <c r="DN77" i="11" s="1"/>
  <c r="BB103" i="11"/>
  <c r="BB92" i="11"/>
  <c r="BA48" i="11"/>
  <c r="BA35" i="11"/>
  <c r="BA18" i="11"/>
  <c r="P45" i="11"/>
  <c r="BP45" i="11" s="1"/>
  <c r="O29" i="11"/>
  <c r="S29" i="11" s="1"/>
  <c r="P20" i="11"/>
  <c r="BP20" i="11" s="1"/>
  <c r="AO37" i="11"/>
  <c r="U37" i="11"/>
  <c r="D37" i="11"/>
  <c r="T112" i="11"/>
  <c r="BV112" i="11" s="1"/>
  <c r="BB34" i="11"/>
  <c r="O34" i="11"/>
  <c r="BO34" i="11" s="1"/>
  <c r="BB14" i="11"/>
  <c r="P58" i="11"/>
  <c r="BP58" i="11" s="1"/>
  <c r="CP9" i="11"/>
  <c r="CP87" i="11" s="1"/>
  <c r="CP77" i="11" s="1"/>
  <c r="DH87" i="11"/>
  <c r="DH77" i="11" s="1"/>
  <c r="BH47" i="11"/>
  <c r="BH37" i="11" s="1"/>
  <c r="AG37" i="11"/>
  <c r="AH87" i="11"/>
  <c r="AH77" i="11" s="1"/>
  <c r="S108" i="11"/>
  <c r="BU108" i="11" s="1"/>
  <c r="O97" i="11"/>
  <c r="BO97" i="11" s="1"/>
  <c r="BA46" i="11"/>
  <c r="BB45" i="11"/>
  <c r="O101" i="11"/>
  <c r="S101" i="11" s="1"/>
  <c r="BG27" i="11"/>
  <c r="O24" i="11"/>
  <c r="BO24" i="11" s="1"/>
  <c r="DO9" i="11"/>
  <c r="DO74" i="11" s="1"/>
  <c r="K10" i="11"/>
  <c r="BI10" i="11" s="1"/>
  <c r="DQ9" i="11"/>
  <c r="F94" i="11"/>
  <c r="DV94" i="11" s="1"/>
  <c r="DB37" i="11"/>
  <c r="BF37" i="11"/>
  <c r="BF87" i="11" s="1"/>
  <c r="BF77" i="11" s="1"/>
  <c r="K49" i="11"/>
  <c r="BI49" i="11" s="1"/>
  <c r="AZ9" i="11"/>
  <c r="DT9" i="11" s="1"/>
  <c r="DM9" i="11"/>
  <c r="AS9" i="11"/>
  <c r="BR74" i="11"/>
  <c r="AD9" i="11"/>
  <c r="CV87" i="11"/>
  <c r="CV77" i="11" s="1"/>
  <c r="BX87" i="11"/>
  <c r="BX77" i="11" s="1"/>
  <c r="DA37" i="11"/>
  <c r="L101" i="11"/>
  <c r="BJ101" i="11" s="1"/>
  <c r="CD74" i="11"/>
  <c r="CJ87" i="11"/>
  <c r="CJ77" i="11" s="1"/>
  <c r="R87" i="11"/>
  <c r="R77" i="11" s="1"/>
  <c r="CC37" i="11"/>
  <c r="AW9" i="11"/>
  <c r="AO116" i="8"/>
  <c r="L116" i="8"/>
  <c r="M116" i="8" s="1"/>
  <c r="O116" i="8" s="1"/>
  <c r="P116" i="8" s="1"/>
  <c r="BV116" i="8" s="1"/>
  <c r="DU102" i="11"/>
  <c r="E101" i="11"/>
  <c r="BB99" i="11"/>
  <c r="C118" i="11"/>
  <c r="BA95" i="11"/>
  <c r="BA79" i="11"/>
  <c r="BH84" i="11"/>
  <c r="BA44" i="11"/>
  <c r="BA34" i="11"/>
  <c r="BA30" i="11"/>
  <c r="O80" i="11"/>
  <c r="O78" i="11" s="1"/>
  <c r="BA17" i="11"/>
  <c r="K38" i="11"/>
  <c r="K37" i="11" s="1"/>
  <c r="BI37" i="11" s="1"/>
  <c r="BB26" i="11"/>
  <c r="BB11" i="11"/>
  <c r="L38" i="11"/>
  <c r="BJ38" i="11" s="1"/>
  <c r="K27" i="11"/>
  <c r="BI27" i="11" s="1"/>
  <c r="L27" i="11"/>
  <c r="BJ27" i="11" s="1"/>
  <c r="DH74" i="11"/>
  <c r="CJ74" i="11"/>
  <c r="Z9" i="11"/>
  <c r="J74" i="11"/>
  <c r="D9" i="11"/>
  <c r="C37" i="11"/>
  <c r="C87" i="11" s="1"/>
  <c r="C77" i="11" s="1"/>
  <c r="AC37" i="11"/>
  <c r="DV102" i="11"/>
  <c r="F101" i="11"/>
  <c r="DU85" i="11"/>
  <c r="E84" i="11"/>
  <c r="BG49" i="11"/>
  <c r="BG47" i="11" s="1"/>
  <c r="BC47" i="11"/>
  <c r="BC37" i="11" s="1"/>
  <c r="DR74" i="11"/>
  <c r="V74" i="11"/>
  <c r="DS49" i="11"/>
  <c r="AY47" i="11"/>
  <c r="DS47" i="11" s="1"/>
  <c r="DV40" i="11"/>
  <c r="F38" i="11"/>
  <c r="BB104" i="11"/>
  <c r="BA107" i="11"/>
  <c r="BB78" i="11"/>
  <c r="BQ87" i="11"/>
  <c r="BQ77" i="11" s="1"/>
  <c r="BA60" i="11"/>
  <c r="BA56" i="11"/>
  <c r="BA52" i="11"/>
  <c r="BA36" i="11"/>
  <c r="N87" i="11"/>
  <c r="N77" i="11" s="1"/>
  <c r="BB62" i="11"/>
  <c r="BB58" i="11"/>
  <c r="P80" i="11"/>
  <c r="T80" i="11" s="1"/>
  <c r="BA23" i="11"/>
  <c r="BG38" i="11"/>
  <c r="BB13" i="11"/>
  <c r="DT10" i="11"/>
  <c r="BN47" i="11"/>
  <c r="BH27" i="11"/>
  <c r="P12" i="11"/>
  <c r="T12" i="11" s="1"/>
  <c r="DP9" i="11"/>
  <c r="CV74" i="11"/>
  <c r="BX74" i="11"/>
  <c r="AX74" i="11"/>
  <c r="AH74" i="11"/>
  <c r="R74" i="11"/>
  <c r="L94" i="11"/>
  <c r="AZ37" i="11"/>
  <c r="H47" i="11"/>
  <c r="L47" i="11" s="1"/>
  <c r="BJ47" i="11" s="1"/>
  <c r="DV85" i="11"/>
  <c r="F84" i="11"/>
  <c r="BN101" i="11"/>
  <c r="BT101" i="11" s="1"/>
  <c r="BZ101" i="11" s="1"/>
  <c r="CF101" i="11" s="1"/>
  <c r="CL101" i="11" s="1"/>
  <c r="CR101" i="11" s="1"/>
  <c r="CX101" i="11" s="1"/>
  <c r="DD101" i="11" s="1"/>
  <c r="DJ101" i="11" s="1"/>
  <c r="F49" i="11"/>
  <c r="BC9" i="11"/>
  <c r="BW9" i="11"/>
  <c r="AO9" i="11"/>
  <c r="I9" i="11"/>
  <c r="DG9" i="11"/>
  <c r="AG9" i="11"/>
  <c r="CI9" i="11"/>
  <c r="Q9" i="11"/>
  <c r="DU50" i="11"/>
  <c r="E49" i="11"/>
  <c r="M115" i="8"/>
  <c r="O115" i="8" s="1"/>
  <c r="P115" i="8" s="1"/>
  <c r="BV115" i="8" s="1"/>
  <c r="DT94" i="11"/>
  <c r="AZ91" i="11"/>
  <c r="DT91" i="11" s="1"/>
  <c r="K94" i="11"/>
  <c r="G91" i="11"/>
  <c r="BH94" i="11"/>
  <c r="BD91" i="11"/>
  <c r="E94" i="11"/>
  <c r="BA94" i="11" s="1"/>
  <c r="BG94" i="11"/>
  <c r="BC91" i="11"/>
  <c r="DS38" i="11"/>
  <c r="BA11" i="11"/>
  <c r="H9" i="11"/>
  <c r="AY9" i="11"/>
  <c r="DA9" i="11"/>
  <c r="CO9" i="11"/>
  <c r="BE9" i="11"/>
  <c r="AC9" i="11"/>
  <c r="U9" i="11"/>
  <c r="F27" i="11"/>
  <c r="H91" i="11"/>
  <c r="DU39" i="11"/>
  <c r="E38" i="11"/>
  <c r="DU83" i="11"/>
  <c r="E81" i="11"/>
  <c r="DU80" i="11"/>
  <c r="E78" i="11"/>
  <c r="DU55" i="11"/>
  <c r="DU28" i="11"/>
  <c r="E27" i="11"/>
  <c r="BP108" i="11"/>
  <c r="T108" i="11"/>
  <c r="BU111" i="11"/>
  <c r="W111" i="11"/>
  <c r="BU109" i="11"/>
  <c r="W109" i="11"/>
  <c r="BV111" i="11"/>
  <c r="X111" i="11"/>
  <c r="BV110" i="11"/>
  <c r="X110" i="11"/>
  <c r="BM86" i="11"/>
  <c r="BM84" i="11" s="1"/>
  <c r="BI86" i="11"/>
  <c r="O86" i="11"/>
  <c r="BU102" i="11"/>
  <c r="W102" i="11"/>
  <c r="BO100" i="11"/>
  <c r="S100" i="11"/>
  <c r="BO99" i="11"/>
  <c r="S99" i="11"/>
  <c r="BO98" i="11"/>
  <c r="S98" i="11"/>
  <c r="BO96" i="11"/>
  <c r="S96" i="11"/>
  <c r="BO95" i="11"/>
  <c r="BV106" i="11"/>
  <c r="X106" i="11"/>
  <c r="BO93" i="11"/>
  <c r="S93" i="11"/>
  <c r="BS85" i="11"/>
  <c r="BO83" i="11"/>
  <c r="S83" i="11"/>
  <c r="BS79" i="11"/>
  <c r="BM78" i="11"/>
  <c r="BO79" i="11"/>
  <c r="S79" i="11"/>
  <c r="BT92" i="11"/>
  <c r="BP92" i="11"/>
  <c r="T92" i="11"/>
  <c r="BT82" i="11"/>
  <c r="BN81" i="11"/>
  <c r="BP82" i="11"/>
  <c r="T82" i="11"/>
  <c r="BJ78" i="11"/>
  <c r="BY55" i="11"/>
  <c r="BS47" i="11"/>
  <c r="BS39" i="11"/>
  <c r="BM38" i="11"/>
  <c r="BO39" i="11"/>
  <c r="S39" i="11"/>
  <c r="O38" i="11"/>
  <c r="BO36" i="11"/>
  <c r="S36" i="11"/>
  <c r="BO35" i="11"/>
  <c r="S35" i="11"/>
  <c r="BO33" i="11"/>
  <c r="S33" i="11"/>
  <c r="BO31" i="11"/>
  <c r="S31" i="11"/>
  <c r="BO30" i="11"/>
  <c r="S30" i="11"/>
  <c r="E10" i="11"/>
  <c r="DU15" i="11"/>
  <c r="BA15" i="11"/>
  <c r="T58" i="11"/>
  <c r="BP56" i="11"/>
  <c r="T56" i="11"/>
  <c r="BP55" i="11"/>
  <c r="T55" i="11"/>
  <c r="BP53" i="11"/>
  <c r="T44" i="11"/>
  <c r="BP43" i="11"/>
  <c r="T43" i="11"/>
  <c r="BP42" i="11"/>
  <c r="T42" i="11"/>
  <c r="BP40" i="11"/>
  <c r="T40" i="11"/>
  <c r="BS28" i="11"/>
  <c r="BM27" i="11"/>
  <c r="BO28" i="11"/>
  <c r="S28" i="11"/>
  <c r="BO26" i="11"/>
  <c r="S26" i="11"/>
  <c r="BO23" i="11"/>
  <c r="S23" i="11"/>
  <c r="BO22" i="11"/>
  <c r="S22" i="11"/>
  <c r="BO21" i="11"/>
  <c r="S21" i="11"/>
  <c r="BO20" i="11"/>
  <c r="S20" i="11"/>
  <c r="BO19" i="11"/>
  <c r="S19" i="11"/>
  <c r="BO18" i="11"/>
  <c r="S18" i="11"/>
  <c r="BO14" i="11"/>
  <c r="S14" i="11"/>
  <c r="BO13" i="11"/>
  <c r="S13" i="11"/>
  <c r="BO12" i="11"/>
  <c r="S12" i="11"/>
  <c r="CC8" i="11"/>
  <c r="CE8" i="11" s="1"/>
  <c r="CA8" i="11"/>
  <c r="BT28" i="11"/>
  <c r="BN27" i="11"/>
  <c r="BP28" i="11"/>
  <c r="T28" i="11"/>
  <c r="BP25" i="11"/>
  <c r="T25" i="11"/>
  <c r="BP24" i="11"/>
  <c r="T24" i="11"/>
  <c r="BP22" i="11"/>
  <c r="T22" i="11"/>
  <c r="T20" i="11"/>
  <c r="BP19" i="11"/>
  <c r="T19" i="11"/>
  <c r="BP18" i="11"/>
  <c r="T18" i="11"/>
  <c r="BP17" i="11"/>
  <c r="T17" i="11"/>
  <c r="BP14" i="11"/>
  <c r="T14" i="11"/>
  <c r="BP13" i="11"/>
  <c r="T13" i="11"/>
  <c r="CD8" i="11"/>
  <c r="CF8" i="11" s="1"/>
  <c r="CB8" i="11"/>
  <c r="P101" i="11"/>
  <c r="BU107" i="11"/>
  <c r="W107" i="11"/>
  <c r="BU105" i="11"/>
  <c r="W105" i="11"/>
  <c r="BU103" i="11"/>
  <c r="W103" i="11"/>
  <c r="BO101" i="11"/>
  <c r="BN86" i="11"/>
  <c r="BN84" i="11" s="1"/>
  <c r="BJ86" i="11"/>
  <c r="P86" i="11"/>
  <c r="P84" i="11" s="1"/>
  <c r="BP84" i="11" s="1"/>
  <c r="BV102" i="11"/>
  <c r="X102" i="11"/>
  <c r="BP100" i="11"/>
  <c r="T100" i="11"/>
  <c r="BP97" i="11"/>
  <c r="T97" i="11"/>
  <c r="BP95" i="11"/>
  <c r="T95" i="11"/>
  <c r="BS92" i="11"/>
  <c r="BO92" i="11"/>
  <c r="S92" i="11"/>
  <c r="BS82" i="11"/>
  <c r="BM81" i="11"/>
  <c r="BO82" i="11"/>
  <c r="S82" i="11"/>
  <c r="O81" i="11"/>
  <c r="BO81" i="11" s="1"/>
  <c r="BP93" i="11"/>
  <c r="T93" i="11"/>
  <c r="BT85" i="11"/>
  <c r="BP85" i="11"/>
  <c r="T85" i="11"/>
  <c r="BT79" i="11"/>
  <c r="BN78" i="11"/>
  <c r="BP79" i="11"/>
  <c r="T79" i="11"/>
  <c r="BO61" i="11"/>
  <c r="S61" i="11"/>
  <c r="BO58" i="11"/>
  <c r="S58" i="11"/>
  <c r="BO56" i="11"/>
  <c r="S56" i="11"/>
  <c r="BO55" i="11"/>
  <c r="S55" i="11"/>
  <c r="O47" i="11"/>
  <c r="BO47" i="11" s="1"/>
  <c r="BO53" i="11"/>
  <c r="S53" i="11"/>
  <c r="BO45" i="11"/>
  <c r="S45" i="11"/>
  <c r="BO44" i="11"/>
  <c r="S44" i="11"/>
  <c r="BO43" i="11"/>
  <c r="S43" i="11"/>
  <c r="BO42" i="11"/>
  <c r="S42" i="11"/>
  <c r="BO40" i="11"/>
  <c r="S40" i="11"/>
  <c r="BI38" i="11"/>
  <c r="DU16" i="11"/>
  <c r="BA16" i="11"/>
  <c r="BZ55" i="11"/>
  <c r="BT47" i="11"/>
  <c r="BT39" i="11"/>
  <c r="BN38" i="11"/>
  <c r="BP36" i="11"/>
  <c r="T36" i="11"/>
  <c r="BP34" i="11"/>
  <c r="T34" i="11"/>
  <c r="BP33" i="11"/>
  <c r="T33" i="11"/>
  <c r="BP32" i="11"/>
  <c r="T32" i="11"/>
  <c r="BP30" i="11"/>
  <c r="T30" i="11"/>
  <c r="BS11" i="11"/>
  <c r="BM10" i="11"/>
  <c r="BO11" i="11"/>
  <c r="S11" i="11"/>
  <c r="BP29" i="11"/>
  <c r="T29" i="11"/>
  <c r="BO16" i="11"/>
  <c r="S16" i="11"/>
  <c r="BO15" i="11"/>
  <c r="S15" i="11"/>
  <c r="BT11" i="11"/>
  <c r="BN10" i="11"/>
  <c r="BP11" i="11"/>
  <c r="T11" i="11"/>
  <c r="BG84" i="11"/>
  <c r="K84" i="11"/>
  <c r="BI84" i="11" s="1"/>
  <c r="BL114" i="8"/>
  <c r="BL114" i="9"/>
  <c r="BL114" i="10"/>
  <c r="Y131" i="8"/>
  <c r="Y130" i="8"/>
  <c r="Y129" i="8"/>
  <c r="Y128" i="8"/>
  <c r="Y127" i="8"/>
  <c r="Y126" i="8"/>
  <c r="Y125" i="8"/>
  <c r="Y124" i="8"/>
  <c r="Y123" i="8"/>
  <c r="Y122" i="8"/>
  <c r="Y121" i="8"/>
  <c r="Y120" i="8"/>
  <c r="W131" i="8"/>
  <c r="W130" i="8"/>
  <c r="W129" i="8"/>
  <c r="W128" i="8"/>
  <c r="W127" i="8"/>
  <c r="W126" i="8"/>
  <c r="W125" i="8"/>
  <c r="W124" i="8"/>
  <c r="W123" i="8"/>
  <c r="W122" i="8"/>
  <c r="W121" i="8"/>
  <c r="W120" i="8"/>
  <c r="U131" i="8"/>
  <c r="U130" i="8"/>
  <c r="U129" i="8"/>
  <c r="U128" i="8"/>
  <c r="U127" i="8"/>
  <c r="U126" i="8"/>
  <c r="U125" i="8"/>
  <c r="U124" i="8"/>
  <c r="U123" i="8"/>
  <c r="U122" i="8"/>
  <c r="U121" i="8"/>
  <c r="U120" i="8"/>
  <c r="Y131" i="9"/>
  <c r="Y130" i="9"/>
  <c r="Y129" i="9"/>
  <c r="Y128" i="9"/>
  <c r="Y127" i="9"/>
  <c r="Y126" i="9"/>
  <c r="Y125" i="9"/>
  <c r="Y124" i="9"/>
  <c r="Y123" i="9"/>
  <c r="Y122" i="9"/>
  <c r="Y121" i="9"/>
  <c r="Y120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Y128" i="10"/>
  <c r="Y127" i="10"/>
  <c r="Y126" i="10"/>
  <c r="Y125" i="10"/>
  <c r="Y124" i="10"/>
  <c r="Y123" i="10"/>
  <c r="Y122" i="10"/>
  <c r="Y121" i="10"/>
  <c r="Y120" i="10"/>
  <c r="Y118" i="10"/>
  <c r="W128" i="10"/>
  <c r="W127" i="10"/>
  <c r="W126" i="10"/>
  <c r="W125" i="10"/>
  <c r="W124" i="10"/>
  <c r="W123" i="10"/>
  <c r="W122" i="10"/>
  <c r="W121" i="10"/>
  <c r="W120" i="10"/>
  <c r="W118" i="10"/>
  <c r="U128" i="10"/>
  <c r="U127" i="10"/>
  <c r="U126" i="10"/>
  <c r="U125" i="10"/>
  <c r="U124" i="10"/>
  <c r="U123" i="10"/>
  <c r="U122" i="10"/>
  <c r="U121" i="10"/>
  <c r="U120" i="10"/>
  <c r="U118" i="10"/>
  <c r="S131" i="8"/>
  <c r="S130" i="8"/>
  <c r="S129" i="8"/>
  <c r="S128" i="8"/>
  <c r="S127" i="8"/>
  <c r="S126" i="8"/>
  <c r="S125" i="8"/>
  <c r="S124" i="8"/>
  <c r="S123" i="8"/>
  <c r="S122" i="8"/>
  <c r="S121" i="8"/>
  <c r="S120" i="8"/>
  <c r="Q131" i="8"/>
  <c r="Q130" i="8"/>
  <c r="Q129" i="8"/>
  <c r="Q128" i="8"/>
  <c r="Q127" i="8"/>
  <c r="Q126" i="8"/>
  <c r="Q125" i="8"/>
  <c r="Q124" i="8"/>
  <c r="Q123" i="8"/>
  <c r="Q122" i="8"/>
  <c r="Q121" i="8"/>
  <c r="Q120" i="8"/>
  <c r="S131" i="9"/>
  <c r="S130" i="9"/>
  <c r="S129" i="9"/>
  <c r="S128" i="9"/>
  <c r="S127" i="9"/>
  <c r="S126" i="9"/>
  <c r="S125" i="9"/>
  <c r="S124" i="9"/>
  <c r="S123" i="9"/>
  <c r="S122" i="9"/>
  <c r="S121" i="9"/>
  <c r="S120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S128" i="10"/>
  <c r="S127" i="10"/>
  <c r="S126" i="10"/>
  <c r="S125" i="10"/>
  <c r="S124" i="10"/>
  <c r="S123" i="10"/>
  <c r="S122" i="10"/>
  <c r="S121" i="10"/>
  <c r="S120" i="10"/>
  <c r="S118" i="10"/>
  <c r="Q128" i="10"/>
  <c r="Q127" i="10"/>
  <c r="Q126" i="10"/>
  <c r="Q125" i="10"/>
  <c r="Q124" i="10"/>
  <c r="Q123" i="10"/>
  <c r="Q122" i="10"/>
  <c r="Q121" i="10"/>
  <c r="Q120" i="10"/>
  <c r="Q118" i="10"/>
  <c r="O131" i="8"/>
  <c r="O130" i="8"/>
  <c r="O129" i="8"/>
  <c r="O128" i="8"/>
  <c r="O127" i="8"/>
  <c r="O126" i="8"/>
  <c r="O125" i="8"/>
  <c r="O124" i="8"/>
  <c r="O123" i="8"/>
  <c r="O122" i="8"/>
  <c r="O121" i="8"/>
  <c r="O120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O131" i="9"/>
  <c r="O130" i="9"/>
  <c r="O129" i="9"/>
  <c r="O128" i="9"/>
  <c r="O127" i="9"/>
  <c r="O126" i="9"/>
  <c r="O125" i="9"/>
  <c r="O124" i="9"/>
  <c r="O123" i="9"/>
  <c r="O122" i="9"/>
  <c r="O121" i="9"/>
  <c r="O120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O128" i="10"/>
  <c r="O127" i="10"/>
  <c r="O126" i="10"/>
  <c r="O125" i="10"/>
  <c r="O124" i="10"/>
  <c r="O123" i="10"/>
  <c r="O122" i="10"/>
  <c r="O121" i="10"/>
  <c r="O120" i="10"/>
  <c r="O118" i="10"/>
  <c r="M128" i="10"/>
  <c r="M127" i="10"/>
  <c r="M126" i="10"/>
  <c r="M125" i="10"/>
  <c r="M124" i="10"/>
  <c r="M123" i="10"/>
  <c r="M122" i="10"/>
  <c r="M121" i="10"/>
  <c r="M120" i="10"/>
  <c r="M118" i="10"/>
  <c r="K128" i="10"/>
  <c r="K127" i="10"/>
  <c r="K126" i="10"/>
  <c r="K125" i="10"/>
  <c r="K124" i="10"/>
  <c r="K123" i="10"/>
  <c r="K122" i="10"/>
  <c r="K121" i="10"/>
  <c r="K120" i="10"/>
  <c r="K118" i="10"/>
  <c r="I131" i="8"/>
  <c r="I130" i="8"/>
  <c r="I129" i="8"/>
  <c r="I128" i="8"/>
  <c r="I127" i="8"/>
  <c r="I126" i="8"/>
  <c r="I125" i="8"/>
  <c r="I124" i="8"/>
  <c r="I123" i="8"/>
  <c r="I122" i="8"/>
  <c r="I121" i="8"/>
  <c r="I120" i="8"/>
  <c r="I131" i="9"/>
  <c r="I130" i="9"/>
  <c r="I129" i="9"/>
  <c r="I128" i="9"/>
  <c r="I127" i="9"/>
  <c r="I126" i="9"/>
  <c r="I125" i="9"/>
  <c r="I124" i="9"/>
  <c r="I123" i="9"/>
  <c r="I122" i="9"/>
  <c r="I121" i="9"/>
  <c r="I120" i="9"/>
  <c r="I128" i="10"/>
  <c r="I127" i="10"/>
  <c r="I126" i="10"/>
  <c r="I125" i="10"/>
  <c r="I124" i="10"/>
  <c r="I123" i="10"/>
  <c r="I122" i="10"/>
  <c r="I121" i="10"/>
  <c r="I120" i="10"/>
  <c r="I118" i="10"/>
  <c r="G131" i="8"/>
  <c r="G130" i="8"/>
  <c r="G129" i="8"/>
  <c r="G128" i="8"/>
  <c r="G127" i="8"/>
  <c r="G126" i="8"/>
  <c r="G125" i="8"/>
  <c r="G124" i="8"/>
  <c r="G123" i="8"/>
  <c r="G122" i="8"/>
  <c r="G121" i="8"/>
  <c r="G120" i="8"/>
  <c r="G131" i="9"/>
  <c r="G130" i="9"/>
  <c r="G129" i="9"/>
  <c r="G128" i="9"/>
  <c r="G127" i="9"/>
  <c r="G126" i="9"/>
  <c r="G125" i="9"/>
  <c r="G124" i="9"/>
  <c r="G123" i="9"/>
  <c r="G122" i="9"/>
  <c r="G121" i="9"/>
  <c r="G120" i="9"/>
  <c r="G128" i="10"/>
  <c r="G127" i="10"/>
  <c r="G126" i="10"/>
  <c r="G125" i="10"/>
  <c r="G124" i="10"/>
  <c r="G123" i="10"/>
  <c r="G122" i="10"/>
  <c r="G121" i="10"/>
  <c r="G120" i="10"/>
  <c r="G118" i="10"/>
  <c r="AB113" i="8"/>
  <c r="AB113" i="9"/>
  <c r="AB113" i="10"/>
  <c r="BC113" i="1"/>
  <c r="BL113" i="8"/>
  <c r="BL113" i="9"/>
  <c r="BL113" i="10"/>
  <c r="BK113" i="8"/>
  <c r="BK113" i="9"/>
  <c r="BK113" i="10"/>
  <c r="BI113" i="8"/>
  <c r="BI113" i="10"/>
  <c r="DQ113" i="1"/>
  <c r="BG113" i="8"/>
  <c r="BG113" i="9"/>
  <c r="BG113" i="10"/>
  <c r="BD113" i="8"/>
  <c r="BD113" i="9"/>
  <c r="BD113" i="10"/>
  <c r="DG113" i="1"/>
  <c r="BA113" i="8"/>
  <c r="BA113" i="9"/>
  <c r="BA113" i="10"/>
  <c r="DA113" i="1"/>
  <c r="AX113" i="8"/>
  <c r="AX113" i="9"/>
  <c r="AX113" i="10"/>
  <c r="CU113" i="1"/>
  <c r="AU113" i="8"/>
  <c r="AU113" i="9"/>
  <c r="AU113" i="10"/>
  <c r="CO113" i="1"/>
  <c r="AR113" i="8"/>
  <c r="AR113" i="9"/>
  <c r="AR113" i="10"/>
  <c r="CI113" i="1"/>
  <c r="AO113" i="8"/>
  <c r="AO113" i="9"/>
  <c r="AO113" i="10"/>
  <c r="CC113" i="1"/>
  <c r="AL113" i="8"/>
  <c r="AL113" i="9"/>
  <c r="AL113" i="10"/>
  <c r="BW113" i="1"/>
  <c r="AI113" i="8"/>
  <c r="AI113" i="9"/>
  <c r="AI113" i="10"/>
  <c r="BQ113" i="1"/>
  <c r="AF113" i="8"/>
  <c r="AF113" i="9"/>
  <c r="AF113" i="10"/>
  <c r="BK113" i="1"/>
  <c r="DO113" i="1"/>
  <c r="AY113" i="1"/>
  <c r="N75" i="11" l="1"/>
  <c r="N76" i="11"/>
  <c r="X107" i="11"/>
  <c r="S85" i="11"/>
  <c r="AT87" i="11"/>
  <c r="AT77" i="11" s="1"/>
  <c r="T21" i="11"/>
  <c r="F9" i="11"/>
  <c r="DB87" i="11"/>
  <c r="DB77" i="11" s="1"/>
  <c r="O84" i="11"/>
  <c r="BO84" i="11" s="1"/>
  <c r="S25" i="11"/>
  <c r="BO32" i="11"/>
  <c r="P27" i="11"/>
  <c r="BP27" i="11" s="1"/>
  <c r="P78" i="11"/>
  <c r="BM37" i="11"/>
  <c r="W110" i="11"/>
  <c r="Y76" i="11"/>
  <c r="P81" i="11"/>
  <c r="BP81" i="11" s="1"/>
  <c r="T31" i="11"/>
  <c r="BV31" i="11" s="1"/>
  <c r="X109" i="11"/>
  <c r="BP83" i="11"/>
  <c r="AP74" i="11"/>
  <c r="BK87" i="11"/>
  <c r="BK77" i="11" s="1"/>
  <c r="S80" i="11"/>
  <c r="BO80" i="11"/>
  <c r="BO17" i="11"/>
  <c r="X104" i="11"/>
  <c r="CB104" i="11" s="1"/>
  <c r="T96" i="11"/>
  <c r="BP80" i="11"/>
  <c r="L9" i="11"/>
  <c r="BJ9" i="11" s="1"/>
  <c r="M87" i="11"/>
  <c r="M77" i="11" s="1"/>
  <c r="BO29" i="11"/>
  <c r="T98" i="11"/>
  <c r="BV98" i="11" s="1"/>
  <c r="T26" i="11"/>
  <c r="BV26" i="11" s="1"/>
  <c r="CC87" i="11"/>
  <c r="CC77" i="11" s="1"/>
  <c r="X105" i="11"/>
  <c r="S97" i="11"/>
  <c r="BU97" i="11" s="1"/>
  <c r="AD74" i="11"/>
  <c r="AD76" i="11" s="1"/>
  <c r="Y87" i="11"/>
  <c r="Y77" i="11" s="1"/>
  <c r="AL74" i="11"/>
  <c r="BP39" i="11"/>
  <c r="W108" i="11"/>
  <c r="CA108" i="11" s="1"/>
  <c r="M76" i="11"/>
  <c r="BH9" i="11"/>
  <c r="W104" i="11"/>
  <c r="CA104" i="11" s="1"/>
  <c r="AK87" i="11"/>
  <c r="AK77" i="11" s="1"/>
  <c r="BU106" i="11"/>
  <c r="O10" i="11"/>
  <c r="P38" i="11"/>
  <c r="BP38" i="11" s="1"/>
  <c r="T99" i="11"/>
  <c r="X99" i="11" s="1"/>
  <c r="S24" i="11"/>
  <c r="BU24" i="11" s="1"/>
  <c r="W112" i="11"/>
  <c r="CU87" i="11"/>
  <c r="CU77" i="11" s="1"/>
  <c r="DN74" i="11"/>
  <c r="P10" i="11"/>
  <c r="P9" i="11" s="1"/>
  <c r="BC74" i="11"/>
  <c r="DP74" i="11"/>
  <c r="T45" i="11"/>
  <c r="BV45" i="11" s="1"/>
  <c r="S34" i="11"/>
  <c r="BU34" i="11" s="1"/>
  <c r="DO87" i="11"/>
  <c r="DO77" i="11" s="1"/>
  <c r="T23" i="11"/>
  <c r="BV23" i="11" s="1"/>
  <c r="BL74" i="11"/>
  <c r="T61" i="11"/>
  <c r="BV61" i="11" s="1"/>
  <c r="BF74" i="11"/>
  <c r="G87" i="11"/>
  <c r="G77" i="11" s="1"/>
  <c r="BG9" i="11"/>
  <c r="DQ74" i="11"/>
  <c r="P47" i="11"/>
  <c r="BP47" i="11" s="1"/>
  <c r="BD87" i="11"/>
  <c r="BD77" i="11" s="1"/>
  <c r="O27" i="11"/>
  <c r="BO27" i="11" s="1"/>
  <c r="BK74" i="11"/>
  <c r="X103" i="11"/>
  <c r="CP74" i="11"/>
  <c r="DV81" i="11"/>
  <c r="BB81" i="11"/>
  <c r="BB94" i="11"/>
  <c r="DQ87" i="11"/>
  <c r="DQ77" i="11" s="1"/>
  <c r="G76" i="11"/>
  <c r="E91" i="11"/>
  <c r="DU91" i="11" s="1"/>
  <c r="BL87" i="11"/>
  <c r="BL77" i="11" s="1"/>
  <c r="F118" i="11"/>
  <c r="DV118" i="11" s="1"/>
  <c r="DV10" i="11"/>
  <c r="X112" i="11"/>
  <c r="CB112" i="11" s="1"/>
  <c r="T35" i="11"/>
  <c r="BV35" i="11" s="1"/>
  <c r="BP12" i="11"/>
  <c r="D74" i="11"/>
  <c r="BP35" i="11"/>
  <c r="C74" i="11"/>
  <c r="AT75" i="11"/>
  <c r="AT76" i="11"/>
  <c r="AS74" i="11"/>
  <c r="AS87" i="11"/>
  <c r="AS77" i="11" s="1"/>
  <c r="F91" i="11"/>
  <c r="DV91" i="11" s="1"/>
  <c r="CC74" i="11"/>
  <c r="AZ74" i="11"/>
  <c r="AD87" i="11"/>
  <c r="AD77" i="11" s="1"/>
  <c r="DM74" i="11"/>
  <c r="DM87" i="11"/>
  <c r="DM77" i="11" s="1"/>
  <c r="BH74" i="11"/>
  <c r="BH87" i="11"/>
  <c r="BH77" i="11" s="1"/>
  <c r="DV84" i="11"/>
  <c r="BB84" i="11"/>
  <c r="AX75" i="11"/>
  <c r="AX76" i="11"/>
  <c r="AL75" i="11"/>
  <c r="AL76" i="11"/>
  <c r="DV101" i="11"/>
  <c r="BB101" i="11"/>
  <c r="DU101" i="11"/>
  <c r="BA101" i="11"/>
  <c r="AW74" i="11"/>
  <c r="AW87" i="11"/>
  <c r="AW77" i="11" s="1"/>
  <c r="BN37" i="11"/>
  <c r="K9" i="11"/>
  <c r="K74" i="11" s="1"/>
  <c r="AY37" i="11"/>
  <c r="AY87" i="11" s="1"/>
  <c r="BC87" i="11"/>
  <c r="BC77" i="11" s="1"/>
  <c r="L91" i="11"/>
  <c r="BJ91" i="11" s="1"/>
  <c r="BJ94" i="11"/>
  <c r="P94" i="11"/>
  <c r="J75" i="11"/>
  <c r="J76" i="11"/>
  <c r="DV49" i="11"/>
  <c r="F47" i="11"/>
  <c r="F37" i="11" s="1"/>
  <c r="DV37" i="11" s="1"/>
  <c r="BB49" i="11"/>
  <c r="R75" i="11"/>
  <c r="R76" i="11"/>
  <c r="DV38" i="11"/>
  <c r="BB38" i="11"/>
  <c r="DU84" i="11"/>
  <c r="BA84" i="11"/>
  <c r="Z74" i="11"/>
  <c r="Z87" i="11"/>
  <c r="Z77" i="11" s="1"/>
  <c r="D87" i="11"/>
  <c r="D77" i="11" s="1"/>
  <c r="L37" i="11"/>
  <c r="H37" i="11"/>
  <c r="H87" i="11" s="1"/>
  <c r="H77" i="11" s="1"/>
  <c r="DT37" i="11"/>
  <c r="AZ87" i="11"/>
  <c r="AH75" i="11"/>
  <c r="AH76" i="11"/>
  <c r="BG37" i="11"/>
  <c r="V75" i="11"/>
  <c r="V76" i="11"/>
  <c r="AP75" i="11"/>
  <c r="AP76" i="11"/>
  <c r="DP87" i="11"/>
  <c r="DP77" i="11" s="1"/>
  <c r="DU49" i="11"/>
  <c r="BA49" i="11"/>
  <c r="Q74" i="11"/>
  <c r="Q87" i="11"/>
  <c r="Q77" i="11" s="1"/>
  <c r="AG74" i="11"/>
  <c r="AG87" i="11"/>
  <c r="AG77" i="11" s="1"/>
  <c r="I74" i="11"/>
  <c r="I87" i="11"/>
  <c r="I77" i="11" s="1"/>
  <c r="BW74" i="11"/>
  <c r="BW87" i="11"/>
  <c r="BW77" i="11" s="1"/>
  <c r="CI74" i="11"/>
  <c r="CI87" i="11"/>
  <c r="CI77" i="11" s="1"/>
  <c r="DG74" i="11"/>
  <c r="DG87" i="11"/>
  <c r="DG77" i="11" s="1"/>
  <c r="AO74" i="11"/>
  <c r="AO87" i="11"/>
  <c r="AO77" i="11" s="1"/>
  <c r="E47" i="11"/>
  <c r="BA47" i="11" s="1"/>
  <c r="DU94" i="11"/>
  <c r="BN94" i="11"/>
  <c r="BH91" i="11"/>
  <c r="K91" i="11"/>
  <c r="BI91" i="11" s="1"/>
  <c r="BI94" i="11"/>
  <c r="O94" i="11"/>
  <c r="U74" i="11"/>
  <c r="U87" i="11"/>
  <c r="U77" i="11" s="1"/>
  <c r="BE74" i="11"/>
  <c r="BE87" i="11"/>
  <c r="BE77" i="11" s="1"/>
  <c r="DA74" i="11"/>
  <c r="DA87" i="11"/>
  <c r="DA77" i="11" s="1"/>
  <c r="DS9" i="11"/>
  <c r="BB9" i="11"/>
  <c r="DV9" i="11"/>
  <c r="DV27" i="11"/>
  <c r="BB27" i="11"/>
  <c r="AC74" i="11"/>
  <c r="AC87" i="11"/>
  <c r="AC77" i="11" s="1"/>
  <c r="CO74" i="11"/>
  <c r="CO87" i="11"/>
  <c r="CO77" i="11" s="1"/>
  <c r="BM94" i="11"/>
  <c r="BG91" i="11"/>
  <c r="DU78" i="11"/>
  <c r="BA78" i="11"/>
  <c r="DU81" i="11"/>
  <c r="BA81" i="11"/>
  <c r="DU38" i="11"/>
  <c r="BA38" i="11"/>
  <c r="DU27" i="11"/>
  <c r="BA27" i="11"/>
  <c r="BV11" i="11"/>
  <c r="X11" i="11"/>
  <c r="BN9" i="11"/>
  <c r="W15" i="11"/>
  <c r="BU15" i="11"/>
  <c r="W16" i="11"/>
  <c r="BU16" i="11"/>
  <c r="BV29" i="11"/>
  <c r="X29" i="11"/>
  <c r="BO10" i="11"/>
  <c r="BY11" i="11"/>
  <c r="BS10" i="11"/>
  <c r="BV39" i="11"/>
  <c r="X39" i="11"/>
  <c r="T38" i="11"/>
  <c r="BU40" i="11"/>
  <c r="W40" i="11"/>
  <c r="BU42" i="11"/>
  <c r="W42" i="11"/>
  <c r="BU43" i="11"/>
  <c r="W43" i="11"/>
  <c r="BU44" i="11"/>
  <c r="W44" i="11"/>
  <c r="BU45" i="11"/>
  <c r="W45" i="11"/>
  <c r="BU53" i="11"/>
  <c r="W53" i="11"/>
  <c r="BV79" i="11"/>
  <c r="X79" i="11"/>
  <c r="T78" i="11"/>
  <c r="BV83" i="11"/>
  <c r="X83" i="11"/>
  <c r="BZ85" i="11"/>
  <c r="BU80" i="11"/>
  <c r="W80" i="11"/>
  <c r="BY82" i="11"/>
  <c r="BS81" i="11"/>
  <c r="BU92" i="11"/>
  <c r="W92" i="11"/>
  <c r="BT86" i="11"/>
  <c r="BT84" i="11" s="1"/>
  <c r="BU101" i="11"/>
  <c r="W101" i="11"/>
  <c r="CA103" i="11"/>
  <c r="AA103" i="11"/>
  <c r="CA105" i="11"/>
  <c r="AA105" i="11"/>
  <c r="CA106" i="11"/>
  <c r="AA106" i="11"/>
  <c r="CA107" i="11"/>
  <c r="AA107" i="11"/>
  <c r="BV28" i="11"/>
  <c r="X28" i="11"/>
  <c r="BU28" i="11"/>
  <c r="W28" i="11"/>
  <c r="S27" i="11"/>
  <c r="BU27" i="11" s="1"/>
  <c r="BV40" i="11"/>
  <c r="X40" i="11"/>
  <c r="BV42" i="11"/>
  <c r="X42" i="11"/>
  <c r="BV43" i="11"/>
  <c r="X43" i="11"/>
  <c r="BV44" i="11"/>
  <c r="X44" i="11"/>
  <c r="BV53" i="11"/>
  <c r="X53" i="11"/>
  <c r="BU30" i="11"/>
  <c r="W30" i="11"/>
  <c r="BU31" i="11"/>
  <c r="W31" i="11"/>
  <c r="BU32" i="11"/>
  <c r="W32" i="11"/>
  <c r="BU33" i="11"/>
  <c r="W33" i="11"/>
  <c r="BU35" i="11"/>
  <c r="W35" i="11"/>
  <c r="BU36" i="11"/>
  <c r="W36" i="11"/>
  <c r="BO38" i="11"/>
  <c r="O37" i="11"/>
  <c r="BO37" i="11" s="1"/>
  <c r="BY39" i="11"/>
  <c r="BS38" i="11"/>
  <c r="BS37" i="11" s="1"/>
  <c r="CE55" i="11"/>
  <c r="BY47" i="11"/>
  <c r="BV82" i="11"/>
  <c r="X82" i="11"/>
  <c r="T81" i="11"/>
  <c r="BV81" i="11" s="1"/>
  <c r="BZ92" i="11"/>
  <c r="BO78" i="11"/>
  <c r="BY79" i="11"/>
  <c r="BS78" i="11"/>
  <c r="BU85" i="11"/>
  <c r="W85" i="11"/>
  <c r="BU93" i="11"/>
  <c r="W93" i="11"/>
  <c r="CB103" i="11"/>
  <c r="AB103" i="11"/>
  <c r="CB105" i="11"/>
  <c r="AB105" i="11"/>
  <c r="CB106" i="11"/>
  <c r="AB106" i="11"/>
  <c r="CB107" i="11"/>
  <c r="AB107" i="11"/>
  <c r="BU95" i="11"/>
  <c r="W95" i="11"/>
  <c r="BU96" i="11"/>
  <c r="W96" i="11"/>
  <c r="BU98" i="11"/>
  <c r="W98" i="11"/>
  <c r="BU99" i="11"/>
  <c r="W99" i="11"/>
  <c r="BU100" i="11"/>
  <c r="W100" i="11"/>
  <c r="CA102" i="11"/>
  <c r="AA102" i="11"/>
  <c r="BO86" i="11"/>
  <c r="S86" i="11"/>
  <c r="S84" i="11" s="1"/>
  <c r="BU84" i="11" s="1"/>
  <c r="BZ11" i="11"/>
  <c r="BT10" i="11"/>
  <c r="BU11" i="11"/>
  <c r="W11" i="11"/>
  <c r="BM9" i="11"/>
  <c r="BM74" i="11" s="1"/>
  <c r="BU29" i="11"/>
  <c r="W29" i="11"/>
  <c r="BV30" i="11"/>
  <c r="X30" i="11"/>
  <c r="BV32" i="11"/>
  <c r="X32" i="11"/>
  <c r="BV33" i="11"/>
  <c r="X33" i="11"/>
  <c r="BV34" i="11"/>
  <c r="X34" i="11"/>
  <c r="BV36" i="11"/>
  <c r="X36" i="11"/>
  <c r="BZ39" i="11"/>
  <c r="BT38" i="11"/>
  <c r="BT37" i="11" s="1"/>
  <c r="CF55" i="11"/>
  <c r="BZ47" i="11"/>
  <c r="BU55" i="11"/>
  <c r="W55" i="11"/>
  <c r="S47" i="11"/>
  <c r="BU47" i="11" s="1"/>
  <c r="BU56" i="11"/>
  <c r="W56" i="11"/>
  <c r="BU58" i="11"/>
  <c r="W58" i="11"/>
  <c r="BU61" i="11"/>
  <c r="W61" i="11"/>
  <c r="BP78" i="11"/>
  <c r="BZ79" i="11"/>
  <c r="BT78" i="11"/>
  <c r="BV85" i="11"/>
  <c r="X85" i="11"/>
  <c r="BV93" i="11"/>
  <c r="X93" i="11"/>
  <c r="BU82" i="11"/>
  <c r="W82" i="11"/>
  <c r="S81" i="11"/>
  <c r="BU81" i="11" s="1"/>
  <c r="BY92" i="11"/>
  <c r="BV95" i="11"/>
  <c r="X95" i="11"/>
  <c r="BV96" i="11"/>
  <c r="X96" i="11"/>
  <c r="BV97" i="11"/>
  <c r="X97" i="11"/>
  <c r="X98" i="11"/>
  <c r="BV100" i="11"/>
  <c r="X100" i="11"/>
  <c r="CB102" i="11"/>
  <c r="AB102" i="11"/>
  <c r="BP86" i="11"/>
  <c r="T86" i="11"/>
  <c r="BP101" i="11"/>
  <c r="T101" i="11"/>
  <c r="CJ8" i="11"/>
  <c r="CL8" i="11" s="1"/>
  <c r="CH8" i="11"/>
  <c r="BV12" i="11"/>
  <c r="X12" i="11"/>
  <c r="BV13" i="11"/>
  <c r="X13" i="11"/>
  <c r="BV14" i="11"/>
  <c r="X14" i="11"/>
  <c r="BV17" i="11"/>
  <c r="X17" i="11"/>
  <c r="BV18" i="11"/>
  <c r="X18" i="11"/>
  <c r="BV19" i="11"/>
  <c r="X19" i="11"/>
  <c r="BV20" i="11"/>
  <c r="X20" i="11"/>
  <c r="BV21" i="11"/>
  <c r="X21" i="11"/>
  <c r="BV22" i="11"/>
  <c r="X22" i="11"/>
  <c r="BV24" i="11"/>
  <c r="X24" i="11"/>
  <c r="BV25" i="11"/>
  <c r="X25" i="11"/>
  <c r="BZ28" i="11"/>
  <c r="BT27" i="11"/>
  <c r="CI8" i="11"/>
  <c r="CK8" i="11" s="1"/>
  <c r="CG8" i="11"/>
  <c r="BU12" i="11"/>
  <c r="W12" i="11"/>
  <c r="BU13" i="11"/>
  <c r="W13" i="11"/>
  <c r="BU14" i="11"/>
  <c r="W14" i="11"/>
  <c r="BU17" i="11"/>
  <c r="W17" i="11"/>
  <c r="BU18" i="11"/>
  <c r="W18" i="11"/>
  <c r="BU19" i="11"/>
  <c r="W19" i="11"/>
  <c r="BU20" i="11"/>
  <c r="W20" i="11"/>
  <c r="BU21" i="11"/>
  <c r="W21" i="11"/>
  <c r="BU22" i="11"/>
  <c r="W22" i="11"/>
  <c r="BU23" i="11"/>
  <c r="W23" i="11"/>
  <c r="BU26" i="11"/>
  <c r="W26" i="11"/>
  <c r="BY28" i="11"/>
  <c r="BS27" i="11"/>
  <c r="BV55" i="11"/>
  <c r="X55" i="11"/>
  <c r="BV56" i="11"/>
  <c r="X56" i="11"/>
  <c r="BV58" i="11"/>
  <c r="X58" i="11"/>
  <c r="E118" i="11"/>
  <c r="DU118" i="11" s="1"/>
  <c r="DU10" i="11"/>
  <c r="BA10" i="11"/>
  <c r="E9" i="11"/>
  <c r="BU39" i="11"/>
  <c r="W39" i="11"/>
  <c r="S38" i="11"/>
  <c r="BV80" i="11"/>
  <c r="X80" i="11"/>
  <c r="BZ82" i="11"/>
  <c r="BT81" i="11"/>
  <c r="BV92" i="11"/>
  <c r="X92" i="11"/>
  <c r="BU79" i="11"/>
  <c r="W79" i="11"/>
  <c r="S78" i="11"/>
  <c r="BU83" i="11"/>
  <c r="W83" i="11"/>
  <c r="BY85" i="11"/>
  <c r="BS86" i="11"/>
  <c r="CB109" i="11"/>
  <c r="AB109" i="11"/>
  <c r="CB110" i="11"/>
  <c r="AB110" i="11"/>
  <c r="CB111" i="11"/>
  <c r="AB111" i="11"/>
  <c r="CA109" i="11"/>
  <c r="AA109" i="11"/>
  <c r="CA110" i="11"/>
  <c r="AA110" i="11"/>
  <c r="CA111" i="11"/>
  <c r="AA111" i="11"/>
  <c r="CA112" i="11"/>
  <c r="AA112" i="11"/>
  <c r="BV108" i="11"/>
  <c r="X108" i="11"/>
  <c r="DT112" i="1"/>
  <c r="DS112" i="1"/>
  <c r="DT111" i="1"/>
  <c r="DS111" i="1"/>
  <c r="DT110" i="1"/>
  <c r="DS110" i="1"/>
  <c r="DT109" i="1"/>
  <c r="DS109" i="1"/>
  <c r="BJ12" i="8"/>
  <c r="DT118" i="1"/>
  <c r="DR130" i="1"/>
  <c r="DQ130" i="1"/>
  <c r="DR129" i="1"/>
  <c r="DQ129" i="1"/>
  <c r="DR128" i="1"/>
  <c r="DQ128" i="1"/>
  <c r="DR123" i="1"/>
  <c r="DQ123" i="1"/>
  <c r="DR122" i="1"/>
  <c r="DQ122" i="1"/>
  <c r="DR121" i="1"/>
  <c r="DQ121" i="1"/>
  <c r="DR120" i="1"/>
  <c r="DQ120" i="1"/>
  <c r="DR114" i="1"/>
  <c r="DQ114" i="1"/>
  <c r="DR112" i="1"/>
  <c r="DQ112" i="1"/>
  <c r="DR111" i="1"/>
  <c r="DQ111" i="1"/>
  <c r="DR110" i="1"/>
  <c r="DQ110" i="1"/>
  <c r="DR109" i="1"/>
  <c r="DQ109" i="1"/>
  <c r="DR108" i="1"/>
  <c r="DQ108" i="1"/>
  <c r="DR107" i="1"/>
  <c r="DQ107" i="1"/>
  <c r="DR106" i="1"/>
  <c r="DQ106" i="1"/>
  <c r="DR105" i="1"/>
  <c r="DQ105" i="1"/>
  <c r="DR104" i="1"/>
  <c r="DQ104" i="1"/>
  <c r="DR103" i="1"/>
  <c r="DQ103" i="1"/>
  <c r="DR102" i="1"/>
  <c r="DQ102" i="1"/>
  <c r="DR100" i="1"/>
  <c r="DQ100" i="1"/>
  <c r="DR99" i="1"/>
  <c r="DQ99" i="1"/>
  <c r="DR98" i="1"/>
  <c r="DQ98" i="1"/>
  <c r="DR97" i="1"/>
  <c r="DQ97" i="1"/>
  <c r="DR96" i="1"/>
  <c r="DQ96" i="1"/>
  <c r="DR95" i="1"/>
  <c r="DQ95" i="1"/>
  <c r="DR93" i="1"/>
  <c r="DQ93" i="1"/>
  <c r="DR92" i="1"/>
  <c r="DQ92" i="1"/>
  <c r="DR86" i="1"/>
  <c r="DQ86" i="1"/>
  <c r="DR85" i="1"/>
  <c r="DQ85" i="1"/>
  <c r="DR83" i="1"/>
  <c r="DQ83" i="1"/>
  <c r="DR82" i="1"/>
  <c r="DQ82" i="1"/>
  <c r="DR80" i="1"/>
  <c r="DQ80" i="1"/>
  <c r="DR79" i="1"/>
  <c r="DQ79" i="1"/>
  <c r="DR72" i="1"/>
  <c r="DQ72" i="1"/>
  <c r="DR71" i="1"/>
  <c r="DQ71" i="1"/>
  <c r="DR60" i="1"/>
  <c r="DQ60" i="1"/>
  <c r="DR54" i="1"/>
  <c r="DQ54" i="1"/>
  <c r="DR53" i="1"/>
  <c r="DQ53" i="1"/>
  <c r="DR52" i="1"/>
  <c r="DQ52" i="1"/>
  <c r="DR51" i="1"/>
  <c r="DQ51" i="1"/>
  <c r="DR49" i="1"/>
  <c r="DQ49" i="1"/>
  <c r="DR46" i="1"/>
  <c r="DQ46" i="1"/>
  <c r="DR43" i="1"/>
  <c r="DQ43" i="1"/>
  <c r="DR41" i="1"/>
  <c r="DQ41" i="1"/>
  <c r="DR38" i="1"/>
  <c r="DQ38" i="1"/>
  <c r="DR37" i="1"/>
  <c r="DQ37" i="1"/>
  <c r="DR33" i="1"/>
  <c r="DQ33" i="1"/>
  <c r="DR26" i="1"/>
  <c r="DQ26" i="1"/>
  <c r="DR25" i="1"/>
  <c r="DQ25" i="1"/>
  <c r="DR24" i="1"/>
  <c r="DQ24" i="1"/>
  <c r="DR23" i="1"/>
  <c r="DQ23" i="1"/>
  <c r="DQ20" i="1"/>
  <c r="DQ18" i="1"/>
  <c r="DR17" i="1"/>
  <c r="DQ17" i="1"/>
  <c r="DR16" i="1"/>
  <c r="DQ16" i="1"/>
  <c r="DR13" i="1"/>
  <c r="DQ13" i="1"/>
  <c r="DP130" i="1"/>
  <c r="DO130" i="1"/>
  <c r="DP129" i="1"/>
  <c r="DO129" i="1"/>
  <c r="DP128" i="1"/>
  <c r="DO128" i="1"/>
  <c r="DP123" i="1"/>
  <c r="DO123" i="1"/>
  <c r="DP122" i="1"/>
  <c r="DO122" i="1"/>
  <c r="DP121" i="1"/>
  <c r="DO121" i="1"/>
  <c r="DP120" i="1"/>
  <c r="DO120" i="1"/>
  <c r="DP112" i="1"/>
  <c r="DO112" i="1"/>
  <c r="DP111" i="1"/>
  <c r="DO111" i="1"/>
  <c r="DP110" i="1"/>
  <c r="DO110" i="1"/>
  <c r="DP109" i="1"/>
  <c r="DO109" i="1"/>
  <c r="DP108" i="1"/>
  <c r="DO108" i="1"/>
  <c r="DP107" i="1"/>
  <c r="DO107" i="1"/>
  <c r="DP106" i="1"/>
  <c r="DO106" i="1"/>
  <c r="DP105" i="1"/>
  <c r="DO105" i="1"/>
  <c r="DP104" i="1"/>
  <c r="DO104" i="1"/>
  <c r="DP103" i="1"/>
  <c r="DO103" i="1"/>
  <c r="DP102" i="1"/>
  <c r="DO102" i="1"/>
  <c r="DP100" i="1"/>
  <c r="DO100" i="1"/>
  <c r="DP99" i="1"/>
  <c r="DO99" i="1"/>
  <c r="DP98" i="1"/>
  <c r="DO98" i="1"/>
  <c r="DP97" i="1"/>
  <c r="DO97" i="1"/>
  <c r="DP96" i="1"/>
  <c r="DO96" i="1"/>
  <c r="DP95" i="1"/>
  <c r="DO95" i="1"/>
  <c r="DP93" i="1"/>
  <c r="DO93" i="1"/>
  <c r="DP92" i="1"/>
  <c r="DO92" i="1"/>
  <c r="DP86" i="1"/>
  <c r="DO86" i="1"/>
  <c r="DP85" i="1"/>
  <c r="DO85" i="1"/>
  <c r="DP83" i="1"/>
  <c r="DO83" i="1"/>
  <c r="DP82" i="1"/>
  <c r="DO82" i="1"/>
  <c r="DP80" i="1"/>
  <c r="DO80" i="1"/>
  <c r="DP79" i="1"/>
  <c r="DO79" i="1"/>
  <c r="DP72" i="1"/>
  <c r="DO72" i="1"/>
  <c r="DP71" i="1"/>
  <c r="DO71" i="1"/>
  <c r="DP60" i="1"/>
  <c r="DO60" i="1"/>
  <c r="DP54" i="1"/>
  <c r="DO54" i="1"/>
  <c r="DP53" i="1"/>
  <c r="DO53" i="1"/>
  <c r="DP52" i="1"/>
  <c r="DO52" i="1"/>
  <c r="DP51" i="1"/>
  <c r="DO51" i="1"/>
  <c r="DP49" i="1"/>
  <c r="DO49" i="1"/>
  <c r="DP46" i="1"/>
  <c r="DO46" i="1"/>
  <c r="DP43" i="1"/>
  <c r="DO43" i="1"/>
  <c r="DP41" i="1"/>
  <c r="DO41" i="1"/>
  <c r="DP38" i="1"/>
  <c r="DO38" i="1"/>
  <c r="DP37" i="1"/>
  <c r="DO37" i="1"/>
  <c r="DP33" i="1"/>
  <c r="DO33" i="1"/>
  <c r="DP26" i="1"/>
  <c r="DO26" i="1"/>
  <c r="DP25" i="1"/>
  <c r="DO25" i="1"/>
  <c r="DP24" i="1"/>
  <c r="DO24" i="1"/>
  <c r="DP23" i="1"/>
  <c r="DO23" i="1"/>
  <c r="DO20" i="1"/>
  <c r="DO18" i="1"/>
  <c r="DP17" i="1"/>
  <c r="DO17" i="1"/>
  <c r="DP16" i="1"/>
  <c r="DO16" i="1"/>
  <c r="DP13" i="1"/>
  <c r="DO13" i="1"/>
  <c r="DJ130" i="1"/>
  <c r="DI130" i="1"/>
  <c r="DJ129" i="1"/>
  <c r="DI129" i="1"/>
  <c r="DJ128" i="1"/>
  <c r="DI128" i="1"/>
  <c r="DJ127" i="1"/>
  <c r="DI127" i="1"/>
  <c r="DJ126" i="1"/>
  <c r="DI126" i="1"/>
  <c r="DJ125" i="1"/>
  <c r="DI125" i="1"/>
  <c r="DJ124" i="1"/>
  <c r="DI124" i="1"/>
  <c r="DJ123" i="1"/>
  <c r="DI123" i="1"/>
  <c r="DJ122" i="1"/>
  <c r="DI122" i="1"/>
  <c r="DJ121" i="1"/>
  <c r="DI121" i="1"/>
  <c r="DJ120" i="1"/>
  <c r="DI120" i="1"/>
  <c r="DJ112" i="1"/>
  <c r="DI112" i="1"/>
  <c r="DJ111" i="1"/>
  <c r="DI111" i="1"/>
  <c r="DJ110" i="1"/>
  <c r="DI110" i="1"/>
  <c r="DJ109" i="1"/>
  <c r="DI109" i="1"/>
  <c r="DJ84" i="1"/>
  <c r="DI84" i="1"/>
  <c r="DJ81" i="1"/>
  <c r="DI81" i="1"/>
  <c r="DJ78" i="1"/>
  <c r="DI78" i="1"/>
  <c r="DJ43" i="1"/>
  <c r="DI43" i="1"/>
  <c r="DJ41" i="1"/>
  <c r="DI41" i="1"/>
  <c r="DJ38" i="1"/>
  <c r="DI38" i="1"/>
  <c r="DJ37" i="1"/>
  <c r="DI37" i="1"/>
  <c r="DJ33" i="1"/>
  <c r="DI33" i="1"/>
  <c r="DJ25" i="1"/>
  <c r="DI25" i="1"/>
  <c r="DJ24" i="1"/>
  <c r="DI24" i="1"/>
  <c r="DJ23" i="1"/>
  <c r="DI23" i="1"/>
  <c r="DI20" i="1"/>
  <c r="DI18" i="1"/>
  <c r="DJ17" i="1"/>
  <c r="DI17" i="1"/>
  <c r="DJ16" i="1"/>
  <c r="DI16" i="1"/>
  <c r="DI14" i="1"/>
  <c r="DJ14" i="1" s="1"/>
  <c r="BE12" i="8" s="1"/>
  <c r="DD130" i="1"/>
  <c r="DC130" i="1"/>
  <c r="DD129" i="1"/>
  <c r="DC129" i="1"/>
  <c r="DD128" i="1"/>
  <c r="DC128" i="1"/>
  <c r="DD127" i="1"/>
  <c r="DC127" i="1"/>
  <c r="DD126" i="1"/>
  <c r="DC126" i="1"/>
  <c r="DD125" i="1"/>
  <c r="DC125" i="1"/>
  <c r="DD124" i="1"/>
  <c r="DC124" i="1"/>
  <c r="DD123" i="1"/>
  <c r="DC123" i="1"/>
  <c r="DD122" i="1"/>
  <c r="DC122" i="1"/>
  <c r="DD121" i="1"/>
  <c r="DC121" i="1"/>
  <c r="DD120" i="1"/>
  <c r="DC120" i="1"/>
  <c r="DD112" i="1"/>
  <c r="DC112" i="1"/>
  <c r="DD111" i="1"/>
  <c r="DC111" i="1"/>
  <c r="DD110" i="1"/>
  <c r="DC110" i="1"/>
  <c r="DD109" i="1"/>
  <c r="DC109" i="1"/>
  <c r="DD84" i="1"/>
  <c r="DC84" i="1"/>
  <c r="DD81" i="1"/>
  <c r="DC81" i="1"/>
  <c r="DD78" i="1"/>
  <c r="DC78" i="1"/>
  <c r="DD43" i="1"/>
  <c r="DC43" i="1"/>
  <c r="DD41" i="1"/>
  <c r="DC41" i="1"/>
  <c r="DD38" i="1"/>
  <c r="DC38" i="1"/>
  <c r="DD37" i="1"/>
  <c r="DC37" i="1"/>
  <c r="DD33" i="1"/>
  <c r="DC33" i="1"/>
  <c r="DD25" i="1"/>
  <c r="DC25" i="1"/>
  <c r="DD24" i="1"/>
  <c r="DC24" i="1"/>
  <c r="DD23" i="1"/>
  <c r="DC23" i="1"/>
  <c r="DC20" i="1"/>
  <c r="DC18" i="1"/>
  <c r="DD17" i="1"/>
  <c r="DC17" i="1"/>
  <c r="DD16" i="1"/>
  <c r="DC16" i="1"/>
  <c r="DC14" i="1"/>
  <c r="DD14" i="1" s="1"/>
  <c r="BB12" i="8" s="1"/>
  <c r="CX130" i="1"/>
  <c r="CW130" i="1"/>
  <c r="CX129" i="1"/>
  <c r="CW129" i="1"/>
  <c r="CX128" i="1"/>
  <c r="CW128" i="1"/>
  <c r="CX127" i="1"/>
  <c r="CW127" i="1"/>
  <c r="CX126" i="1"/>
  <c r="CW126" i="1"/>
  <c r="CX125" i="1"/>
  <c r="CW125" i="1"/>
  <c r="CX124" i="1"/>
  <c r="CW124" i="1"/>
  <c r="CX123" i="1"/>
  <c r="CW123" i="1"/>
  <c r="CX122" i="1"/>
  <c r="CW122" i="1"/>
  <c r="CX121" i="1"/>
  <c r="CW121" i="1"/>
  <c r="CX120" i="1"/>
  <c r="CW120" i="1"/>
  <c r="CX112" i="1"/>
  <c r="CW112" i="1"/>
  <c r="CX111" i="1"/>
  <c r="CW111" i="1"/>
  <c r="CX110" i="1"/>
  <c r="CW110" i="1"/>
  <c r="CX109" i="1"/>
  <c r="CW109" i="1"/>
  <c r="CX84" i="1"/>
  <c r="CW84" i="1"/>
  <c r="CX81" i="1"/>
  <c r="CW81" i="1"/>
  <c r="CX78" i="1"/>
  <c r="CW78" i="1"/>
  <c r="CX43" i="1"/>
  <c r="CW43" i="1"/>
  <c r="CX41" i="1"/>
  <c r="CW41" i="1"/>
  <c r="CX38" i="1"/>
  <c r="CW38" i="1"/>
  <c r="CX37" i="1"/>
  <c r="CW37" i="1"/>
  <c r="CX33" i="1"/>
  <c r="CW33" i="1"/>
  <c r="CX25" i="1"/>
  <c r="CW25" i="1"/>
  <c r="CX24" i="1"/>
  <c r="CW24" i="1"/>
  <c r="CX23" i="1"/>
  <c r="CW23" i="1"/>
  <c r="CW20" i="1"/>
  <c r="CW18" i="1"/>
  <c r="CX17" i="1"/>
  <c r="CW17" i="1"/>
  <c r="CX16" i="1"/>
  <c r="CW16" i="1"/>
  <c r="CW14" i="1"/>
  <c r="CX14" i="1" s="1"/>
  <c r="AY12" i="8" s="1"/>
  <c r="CR130" i="1"/>
  <c r="CQ130" i="1"/>
  <c r="CR129" i="1"/>
  <c r="CQ129" i="1"/>
  <c r="CR128" i="1"/>
  <c r="CQ128" i="1"/>
  <c r="CR127" i="1"/>
  <c r="CQ127" i="1"/>
  <c r="CR126" i="1"/>
  <c r="CQ126" i="1"/>
  <c r="CR125" i="1"/>
  <c r="CQ125" i="1"/>
  <c r="CR124" i="1"/>
  <c r="CQ124" i="1"/>
  <c r="CR123" i="1"/>
  <c r="CQ123" i="1"/>
  <c r="CR122" i="1"/>
  <c r="CQ122" i="1"/>
  <c r="CR121" i="1"/>
  <c r="CQ121" i="1"/>
  <c r="CR120" i="1"/>
  <c r="CQ120" i="1"/>
  <c r="CR112" i="1"/>
  <c r="CQ112" i="1"/>
  <c r="CR111" i="1"/>
  <c r="CQ111" i="1"/>
  <c r="CR110" i="1"/>
  <c r="CQ110" i="1"/>
  <c r="CR109" i="1"/>
  <c r="CQ109" i="1"/>
  <c r="CR84" i="1"/>
  <c r="CQ84" i="1"/>
  <c r="CR81" i="1"/>
  <c r="CQ81" i="1"/>
  <c r="CR78" i="1"/>
  <c r="CQ78" i="1"/>
  <c r="CR43" i="1"/>
  <c r="CQ43" i="1"/>
  <c r="CR41" i="1"/>
  <c r="CQ41" i="1"/>
  <c r="CR38" i="1"/>
  <c r="CQ38" i="1"/>
  <c r="CR37" i="1"/>
  <c r="CQ37" i="1"/>
  <c r="CR33" i="1"/>
  <c r="CQ33" i="1"/>
  <c r="CR25" i="1"/>
  <c r="CQ25" i="1"/>
  <c r="CR24" i="1"/>
  <c r="CQ24" i="1"/>
  <c r="CR23" i="1"/>
  <c r="CQ23" i="1"/>
  <c r="CQ20" i="1"/>
  <c r="CQ18" i="1"/>
  <c r="CR17" i="1"/>
  <c r="CQ17" i="1"/>
  <c r="CR16" i="1"/>
  <c r="CQ16" i="1"/>
  <c r="CQ14" i="1"/>
  <c r="CR14" i="1" s="1"/>
  <c r="AV12" i="8" s="1"/>
  <c r="CL130" i="1"/>
  <c r="CK130" i="1"/>
  <c r="CL129" i="1"/>
  <c r="CK129" i="1"/>
  <c r="CL128" i="1"/>
  <c r="CK128" i="1"/>
  <c r="CL127" i="1"/>
  <c r="CK127" i="1"/>
  <c r="CL126" i="1"/>
  <c r="CK126" i="1"/>
  <c r="CL125" i="1"/>
  <c r="CK125" i="1"/>
  <c r="CL124" i="1"/>
  <c r="CK124" i="1"/>
  <c r="CL123" i="1"/>
  <c r="CK123" i="1"/>
  <c r="CL122" i="1"/>
  <c r="CK122" i="1"/>
  <c r="CL121" i="1"/>
  <c r="CK121" i="1"/>
  <c r="CL120" i="1"/>
  <c r="CK120" i="1"/>
  <c r="CL112" i="1"/>
  <c r="CK112" i="1"/>
  <c r="CL111" i="1"/>
  <c r="CK111" i="1"/>
  <c r="CL110" i="1"/>
  <c r="CK110" i="1"/>
  <c r="CL109" i="1"/>
  <c r="CK109" i="1"/>
  <c r="CL84" i="1"/>
  <c r="CK84" i="1"/>
  <c r="CL81" i="1"/>
  <c r="CK81" i="1"/>
  <c r="CL78" i="1"/>
  <c r="CK78" i="1"/>
  <c r="CL43" i="1"/>
  <c r="CK43" i="1"/>
  <c r="CL41" i="1"/>
  <c r="CK41" i="1"/>
  <c r="CL38" i="1"/>
  <c r="CK38" i="1"/>
  <c r="CL37" i="1"/>
  <c r="CK37" i="1"/>
  <c r="CL33" i="1"/>
  <c r="CK33" i="1"/>
  <c r="CL25" i="1"/>
  <c r="CK25" i="1"/>
  <c r="CL24" i="1"/>
  <c r="CK24" i="1"/>
  <c r="CL23" i="1"/>
  <c r="CK23" i="1"/>
  <c r="CK20" i="1"/>
  <c r="CK18" i="1"/>
  <c r="CL17" i="1"/>
  <c r="CK17" i="1"/>
  <c r="CL16" i="1"/>
  <c r="CK16" i="1"/>
  <c r="CK14" i="1"/>
  <c r="CL14" i="1" s="1"/>
  <c r="AS12" i="8" s="1"/>
  <c r="CF130" i="1"/>
  <c r="CE130" i="1"/>
  <c r="CF129" i="1"/>
  <c r="CE129" i="1"/>
  <c r="CF128" i="1"/>
  <c r="CE128" i="1"/>
  <c r="CF127" i="1"/>
  <c r="CE127" i="1"/>
  <c r="CF126" i="1"/>
  <c r="CE126" i="1"/>
  <c r="CF125" i="1"/>
  <c r="CE125" i="1"/>
  <c r="CF124" i="1"/>
  <c r="CE124" i="1"/>
  <c r="CF123" i="1"/>
  <c r="CE123" i="1"/>
  <c r="CF122" i="1"/>
  <c r="CE122" i="1"/>
  <c r="CF121" i="1"/>
  <c r="CE121" i="1"/>
  <c r="CF120" i="1"/>
  <c r="CE120" i="1"/>
  <c r="CF112" i="1"/>
  <c r="CE112" i="1"/>
  <c r="CF111" i="1"/>
  <c r="CE111" i="1"/>
  <c r="CF110" i="1"/>
  <c r="CE110" i="1"/>
  <c r="CF109" i="1"/>
  <c r="CE109" i="1"/>
  <c r="CF84" i="1"/>
  <c r="CF81" i="1"/>
  <c r="CE81" i="1"/>
  <c r="CF78" i="1"/>
  <c r="CE78" i="1"/>
  <c r="CF43" i="1"/>
  <c r="CE43" i="1"/>
  <c r="CF41" i="1"/>
  <c r="CE41" i="1"/>
  <c r="CF38" i="1"/>
  <c r="CE38" i="1"/>
  <c r="CF37" i="1"/>
  <c r="CE37" i="1"/>
  <c r="CF33" i="1"/>
  <c r="CE33" i="1"/>
  <c r="CF25" i="1"/>
  <c r="CE25" i="1"/>
  <c r="CF24" i="1"/>
  <c r="CE24" i="1"/>
  <c r="CF23" i="1"/>
  <c r="CE23" i="1"/>
  <c r="CE20" i="1"/>
  <c r="CE18" i="1"/>
  <c r="CF17" i="1"/>
  <c r="CE17" i="1"/>
  <c r="CF16" i="1"/>
  <c r="CE16" i="1"/>
  <c r="CE14" i="1"/>
  <c r="CF14" i="1" s="1"/>
  <c r="AP12" i="8" s="1"/>
  <c r="BZ130" i="1"/>
  <c r="BY130" i="1"/>
  <c r="BZ129" i="1"/>
  <c r="BY129" i="1"/>
  <c r="BZ128" i="1"/>
  <c r="BY128" i="1"/>
  <c r="BZ127" i="1"/>
  <c r="BY127" i="1"/>
  <c r="BZ126" i="1"/>
  <c r="BY126" i="1"/>
  <c r="BZ125" i="1"/>
  <c r="BY125" i="1"/>
  <c r="BZ124" i="1"/>
  <c r="BY124" i="1"/>
  <c r="BZ123" i="1"/>
  <c r="BY123" i="1"/>
  <c r="BZ122" i="1"/>
  <c r="BY122" i="1"/>
  <c r="BZ121" i="1"/>
  <c r="BY121" i="1"/>
  <c r="BZ120" i="1"/>
  <c r="BY120" i="1"/>
  <c r="BZ112" i="1"/>
  <c r="BY112" i="1"/>
  <c r="BZ111" i="1"/>
  <c r="BY111" i="1"/>
  <c r="BZ110" i="1"/>
  <c r="BY110" i="1"/>
  <c r="BZ109" i="1"/>
  <c r="BY109" i="1"/>
  <c r="BZ84" i="1"/>
  <c r="BY84" i="1"/>
  <c r="BZ81" i="1"/>
  <c r="BY81" i="1"/>
  <c r="BZ78" i="1"/>
  <c r="BY78" i="1"/>
  <c r="BZ43" i="1"/>
  <c r="BY43" i="1"/>
  <c r="BZ41" i="1"/>
  <c r="BY41" i="1"/>
  <c r="BZ38" i="1"/>
  <c r="BY38" i="1"/>
  <c r="BZ37" i="1"/>
  <c r="BY37" i="1"/>
  <c r="BZ33" i="1"/>
  <c r="BY33" i="1"/>
  <c r="BZ25" i="1"/>
  <c r="BY25" i="1"/>
  <c r="BZ24" i="1"/>
  <c r="BY24" i="1"/>
  <c r="BZ23" i="1"/>
  <c r="BY23" i="1"/>
  <c r="BY20" i="1"/>
  <c r="BY18" i="1"/>
  <c r="BZ17" i="1"/>
  <c r="BY17" i="1"/>
  <c r="BZ16" i="1"/>
  <c r="BY16" i="1"/>
  <c r="BY14" i="1"/>
  <c r="BZ14" i="1" s="1"/>
  <c r="AM12" i="8" s="1"/>
  <c r="BT130" i="1"/>
  <c r="BS130" i="1"/>
  <c r="BT129" i="1"/>
  <c r="BS129" i="1"/>
  <c r="BT128" i="1"/>
  <c r="BS128" i="1"/>
  <c r="BT127" i="1"/>
  <c r="BS127" i="1"/>
  <c r="BT126" i="1"/>
  <c r="BS126" i="1"/>
  <c r="BT125" i="1"/>
  <c r="BS125" i="1"/>
  <c r="BT124" i="1"/>
  <c r="BS124" i="1"/>
  <c r="BT123" i="1"/>
  <c r="BS123" i="1"/>
  <c r="BT122" i="1"/>
  <c r="BS122" i="1"/>
  <c r="BT121" i="1"/>
  <c r="BS121" i="1"/>
  <c r="BT120" i="1"/>
  <c r="BS120" i="1"/>
  <c r="BT112" i="1"/>
  <c r="BS112" i="1"/>
  <c r="BT111" i="1"/>
  <c r="BS111" i="1"/>
  <c r="BT110" i="1"/>
  <c r="BS110" i="1"/>
  <c r="BT109" i="1"/>
  <c r="BS109" i="1"/>
  <c r="BT84" i="1"/>
  <c r="BS84" i="1"/>
  <c r="BT81" i="1"/>
  <c r="BS81" i="1"/>
  <c r="BT78" i="1"/>
  <c r="BS78" i="1"/>
  <c r="BT43" i="1"/>
  <c r="BS43" i="1"/>
  <c r="BT41" i="1"/>
  <c r="BS41" i="1"/>
  <c r="BT38" i="1"/>
  <c r="BS38" i="1"/>
  <c r="BT37" i="1"/>
  <c r="BS37" i="1"/>
  <c r="BT33" i="1"/>
  <c r="BS33" i="1"/>
  <c r="BT25" i="1"/>
  <c r="BS25" i="1"/>
  <c r="BT24" i="1"/>
  <c r="BS24" i="1"/>
  <c r="BT23" i="1"/>
  <c r="BS23" i="1"/>
  <c r="BS20" i="1"/>
  <c r="BS18" i="1"/>
  <c r="BT17" i="1"/>
  <c r="BS17" i="1"/>
  <c r="BT16" i="1"/>
  <c r="BS16" i="1"/>
  <c r="BS14" i="1"/>
  <c r="BN130" i="1"/>
  <c r="BM130" i="1"/>
  <c r="BN129" i="1"/>
  <c r="BM129" i="1"/>
  <c r="BN128" i="1"/>
  <c r="BM128" i="1"/>
  <c r="BN127" i="1"/>
  <c r="BM127" i="1"/>
  <c r="BN126" i="1"/>
  <c r="BM126" i="1"/>
  <c r="BN125" i="1"/>
  <c r="BM125" i="1"/>
  <c r="BN124" i="1"/>
  <c r="BM124" i="1"/>
  <c r="BN123" i="1"/>
  <c r="BM123" i="1"/>
  <c r="BN122" i="1"/>
  <c r="BM122" i="1"/>
  <c r="BN121" i="1"/>
  <c r="BM121" i="1"/>
  <c r="BN120" i="1"/>
  <c r="BM120" i="1"/>
  <c r="BN112" i="1"/>
  <c r="BM112" i="1"/>
  <c r="BN111" i="1"/>
  <c r="BM111" i="1"/>
  <c r="BN110" i="1"/>
  <c r="BM110" i="1"/>
  <c r="BN109" i="1"/>
  <c r="BM109" i="1"/>
  <c r="BN84" i="1"/>
  <c r="BM84" i="1"/>
  <c r="BN81" i="1"/>
  <c r="BM81" i="1"/>
  <c r="BN78" i="1"/>
  <c r="BM78" i="1"/>
  <c r="BN43" i="1"/>
  <c r="BM43" i="1"/>
  <c r="BN41" i="1"/>
  <c r="BM41" i="1"/>
  <c r="BN38" i="1"/>
  <c r="BM38" i="1"/>
  <c r="BN37" i="1"/>
  <c r="BM37" i="1"/>
  <c r="BN33" i="1"/>
  <c r="BM33" i="1"/>
  <c r="BN25" i="1"/>
  <c r="BM25" i="1"/>
  <c r="BN24" i="1"/>
  <c r="BM24" i="1"/>
  <c r="BN23" i="1"/>
  <c r="BM23" i="1"/>
  <c r="BM20" i="1"/>
  <c r="BM18" i="1"/>
  <c r="BN17" i="1"/>
  <c r="BM17" i="1"/>
  <c r="BN16" i="1"/>
  <c r="BM16" i="1"/>
  <c r="BM14" i="1"/>
  <c r="BN14" i="1" s="1"/>
  <c r="AG12" i="8" s="1"/>
  <c r="BH130" i="1"/>
  <c r="BG130" i="1"/>
  <c r="BH129" i="1"/>
  <c r="BG129" i="1"/>
  <c r="BH128" i="1"/>
  <c r="BG128" i="1"/>
  <c r="BH127" i="1"/>
  <c r="BG127" i="1"/>
  <c r="BH126" i="1"/>
  <c r="BG126" i="1"/>
  <c r="BH125" i="1"/>
  <c r="BG125" i="1"/>
  <c r="BH124" i="1"/>
  <c r="BG124" i="1"/>
  <c r="BH123" i="1"/>
  <c r="BG123" i="1"/>
  <c r="BH122" i="1"/>
  <c r="BG122" i="1"/>
  <c r="BH121" i="1"/>
  <c r="BG121" i="1"/>
  <c r="BH120" i="1"/>
  <c r="BG120" i="1"/>
  <c r="BH112" i="1"/>
  <c r="BG112" i="1"/>
  <c r="BH111" i="1"/>
  <c r="BG111" i="1"/>
  <c r="BH110" i="1"/>
  <c r="BG110" i="1"/>
  <c r="BH109" i="1"/>
  <c r="BG109" i="1"/>
  <c r="BH84" i="1"/>
  <c r="BG84" i="1"/>
  <c r="BH81" i="1"/>
  <c r="BG81" i="1"/>
  <c r="BH78" i="1"/>
  <c r="BG78" i="1"/>
  <c r="BH43" i="1"/>
  <c r="BG43" i="1"/>
  <c r="BH41" i="1"/>
  <c r="BG41" i="1"/>
  <c r="BH38" i="1"/>
  <c r="BG38" i="1"/>
  <c r="BH37" i="1"/>
  <c r="BG37" i="1"/>
  <c r="BH33" i="1"/>
  <c r="BG33" i="1"/>
  <c r="BH25" i="1"/>
  <c r="BG25" i="1"/>
  <c r="BH24" i="1"/>
  <c r="BG24" i="1"/>
  <c r="BH23" i="1"/>
  <c r="BG23" i="1"/>
  <c r="BG20" i="1"/>
  <c r="BG18" i="1"/>
  <c r="BH17" i="1"/>
  <c r="BG17" i="1"/>
  <c r="BH16" i="1"/>
  <c r="BG16" i="1"/>
  <c r="BG14" i="1"/>
  <c r="BH14" i="1" s="1"/>
  <c r="AD12" i="8" s="1"/>
  <c r="BF130" i="1"/>
  <c r="BE130" i="1"/>
  <c r="BF129" i="1"/>
  <c r="BE129" i="1"/>
  <c r="BF128" i="1"/>
  <c r="BE128" i="1"/>
  <c r="BF127" i="1"/>
  <c r="BE127" i="1"/>
  <c r="BF126" i="1"/>
  <c r="BE126" i="1"/>
  <c r="BF125" i="1"/>
  <c r="BE125" i="1"/>
  <c r="BF124" i="1"/>
  <c r="BE124" i="1"/>
  <c r="BF123" i="1"/>
  <c r="BE123" i="1"/>
  <c r="BF122" i="1"/>
  <c r="BE122" i="1"/>
  <c r="BF121" i="1"/>
  <c r="BE121" i="1"/>
  <c r="BF120" i="1"/>
  <c r="BE120" i="1"/>
  <c r="BF112" i="1"/>
  <c r="BE112" i="1"/>
  <c r="BF111" i="1"/>
  <c r="BE111" i="1"/>
  <c r="BF110" i="1"/>
  <c r="BE110" i="1"/>
  <c r="BF109" i="1"/>
  <c r="BE109" i="1"/>
  <c r="BF84" i="1"/>
  <c r="BE84" i="1"/>
  <c r="BF81" i="1"/>
  <c r="BE81" i="1"/>
  <c r="BF78" i="1"/>
  <c r="BE78" i="1"/>
  <c r="AC12" i="8"/>
  <c r="BF12" i="1"/>
  <c r="BF11" i="1" s="1"/>
  <c r="BB112" i="1"/>
  <c r="BA112" i="1"/>
  <c r="BB111" i="1"/>
  <c r="BA111" i="1"/>
  <c r="BB110" i="1"/>
  <c r="BA110" i="1"/>
  <c r="BB109" i="1"/>
  <c r="BA109" i="1"/>
  <c r="BB91" i="1"/>
  <c r="BA91" i="1"/>
  <c r="BB84" i="1"/>
  <c r="BA84" i="1"/>
  <c r="BB81" i="1"/>
  <c r="BA81" i="1"/>
  <c r="BB78" i="1"/>
  <c r="BA78" i="1"/>
  <c r="AZ130" i="1"/>
  <c r="AY130" i="1"/>
  <c r="AZ129" i="1"/>
  <c r="AY129" i="1"/>
  <c r="AZ128" i="1"/>
  <c r="AY128" i="1"/>
  <c r="AZ127" i="1"/>
  <c r="AY127" i="1"/>
  <c r="AZ126" i="1"/>
  <c r="AY126" i="1"/>
  <c r="AZ125" i="1"/>
  <c r="AY125" i="1"/>
  <c r="AZ124" i="1"/>
  <c r="AY124" i="1"/>
  <c r="AZ123" i="1"/>
  <c r="AY123" i="1"/>
  <c r="AZ122" i="1"/>
  <c r="AY122" i="1"/>
  <c r="AZ121" i="1"/>
  <c r="AY121" i="1"/>
  <c r="AZ120" i="1"/>
  <c r="AY120" i="1"/>
  <c r="AZ112" i="1"/>
  <c r="AY112" i="1"/>
  <c r="AZ111" i="1"/>
  <c r="AY111" i="1"/>
  <c r="AZ110" i="1"/>
  <c r="AY110" i="1"/>
  <c r="AZ109" i="1"/>
  <c r="AY109" i="1"/>
  <c r="AZ91" i="1"/>
  <c r="AY91" i="1"/>
  <c r="AZ84" i="1"/>
  <c r="AY84" i="1"/>
  <c r="AZ81" i="1"/>
  <c r="AY81" i="1"/>
  <c r="AZ78" i="1"/>
  <c r="AY78" i="1"/>
  <c r="AZ12" i="1"/>
  <c r="AZ11" i="1" s="1"/>
  <c r="AV130" i="1"/>
  <c r="AU130" i="1"/>
  <c r="AV129" i="1"/>
  <c r="AU129" i="1"/>
  <c r="AV128" i="1"/>
  <c r="AU128" i="1"/>
  <c r="AV127" i="1"/>
  <c r="AU127" i="1"/>
  <c r="AV126" i="1"/>
  <c r="AU126" i="1"/>
  <c r="AV125" i="1"/>
  <c r="AU125" i="1"/>
  <c r="AV124" i="1"/>
  <c r="AU124" i="1"/>
  <c r="AV112" i="1"/>
  <c r="AU112" i="1"/>
  <c r="AV111" i="1"/>
  <c r="AU111" i="1"/>
  <c r="AV110" i="1"/>
  <c r="AU110" i="1"/>
  <c r="AV109" i="1"/>
  <c r="AU109" i="1"/>
  <c r="AV91" i="1"/>
  <c r="AU91" i="1"/>
  <c r="AV84" i="1"/>
  <c r="AU84" i="1"/>
  <c r="AV81" i="1"/>
  <c r="AU81" i="1"/>
  <c r="AV78" i="1"/>
  <c r="AU78" i="1"/>
  <c r="AV12" i="1"/>
  <c r="AV11" i="1" s="1"/>
  <c r="AR130" i="1"/>
  <c r="AQ130" i="1"/>
  <c r="AR129" i="1"/>
  <c r="AQ129" i="1"/>
  <c r="AR128" i="1"/>
  <c r="AQ128" i="1"/>
  <c r="AR127" i="1"/>
  <c r="AQ127" i="1"/>
  <c r="AR126" i="1"/>
  <c r="AQ126" i="1"/>
  <c r="AR125" i="1"/>
  <c r="AQ125" i="1"/>
  <c r="AR124" i="1"/>
  <c r="AQ124" i="1"/>
  <c r="AR112" i="1"/>
  <c r="AQ112" i="1"/>
  <c r="AR111" i="1"/>
  <c r="AQ111" i="1"/>
  <c r="AR110" i="1"/>
  <c r="AQ110" i="1"/>
  <c r="AR109" i="1"/>
  <c r="AQ109" i="1"/>
  <c r="AR91" i="1"/>
  <c r="AQ91" i="1"/>
  <c r="AR84" i="1"/>
  <c r="AQ84" i="1"/>
  <c r="AR81" i="1"/>
  <c r="AQ81" i="1"/>
  <c r="AR78" i="1"/>
  <c r="AQ78" i="1"/>
  <c r="AR12" i="1"/>
  <c r="AR11" i="1" s="1"/>
  <c r="AN130" i="1"/>
  <c r="AM130" i="1"/>
  <c r="AN129" i="1"/>
  <c r="AM129" i="1"/>
  <c r="AN128" i="1"/>
  <c r="AM128" i="1"/>
  <c r="AN127" i="1"/>
  <c r="AM127" i="1"/>
  <c r="AN126" i="1"/>
  <c r="AM126" i="1"/>
  <c r="AN125" i="1"/>
  <c r="AM125" i="1"/>
  <c r="AN124" i="1"/>
  <c r="AM124" i="1"/>
  <c r="AN112" i="1"/>
  <c r="AM112" i="1"/>
  <c r="AN111" i="1"/>
  <c r="AM111" i="1"/>
  <c r="AN110" i="1"/>
  <c r="AM110" i="1"/>
  <c r="AN109" i="1"/>
  <c r="AM109" i="1"/>
  <c r="AN91" i="1"/>
  <c r="AM91" i="1"/>
  <c r="AN84" i="1"/>
  <c r="AM84" i="1"/>
  <c r="AN81" i="1"/>
  <c r="AM81" i="1"/>
  <c r="AN78" i="1"/>
  <c r="AM78" i="1"/>
  <c r="AN12" i="1"/>
  <c r="AN11" i="1" s="1"/>
  <c r="AJ130" i="1"/>
  <c r="AI130" i="1"/>
  <c r="AJ129" i="1"/>
  <c r="AI129" i="1"/>
  <c r="AJ128" i="1"/>
  <c r="AI128" i="1"/>
  <c r="AJ127" i="1"/>
  <c r="AI127" i="1"/>
  <c r="AJ126" i="1"/>
  <c r="AI126" i="1"/>
  <c r="AJ125" i="1"/>
  <c r="AI125" i="1"/>
  <c r="AJ124" i="1"/>
  <c r="AI124" i="1"/>
  <c r="AJ112" i="1"/>
  <c r="AI112" i="1"/>
  <c r="AJ111" i="1"/>
  <c r="AI111" i="1"/>
  <c r="AJ110" i="1"/>
  <c r="AI110" i="1"/>
  <c r="AJ109" i="1"/>
  <c r="AI109" i="1"/>
  <c r="AJ91" i="1"/>
  <c r="AI91" i="1"/>
  <c r="AJ84" i="1"/>
  <c r="AI84" i="1"/>
  <c r="AJ81" i="1"/>
  <c r="AI81" i="1"/>
  <c r="AJ78" i="1"/>
  <c r="AI78" i="1"/>
  <c r="AJ12" i="1"/>
  <c r="AJ11" i="1" s="1"/>
  <c r="AF130" i="1"/>
  <c r="AE130" i="1"/>
  <c r="AF129" i="1"/>
  <c r="AE129" i="1"/>
  <c r="AF128" i="1"/>
  <c r="AE128" i="1"/>
  <c r="AF127" i="1"/>
  <c r="AE127" i="1"/>
  <c r="AF126" i="1"/>
  <c r="AE126" i="1"/>
  <c r="AF125" i="1"/>
  <c r="AE125" i="1"/>
  <c r="AF124" i="1"/>
  <c r="AE124" i="1"/>
  <c r="AF112" i="1"/>
  <c r="AE112" i="1"/>
  <c r="AF111" i="1"/>
  <c r="AE111" i="1"/>
  <c r="AF110" i="1"/>
  <c r="AE110" i="1"/>
  <c r="AF109" i="1"/>
  <c r="AE109" i="1"/>
  <c r="AF91" i="1"/>
  <c r="AE91" i="1"/>
  <c r="AF84" i="1"/>
  <c r="AE84" i="1"/>
  <c r="AF81" i="1"/>
  <c r="AE81" i="1"/>
  <c r="AF78" i="1"/>
  <c r="AE78" i="1"/>
  <c r="AF12" i="1"/>
  <c r="AF11" i="1" s="1"/>
  <c r="AB130" i="1"/>
  <c r="AA130" i="1"/>
  <c r="AB129" i="1"/>
  <c r="AA129" i="1"/>
  <c r="AB128" i="1"/>
  <c r="AA128" i="1"/>
  <c r="AB127" i="1"/>
  <c r="AA127" i="1"/>
  <c r="AB126" i="1"/>
  <c r="AA126" i="1"/>
  <c r="AB125" i="1"/>
  <c r="AA125" i="1"/>
  <c r="AB124" i="1"/>
  <c r="AA124" i="1"/>
  <c r="AB112" i="1"/>
  <c r="AA112" i="1"/>
  <c r="AB111" i="1"/>
  <c r="AA111" i="1"/>
  <c r="AB110" i="1"/>
  <c r="AA110" i="1"/>
  <c r="AB109" i="1"/>
  <c r="AA109" i="1"/>
  <c r="AB91" i="1"/>
  <c r="AA91" i="1"/>
  <c r="AB84" i="1"/>
  <c r="AA84" i="1"/>
  <c r="AB81" i="1"/>
  <c r="AA81" i="1"/>
  <c r="AB78" i="1"/>
  <c r="AA78" i="1"/>
  <c r="AB12" i="1"/>
  <c r="AB11" i="1" s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12" i="1"/>
  <c r="W112" i="1"/>
  <c r="X111" i="1"/>
  <c r="W111" i="1"/>
  <c r="X110" i="1"/>
  <c r="W110" i="1"/>
  <c r="X109" i="1"/>
  <c r="W109" i="1"/>
  <c r="X91" i="1"/>
  <c r="W91" i="1"/>
  <c r="X84" i="1"/>
  <c r="W84" i="1"/>
  <c r="X81" i="1"/>
  <c r="W81" i="1"/>
  <c r="X78" i="1"/>
  <c r="W78" i="1"/>
  <c r="X12" i="1"/>
  <c r="X11" i="1" s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12" i="1"/>
  <c r="S112" i="1"/>
  <c r="T111" i="1"/>
  <c r="S111" i="1"/>
  <c r="T110" i="1"/>
  <c r="S110" i="1"/>
  <c r="T109" i="1"/>
  <c r="S109" i="1"/>
  <c r="T91" i="1"/>
  <c r="S91" i="1"/>
  <c r="T84" i="1"/>
  <c r="S84" i="1"/>
  <c r="T81" i="1"/>
  <c r="S81" i="1"/>
  <c r="T78" i="1"/>
  <c r="S78" i="1"/>
  <c r="T12" i="1"/>
  <c r="T11" i="1" s="1"/>
  <c r="P130" i="1"/>
  <c r="O130" i="1"/>
  <c r="P129" i="1"/>
  <c r="O129" i="1"/>
  <c r="P128" i="1"/>
  <c r="O128" i="1"/>
  <c r="P127" i="1"/>
  <c r="O127" i="1"/>
  <c r="P126" i="1"/>
  <c r="O126" i="1"/>
  <c r="P125" i="1"/>
  <c r="O125" i="1"/>
  <c r="P124" i="1"/>
  <c r="O124" i="1"/>
  <c r="P112" i="1"/>
  <c r="O112" i="1"/>
  <c r="P111" i="1"/>
  <c r="O111" i="1"/>
  <c r="P110" i="1"/>
  <c r="O110" i="1"/>
  <c r="P109" i="1"/>
  <c r="O109" i="1"/>
  <c r="P91" i="1"/>
  <c r="O91" i="1"/>
  <c r="P84" i="1"/>
  <c r="O84" i="1"/>
  <c r="P81" i="1"/>
  <c r="O81" i="1"/>
  <c r="P78" i="1"/>
  <c r="O78" i="1"/>
  <c r="P12" i="1"/>
  <c r="P11" i="1" s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12" i="1"/>
  <c r="K112" i="1"/>
  <c r="L111" i="1"/>
  <c r="K111" i="1"/>
  <c r="L110" i="1"/>
  <c r="K110" i="1"/>
  <c r="L109" i="1"/>
  <c r="K109" i="1"/>
  <c r="L91" i="1"/>
  <c r="K91" i="1"/>
  <c r="L84" i="1"/>
  <c r="K84" i="1"/>
  <c r="L81" i="1"/>
  <c r="K81" i="1"/>
  <c r="L78" i="1"/>
  <c r="K78" i="1"/>
  <c r="L12" i="1"/>
  <c r="L11" i="1" s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12" i="1"/>
  <c r="I112" i="1"/>
  <c r="J111" i="1"/>
  <c r="I111" i="1"/>
  <c r="J110" i="1"/>
  <c r="I110" i="1"/>
  <c r="J109" i="1"/>
  <c r="I109" i="1"/>
  <c r="J91" i="1"/>
  <c r="I91" i="1"/>
  <c r="J84" i="1"/>
  <c r="I84" i="1"/>
  <c r="J81" i="1"/>
  <c r="I81" i="1"/>
  <c r="J78" i="1"/>
  <c r="I78" i="1"/>
  <c r="J12" i="1"/>
  <c r="J11" i="1" s="1"/>
  <c r="F112" i="1"/>
  <c r="E112" i="1"/>
  <c r="F111" i="1"/>
  <c r="E111" i="1"/>
  <c r="F110" i="1"/>
  <c r="E110" i="1"/>
  <c r="F109" i="1"/>
  <c r="E109" i="1"/>
  <c r="BK128" i="10"/>
  <c r="D128" i="10"/>
  <c r="D127" i="10"/>
  <c r="D126" i="10"/>
  <c r="D125" i="10"/>
  <c r="D124" i="10"/>
  <c r="D123" i="10"/>
  <c r="D122" i="10"/>
  <c r="D121" i="10"/>
  <c r="D120" i="10"/>
  <c r="D118" i="10"/>
  <c r="AB114" i="10"/>
  <c r="BH113" i="10"/>
  <c r="C113" i="10"/>
  <c r="D113" i="10" s="1"/>
  <c r="Z113" i="10" s="1"/>
  <c r="BK112" i="10"/>
  <c r="AE112" i="10"/>
  <c r="AH112" i="10" s="1"/>
  <c r="AK112" i="10" s="1"/>
  <c r="AN112" i="10" s="1"/>
  <c r="AQ112" i="10" s="1"/>
  <c r="AT112" i="10" s="1"/>
  <c r="AW112" i="10" s="1"/>
  <c r="AZ112" i="10" s="1"/>
  <c r="BC112" i="10" s="1"/>
  <c r="BF112" i="10" s="1"/>
  <c r="I112" i="10"/>
  <c r="AI112" i="10" s="1"/>
  <c r="G112" i="10"/>
  <c r="AF112" i="10" s="1"/>
  <c r="D112" i="10"/>
  <c r="BK111" i="10"/>
  <c r="AE111" i="10"/>
  <c r="AH111" i="10" s="1"/>
  <c r="AK111" i="10" s="1"/>
  <c r="AN111" i="10" s="1"/>
  <c r="AQ111" i="10" s="1"/>
  <c r="AT111" i="10" s="1"/>
  <c r="AW111" i="10" s="1"/>
  <c r="AZ111" i="10" s="1"/>
  <c r="BC111" i="10" s="1"/>
  <c r="BF111" i="10" s="1"/>
  <c r="I111" i="10"/>
  <c r="AI111" i="10" s="1"/>
  <c r="G111" i="10"/>
  <c r="AF111" i="10" s="1"/>
  <c r="D111" i="10"/>
  <c r="BK110" i="10"/>
  <c r="AE110" i="10"/>
  <c r="AH110" i="10" s="1"/>
  <c r="AK110" i="10" s="1"/>
  <c r="AN110" i="10" s="1"/>
  <c r="AQ110" i="10" s="1"/>
  <c r="AT110" i="10" s="1"/>
  <c r="AW110" i="10" s="1"/>
  <c r="AZ110" i="10" s="1"/>
  <c r="BC110" i="10" s="1"/>
  <c r="BF110" i="10" s="1"/>
  <c r="I110" i="10"/>
  <c r="AI110" i="10" s="1"/>
  <c r="G110" i="10"/>
  <c r="AF110" i="10" s="1"/>
  <c r="D110" i="10"/>
  <c r="BK109" i="10"/>
  <c r="AE109" i="10"/>
  <c r="AH109" i="10" s="1"/>
  <c r="AK109" i="10" s="1"/>
  <c r="AN109" i="10" s="1"/>
  <c r="AQ109" i="10" s="1"/>
  <c r="AT109" i="10" s="1"/>
  <c r="AW109" i="10" s="1"/>
  <c r="AZ109" i="10" s="1"/>
  <c r="BC109" i="10" s="1"/>
  <c r="BF109" i="10" s="1"/>
  <c r="I109" i="10"/>
  <c r="AI109" i="10" s="1"/>
  <c r="G109" i="10"/>
  <c r="AF109" i="10" s="1"/>
  <c r="D109" i="10"/>
  <c r="BK108" i="10"/>
  <c r="AE108" i="10"/>
  <c r="AH108" i="10" s="1"/>
  <c r="AK108" i="10" s="1"/>
  <c r="AN108" i="10" s="1"/>
  <c r="AQ108" i="10" s="1"/>
  <c r="AT108" i="10" s="1"/>
  <c r="AW108" i="10" s="1"/>
  <c r="AZ108" i="10" s="1"/>
  <c r="BC108" i="10" s="1"/>
  <c r="BF108" i="10" s="1"/>
  <c r="I108" i="10"/>
  <c r="AI108" i="10" s="1"/>
  <c r="G108" i="10"/>
  <c r="AF108" i="10" s="1"/>
  <c r="D108" i="10"/>
  <c r="BK107" i="10"/>
  <c r="AE107" i="10"/>
  <c r="AH107" i="10" s="1"/>
  <c r="AK107" i="10" s="1"/>
  <c r="AN107" i="10" s="1"/>
  <c r="AQ107" i="10" s="1"/>
  <c r="AT107" i="10" s="1"/>
  <c r="AW107" i="10" s="1"/>
  <c r="AZ107" i="10" s="1"/>
  <c r="BC107" i="10" s="1"/>
  <c r="BF107" i="10" s="1"/>
  <c r="I107" i="10"/>
  <c r="AI107" i="10" s="1"/>
  <c r="G107" i="10"/>
  <c r="AF107" i="10" s="1"/>
  <c r="D107" i="10"/>
  <c r="BK106" i="10"/>
  <c r="AE106" i="10"/>
  <c r="AH106" i="10" s="1"/>
  <c r="AK106" i="10" s="1"/>
  <c r="AN106" i="10" s="1"/>
  <c r="AQ106" i="10" s="1"/>
  <c r="AT106" i="10" s="1"/>
  <c r="AW106" i="10" s="1"/>
  <c r="AZ106" i="10" s="1"/>
  <c r="BC106" i="10" s="1"/>
  <c r="BF106" i="10" s="1"/>
  <c r="I106" i="10"/>
  <c r="AI106" i="10" s="1"/>
  <c r="G106" i="10"/>
  <c r="AF106" i="10" s="1"/>
  <c r="D106" i="10"/>
  <c r="BK105" i="10"/>
  <c r="AE105" i="10"/>
  <c r="AH105" i="10" s="1"/>
  <c r="AK105" i="10" s="1"/>
  <c r="AN105" i="10" s="1"/>
  <c r="AQ105" i="10" s="1"/>
  <c r="AT105" i="10" s="1"/>
  <c r="AW105" i="10" s="1"/>
  <c r="AZ105" i="10" s="1"/>
  <c r="BC105" i="10" s="1"/>
  <c r="BF105" i="10" s="1"/>
  <c r="I105" i="10"/>
  <c r="AI105" i="10" s="1"/>
  <c r="G105" i="10"/>
  <c r="AF105" i="10" s="1"/>
  <c r="D105" i="10"/>
  <c r="BL105" i="10" s="1"/>
  <c r="BK104" i="10"/>
  <c r="AE104" i="10"/>
  <c r="AH104" i="10" s="1"/>
  <c r="AK104" i="10" s="1"/>
  <c r="AN104" i="10" s="1"/>
  <c r="AQ104" i="10" s="1"/>
  <c r="AT104" i="10" s="1"/>
  <c r="AW104" i="10" s="1"/>
  <c r="AZ104" i="10" s="1"/>
  <c r="BC104" i="10" s="1"/>
  <c r="BF104" i="10" s="1"/>
  <c r="I104" i="10"/>
  <c r="AI104" i="10" s="1"/>
  <c r="G104" i="10"/>
  <c r="AF104" i="10" s="1"/>
  <c r="D104" i="10"/>
  <c r="BL104" i="10" s="1"/>
  <c r="BK103" i="10"/>
  <c r="AE103" i="10"/>
  <c r="AH103" i="10" s="1"/>
  <c r="AK103" i="10" s="1"/>
  <c r="AN103" i="10" s="1"/>
  <c r="AQ103" i="10" s="1"/>
  <c r="AT103" i="10" s="1"/>
  <c r="AW103" i="10" s="1"/>
  <c r="AZ103" i="10" s="1"/>
  <c r="BC103" i="10" s="1"/>
  <c r="BF103" i="10" s="1"/>
  <c r="I103" i="10"/>
  <c r="AI103" i="10" s="1"/>
  <c r="G103" i="10"/>
  <c r="AF103" i="10" s="1"/>
  <c r="D103" i="10"/>
  <c r="BL103" i="10" s="1"/>
  <c r="BK102" i="10"/>
  <c r="AE102" i="10"/>
  <c r="AH102" i="10" s="1"/>
  <c r="AK102" i="10" s="1"/>
  <c r="AN102" i="10" s="1"/>
  <c r="AQ102" i="10" s="1"/>
  <c r="AT102" i="10" s="1"/>
  <c r="AW102" i="10" s="1"/>
  <c r="AZ102" i="10" s="1"/>
  <c r="BC102" i="10" s="1"/>
  <c r="BF102" i="10" s="1"/>
  <c r="I102" i="10"/>
  <c r="AI102" i="10" s="1"/>
  <c r="G102" i="10"/>
  <c r="AF102" i="10" s="1"/>
  <c r="D102" i="10"/>
  <c r="BL102" i="10" s="1"/>
  <c r="BJ101" i="10"/>
  <c r="BI101" i="10"/>
  <c r="BH101" i="10"/>
  <c r="BE101" i="10"/>
  <c r="BB101" i="10"/>
  <c r="AY101" i="10"/>
  <c r="AV101" i="10"/>
  <c r="AS101" i="10"/>
  <c r="AP101" i="10"/>
  <c r="AM101" i="10"/>
  <c r="AJ101" i="10"/>
  <c r="AG101" i="10"/>
  <c r="AD101" i="10"/>
  <c r="AC101" i="10"/>
  <c r="AA101" i="10"/>
  <c r="BK101" i="10" s="1"/>
  <c r="Z101" i="10"/>
  <c r="X101" i="10"/>
  <c r="V101" i="10"/>
  <c r="T101" i="10"/>
  <c r="R101" i="10"/>
  <c r="P101" i="10"/>
  <c r="N101" i="10"/>
  <c r="L101" i="10"/>
  <c r="J101" i="10"/>
  <c r="H101" i="10"/>
  <c r="F101" i="10"/>
  <c r="E101" i="10"/>
  <c r="C101" i="10"/>
  <c r="BK100" i="10"/>
  <c r="AE100" i="10"/>
  <c r="AH100" i="10" s="1"/>
  <c r="AK100" i="10" s="1"/>
  <c r="AN100" i="10" s="1"/>
  <c r="AQ100" i="10" s="1"/>
  <c r="AT100" i="10" s="1"/>
  <c r="AW100" i="10" s="1"/>
  <c r="AZ100" i="10" s="1"/>
  <c r="BC100" i="10" s="1"/>
  <c r="BF100" i="10" s="1"/>
  <c r="G100" i="10"/>
  <c r="AF100" i="10" s="1"/>
  <c r="D100" i="10"/>
  <c r="BK99" i="10"/>
  <c r="AE99" i="10"/>
  <c r="AH99" i="10" s="1"/>
  <c r="AK99" i="10" s="1"/>
  <c r="AN99" i="10" s="1"/>
  <c r="AQ99" i="10" s="1"/>
  <c r="AT99" i="10" s="1"/>
  <c r="AW99" i="10" s="1"/>
  <c r="AZ99" i="10" s="1"/>
  <c r="BC99" i="10" s="1"/>
  <c r="BF99" i="10" s="1"/>
  <c r="G99" i="10"/>
  <c r="AF99" i="10" s="1"/>
  <c r="D99" i="10"/>
  <c r="BK98" i="10"/>
  <c r="AE98" i="10"/>
  <c r="AH98" i="10" s="1"/>
  <c r="AK98" i="10" s="1"/>
  <c r="AN98" i="10" s="1"/>
  <c r="AQ98" i="10" s="1"/>
  <c r="AT98" i="10" s="1"/>
  <c r="AW98" i="10" s="1"/>
  <c r="AZ98" i="10" s="1"/>
  <c r="BC98" i="10" s="1"/>
  <c r="BF98" i="10" s="1"/>
  <c r="G98" i="10"/>
  <c r="AF98" i="10" s="1"/>
  <c r="D98" i="10"/>
  <c r="BK97" i="10"/>
  <c r="AE97" i="10"/>
  <c r="AH97" i="10" s="1"/>
  <c r="AK97" i="10" s="1"/>
  <c r="AN97" i="10" s="1"/>
  <c r="AQ97" i="10" s="1"/>
  <c r="AT97" i="10" s="1"/>
  <c r="AW97" i="10" s="1"/>
  <c r="AZ97" i="10" s="1"/>
  <c r="BC97" i="10" s="1"/>
  <c r="BF97" i="10" s="1"/>
  <c r="G97" i="10"/>
  <c r="AF97" i="10" s="1"/>
  <c r="D97" i="10"/>
  <c r="BK96" i="10"/>
  <c r="AE96" i="10"/>
  <c r="AH96" i="10" s="1"/>
  <c r="AK96" i="10" s="1"/>
  <c r="AN96" i="10" s="1"/>
  <c r="AQ96" i="10" s="1"/>
  <c r="AT96" i="10" s="1"/>
  <c r="AW96" i="10" s="1"/>
  <c r="AZ96" i="10" s="1"/>
  <c r="BC96" i="10" s="1"/>
  <c r="BF96" i="10" s="1"/>
  <c r="G96" i="10"/>
  <c r="AF96" i="10" s="1"/>
  <c r="D96" i="10"/>
  <c r="BL96" i="10" s="1"/>
  <c r="BK95" i="10"/>
  <c r="AE95" i="10"/>
  <c r="AH95" i="10" s="1"/>
  <c r="AK95" i="10" s="1"/>
  <c r="AN95" i="10" s="1"/>
  <c r="AQ95" i="10" s="1"/>
  <c r="AT95" i="10" s="1"/>
  <c r="AW95" i="10" s="1"/>
  <c r="AZ95" i="10" s="1"/>
  <c r="BC95" i="10" s="1"/>
  <c r="BF95" i="10" s="1"/>
  <c r="G95" i="10"/>
  <c r="AF95" i="10" s="1"/>
  <c r="D95" i="10"/>
  <c r="BL95" i="10" s="1"/>
  <c r="BK94" i="10"/>
  <c r="BH94" i="10"/>
  <c r="BH91" i="10" s="1"/>
  <c r="BE94" i="10"/>
  <c r="BE91" i="10" s="1"/>
  <c r="BB94" i="10"/>
  <c r="BB91" i="10" s="1"/>
  <c r="AY94" i="10"/>
  <c r="AY91" i="10" s="1"/>
  <c r="AV94" i="10"/>
  <c r="AV91" i="10" s="1"/>
  <c r="AS94" i="10"/>
  <c r="AS91" i="10" s="1"/>
  <c r="AP94" i="10"/>
  <c r="AP91" i="10" s="1"/>
  <c r="AM94" i="10"/>
  <c r="AM91" i="10" s="1"/>
  <c r="AJ94" i="10"/>
  <c r="AJ91" i="10" s="1"/>
  <c r="AG94" i="10"/>
  <c r="AG91" i="10" s="1"/>
  <c r="AD94" i="10"/>
  <c r="AD91" i="10" s="1"/>
  <c r="AC94" i="10"/>
  <c r="AC91" i="10" s="1"/>
  <c r="Z94" i="10"/>
  <c r="Z91" i="10" s="1"/>
  <c r="X94" i="10"/>
  <c r="X91" i="10" s="1"/>
  <c r="V94" i="10"/>
  <c r="V91" i="10" s="1"/>
  <c r="T94" i="10"/>
  <c r="T91" i="10" s="1"/>
  <c r="R94" i="10"/>
  <c r="R91" i="10" s="1"/>
  <c r="P94" i="10"/>
  <c r="P91" i="10" s="1"/>
  <c r="N94" i="10"/>
  <c r="N91" i="10" s="1"/>
  <c r="L94" i="10"/>
  <c r="L91" i="10" s="1"/>
  <c r="J94" i="10"/>
  <c r="J91" i="10" s="1"/>
  <c r="H94" i="10"/>
  <c r="H91" i="10" s="1"/>
  <c r="F94" i="10"/>
  <c r="F91" i="10" s="1"/>
  <c r="E94" i="10"/>
  <c r="E91" i="10" s="1"/>
  <c r="C94" i="10"/>
  <c r="C91" i="10" s="1"/>
  <c r="BK93" i="10"/>
  <c r="AE93" i="10"/>
  <c r="AH93" i="10" s="1"/>
  <c r="AK93" i="10" s="1"/>
  <c r="AN93" i="10" s="1"/>
  <c r="AQ93" i="10" s="1"/>
  <c r="AT93" i="10" s="1"/>
  <c r="AW93" i="10" s="1"/>
  <c r="AZ93" i="10" s="1"/>
  <c r="BC93" i="10" s="1"/>
  <c r="BF93" i="10" s="1"/>
  <c r="G93" i="10"/>
  <c r="AF93" i="10" s="1"/>
  <c r="D93" i="10"/>
  <c r="BL93" i="10" s="1"/>
  <c r="BK92" i="10"/>
  <c r="AE92" i="10"/>
  <c r="AH92" i="10" s="1"/>
  <c r="G92" i="10"/>
  <c r="AF92" i="10" s="1"/>
  <c r="D92" i="10"/>
  <c r="BL92" i="10" s="1"/>
  <c r="BJ91" i="10"/>
  <c r="BI91" i="10"/>
  <c r="AA91" i="10"/>
  <c r="BK91" i="10" s="1"/>
  <c r="BK86" i="10"/>
  <c r="AE86" i="10"/>
  <c r="G86" i="10"/>
  <c r="D86" i="10"/>
  <c r="BL86" i="10" s="1"/>
  <c r="BK85" i="10"/>
  <c r="AE85" i="10"/>
  <c r="AH85" i="10" s="1"/>
  <c r="G85" i="10"/>
  <c r="AF85" i="10" s="1"/>
  <c r="D85" i="10"/>
  <c r="BL85" i="10" s="1"/>
  <c r="BJ84" i="10"/>
  <c r="BI84" i="10"/>
  <c r="BH84" i="10"/>
  <c r="BE84" i="10"/>
  <c r="BB84" i="10"/>
  <c r="AY84" i="10"/>
  <c r="AV84" i="10"/>
  <c r="AS84" i="10"/>
  <c r="AP84" i="10"/>
  <c r="AM84" i="10"/>
  <c r="AJ84" i="10"/>
  <c r="AG84" i="10"/>
  <c r="AD84" i="10"/>
  <c r="AC84" i="10"/>
  <c r="AA84" i="10"/>
  <c r="BK84" i="10" s="1"/>
  <c r="Z84" i="10"/>
  <c r="X84" i="10"/>
  <c r="V84" i="10"/>
  <c r="T84" i="10"/>
  <c r="R84" i="10"/>
  <c r="P84" i="10"/>
  <c r="N84" i="10"/>
  <c r="L84" i="10"/>
  <c r="J84" i="10"/>
  <c r="H84" i="10"/>
  <c r="F84" i="10"/>
  <c r="E84" i="10"/>
  <c r="C84" i="10"/>
  <c r="BK83" i="10"/>
  <c r="AE83" i="10"/>
  <c r="AH83" i="10" s="1"/>
  <c r="AK83" i="10" s="1"/>
  <c r="AN83" i="10" s="1"/>
  <c r="AQ83" i="10" s="1"/>
  <c r="AT83" i="10" s="1"/>
  <c r="AW83" i="10" s="1"/>
  <c r="AZ83" i="10" s="1"/>
  <c r="BC83" i="10" s="1"/>
  <c r="BF83" i="10" s="1"/>
  <c r="G83" i="10"/>
  <c r="AF83" i="10" s="1"/>
  <c r="D83" i="10"/>
  <c r="BL83" i="10" s="1"/>
  <c r="BK82" i="10"/>
  <c r="AE82" i="10"/>
  <c r="AH82" i="10" s="1"/>
  <c r="G82" i="10"/>
  <c r="AF82" i="10" s="1"/>
  <c r="D82" i="10"/>
  <c r="BL82" i="10" s="1"/>
  <c r="BJ81" i="10"/>
  <c r="BI81" i="10"/>
  <c r="BH81" i="10"/>
  <c r="BE81" i="10"/>
  <c r="BB81" i="10"/>
  <c r="AY81" i="10"/>
  <c r="AV81" i="10"/>
  <c r="AS81" i="10"/>
  <c r="AP81" i="10"/>
  <c r="AM81" i="10"/>
  <c r="AJ81" i="10"/>
  <c r="AG81" i="10"/>
  <c r="AD81" i="10"/>
  <c r="AC81" i="10"/>
  <c r="AA81" i="10"/>
  <c r="BK81" i="10" s="1"/>
  <c r="Z81" i="10"/>
  <c r="X81" i="10"/>
  <c r="V81" i="10"/>
  <c r="T81" i="10"/>
  <c r="R81" i="10"/>
  <c r="P81" i="10"/>
  <c r="N81" i="10"/>
  <c r="L81" i="10"/>
  <c r="J81" i="10"/>
  <c r="H81" i="10"/>
  <c r="F81" i="10"/>
  <c r="E81" i="10"/>
  <c r="C81" i="10"/>
  <c r="BK80" i="10"/>
  <c r="AE80" i="10"/>
  <c r="AH80" i="10" s="1"/>
  <c r="AK80" i="10" s="1"/>
  <c r="AN80" i="10" s="1"/>
  <c r="AQ80" i="10" s="1"/>
  <c r="AT80" i="10" s="1"/>
  <c r="AW80" i="10" s="1"/>
  <c r="AZ80" i="10" s="1"/>
  <c r="BC80" i="10" s="1"/>
  <c r="BF80" i="10" s="1"/>
  <c r="G80" i="10"/>
  <c r="AF80" i="10" s="1"/>
  <c r="D80" i="10"/>
  <c r="BL80" i="10" s="1"/>
  <c r="BK79" i="10"/>
  <c r="AE79" i="10"/>
  <c r="AH79" i="10" s="1"/>
  <c r="G79" i="10"/>
  <c r="AF79" i="10" s="1"/>
  <c r="D79" i="10"/>
  <c r="BL79" i="10" s="1"/>
  <c r="BJ78" i="10"/>
  <c r="BI78" i="10"/>
  <c r="BH78" i="10"/>
  <c r="BE78" i="10"/>
  <c r="BB78" i="10"/>
  <c r="AY78" i="10"/>
  <c r="AV78" i="10"/>
  <c r="AS78" i="10"/>
  <c r="AP78" i="10"/>
  <c r="AM78" i="10"/>
  <c r="AJ78" i="10"/>
  <c r="AG78" i="10"/>
  <c r="AD78" i="10"/>
  <c r="AC78" i="10"/>
  <c r="AA78" i="10"/>
  <c r="BK78" i="10" s="1"/>
  <c r="Z78" i="10"/>
  <c r="X78" i="10"/>
  <c r="V78" i="10"/>
  <c r="T78" i="10"/>
  <c r="R78" i="10"/>
  <c r="P78" i="10"/>
  <c r="N78" i="10"/>
  <c r="L78" i="10"/>
  <c r="J78" i="10"/>
  <c r="H78" i="10"/>
  <c r="F78" i="10"/>
  <c r="E78" i="10"/>
  <c r="C78" i="10"/>
  <c r="BK73" i="10"/>
  <c r="BG73" i="10"/>
  <c r="BD73" i="10"/>
  <c r="BA73" i="10"/>
  <c r="AX73" i="10"/>
  <c r="AU73" i="10"/>
  <c r="AR73" i="10"/>
  <c r="AO73" i="10"/>
  <c r="AL73" i="10"/>
  <c r="AI73" i="10"/>
  <c r="AE73" i="10"/>
  <c r="G73" i="10"/>
  <c r="AF73" i="10" s="1"/>
  <c r="D73" i="10"/>
  <c r="AB73" i="10" s="1"/>
  <c r="BK72" i="10"/>
  <c r="BG72" i="10"/>
  <c r="BD72" i="10"/>
  <c r="BA72" i="10"/>
  <c r="AX72" i="10"/>
  <c r="AU72" i="10"/>
  <c r="AR72" i="10"/>
  <c r="AO72" i="10"/>
  <c r="AL72" i="10"/>
  <c r="AI72" i="10"/>
  <c r="AE72" i="10"/>
  <c r="G72" i="10"/>
  <c r="AF72" i="10" s="1"/>
  <c r="D72" i="10"/>
  <c r="AB72" i="10" s="1"/>
  <c r="BK71" i="10"/>
  <c r="BG71" i="10"/>
  <c r="BD71" i="10"/>
  <c r="BA71" i="10"/>
  <c r="AX71" i="10"/>
  <c r="AU71" i="10"/>
  <c r="AR71" i="10"/>
  <c r="AO71" i="10"/>
  <c r="AL71" i="10"/>
  <c r="AI71" i="10"/>
  <c r="AE71" i="10"/>
  <c r="G71" i="10"/>
  <c r="AF71" i="10" s="1"/>
  <c r="D71" i="10"/>
  <c r="AB71" i="10" s="1"/>
  <c r="BK70" i="10"/>
  <c r="BG70" i="10"/>
  <c r="BD70" i="10"/>
  <c r="BA70" i="10"/>
  <c r="AX70" i="10"/>
  <c r="AU70" i="10"/>
  <c r="AR70" i="10"/>
  <c r="AO70" i="10"/>
  <c r="AL70" i="10"/>
  <c r="AI70" i="10"/>
  <c r="AE70" i="10"/>
  <c r="G70" i="10"/>
  <c r="AF70" i="10" s="1"/>
  <c r="D70" i="10"/>
  <c r="AB70" i="10" s="1"/>
  <c r="BK69" i="10"/>
  <c r="BG69" i="10"/>
  <c r="BD69" i="10"/>
  <c r="BA69" i="10"/>
  <c r="AX69" i="10"/>
  <c r="AU69" i="10"/>
  <c r="AR69" i="10"/>
  <c r="AO69" i="10"/>
  <c r="AL69" i="10"/>
  <c r="AI69" i="10"/>
  <c r="AE69" i="10"/>
  <c r="G69" i="10"/>
  <c r="AF69" i="10" s="1"/>
  <c r="D69" i="10"/>
  <c r="AB69" i="10" s="1"/>
  <c r="BK68" i="10"/>
  <c r="BG68" i="10"/>
  <c r="BD68" i="10"/>
  <c r="BA68" i="10"/>
  <c r="AX68" i="10"/>
  <c r="AU68" i="10"/>
  <c r="AR68" i="10"/>
  <c r="AO68" i="10"/>
  <c r="AL68" i="10"/>
  <c r="AI68" i="10"/>
  <c r="AE68" i="10"/>
  <c r="G68" i="10"/>
  <c r="AF68" i="10" s="1"/>
  <c r="D68" i="10"/>
  <c r="AB68" i="10" s="1"/>
  <c r="BK67" i="10"/>
  <c r="BG67" i="10"/>
  <c r="BD67" i="10"/>
  <c r="BA67" i="10"/>
  <c r="AX67" i="10"/>
  <c r="AU67" i="10"/>
  <c r="AR67" i="10"/>
  <c r="AO67" i="10"/>
  <c r="AL67" i="10"/>
  <c r="AI67" i="10"/>
  <c r="AE67" i="10"/>
  <c r="G67" i="10"/>
  <c r="AF67" i="10" s="1"/>
  <c r="D67" i="10"/>
  <c r="AB67" i="10" s="1"/>
  <c r="BK66" i="10"/>
  <c r="BG66" i="10"/>
  <c r="BD66" i="10"/>
  <c r="BA66" i="10"/>
  <c r="AX66" i="10"/>
  <c r="AU66" i="10"/>
  <c r="AR66" i="10"/>
  <c r="AO66" i="10"/>
  <c r="AL66" i="10"/>
  <c r="AI66" i="10"/>
  <c r="AE66" i="10"/>
  <c r="G66" i="10"/>
  <c r="AF66" i="10" s="1"/>
  <c r="D66" i="10"/>
  <c r="AB66" i="10" s="1"/>
  <c r="BK65" i="10"/>
  <c r="BG65" i="10"/>
  <c r="BD65" i="10"/>
  <c r="BA65" i="10"/>
  <c r="AX65" i="10"/>
  <c r="AU65" i="10"/>
  <c r="AR65" i="10"/>
  <c r="AO65" i="10"/>
  <c r="AL65" i="10"/>
  <c r="AI65" i="10"/>
  <c r="AE65" i="10"/>
  <c r="G65" i="10"/>
  <c r="AF65" i="10" s="1"/>
  <c r="D65" i="10"/>
  <c r="AB65" i="10" s="1"/>
  <c r="BK64" i="10"/>
  <c r="BG64" i="10"/>
  <c r="BD64" i="10"/>
  <c r="BA64" i="10"/>
  <c r="AX64" i="10"/>
  <c r="AU64" i="10"/>
  <c r="AR64" i="10"/>
  <c r="AO64" i="10"/>
  <c r="AL64" i="10"/>
  <c r="AI64" i="10"/>
  <c r="AE64" i="10"/>
  <c r="G64" i="10"/>
  <c r="AF64" i="10" s="1"/>
  <c r="D64" i="10"/>
  <c r="AB64" i="10" s="1"/>
  <c r="BK63" i="10"/>
  <c r="BG63" i="10"/>
  <c r="BD63" i="10"/>
  <c r="BA63" i="10"/>
  <c r="AX63" i="10"/>
  <c r="AU63" i="10"/>
  <c r="AR63" i="10"/>
  <c r="AO63" i="10"/>
  <c r="AL63" i="10"/>
  <c r="AI63" i="10"/>
  <c r="AE63" i="10"/>
  <c r="G63" i="10"/>
  <c r="AF63" i="10" s="1"/>
  <c r="D63" i="10"/>
  <c r="BK62" i="10"/>
  <c r="BG62" i="10"/>
  <c r="BD62" i="10"/>
  <c r="BA62" i="10"/>
  <c r="AX62" i="10"/>
  <c r="AU62" i="10"/>
  <c r="AR62" i="10"/>
  <c r="AO62" i="10"/>
  <c r="AL62" i="10"/>
  <c r="AI62" i="10"/>
  <c r="AE62" i="10"/>
  <c r="G62" i="10"/>
  <c r="AF62" i="10" s="1"/>
  <c r="D62" i="10"/>
  <c r="BL62" i="10" s="1"/>
  <c r="BK61" i="10"/>
  <c r="AE61" i="10"/>
  <c r="AH61" i="10" s="1"/>
  <c r="AK61" i="10" s="1"/>
  <c r="AN61" i="10" s="1"/>
  <c r="AQ61" i="10" s="1"/>
  <c r="AT61" i="10" s="1"/>
  <c r="AW61" i="10" s="1"/>
  <c r="AZ61" i="10" s="1"/>
  <c r="BC61" i="10" s="1"/>
  <c r="BF61" i="10" s="1"/>
  <c r="G61" i="10"/>
  <c r="AF61" i="10" s="1"/>
  <c r="D61" i="10"/>
  <c r="BL61" i="10" s="1"/>
  <c r="BK60" i="10"/>
  <c r="BG60" i="10"/>
  <c r="BD60" i="10"/>
  <c r="BA60" i="10"/>
  <c r="AX60" i="10"/>
  <c r="AU60" i="10"/>
  <c r="AR60" i="10"/>
  <c r="AO60" i="10"/>
  <c r="AL60" i="10"/>
  <c r="AI60" i="10"/>
  <c r="AE60" i="10"/>
  <c r="G60" i="10"/>
  <c r="AF60" i="10" s="1"/>
  <c r="D60" i="10"/>
  <c r="BL60" i="10" s="1"/>
  <c r="BK59" i="10"/>
  <c r="BG59" i="10"/>
  <c r="BD59" i="10"/>
  <c r="BA59" i="10"/>
  <c r="AX59" i="10"/>
  <c r="AU59" i="10"/>
  <c r="AR59" i="10"/>
  <c r="AO59" i="10"/>
  <c r="AL59" i="10"/>
  <c r="AI59" i="10"/>
  <c r="AE59" i="10"/>
  <c r="G59" i="10"/>
  <c r="AF59" i="10" s="1"/>
  <c r="D59" i="10"/>
  <c r="BL59" i="10" s="1"/>
  <c r="BK58" i="10"/>
  <c r="AE58" i="10"/>
  <c r="AH58" i="10" s="1"/>
  <c r="AK58" i="10" s="1"/>
  <c r="AN58" i="10" s="1"/>
  <c r="AQ58" i="10" s="1"/>
  <c r="AT58" i="10" s="1"/>
  <c r="AW58" i="10" s="1"/>
  <c r="AZ58" i="10" s="1"/>
  <c r="BC58" i="10" s="1"/>
  <c r="BF58" i="10" s="1"/>
  <c r="G58" i="10"/>
  <c r="AF58" i="10" s="1"/>
  <c r="D58" i="10"/>
  <c r="BL58" i="10" s="1"/>
  <c r="BK57" i="10"/>
  <c r="BG57" i="10"/>
  <c r="BD57" i="10"/>
  <c r="BA57" i="10"/>
  <c r="AX57" i="10"/>
  <c r="AU57" i="10"/>
  <c r="AR57" i="10"/>
  <c r="AO57" i="10"/>
  <c r="AL57" i="10"/>
  <c r="AI57" i="10"/>
  <c r="AE57" i="10"/>
  <c r="G57" i="10"/>
  <c r="AF57" i="10" s="1"/>
  <c r="D57" i="10"/>
  <c r="BL57" i="10" s="1"/>
  <c r="BK56" i="10"/>
  <c r="AE56" i="10"/>
  <c r="AH56" i="10" s="1"/>
  <c r="AK56" i="10" s="1"/>
  <c r="AN56" i="10" s="1"/>
  <c r="AQ56" i="10" s="1"/>
  <c r="AT56" i="10" s="1"/>
  <c r="AW56" i="10" s="1"/>
  <c r="AZ56" i="10" s="1"/>
  <c r="BC56" i="10" s="1"/>
  <c r="BF56" i="10" s="1"/>
  <c r="G56" i="10"/>
  <c r="AF56" i="10" s="1"/>
  <c r="D56" i="10"/>
  <c r="BL56" i="10" s="1"/>
  <c r="BK55" i="10"/>
  <c r="AE55" i="10"/>
  <c r="AH55" i="10" s="1"/>
  <c r="G55" i="10"/>
  <c r="AF55" i="10" s="1"/>
  <c r="D55" i="10"/>
  <c r="BL55" i="10" s="1"/>
  <c r="BK54" i="10"/>
  <c r="BG54" i="10"/>
  <c r="BD54" i="10"/>
  <c r="BA54" i="10"/>
  <c r="AX54" i="10"/>
  <c r="AU54" i="10"/>
  <c r="AR54" i="10"/>
  <c r="AO54" i="10"/>
  <c r="AL54" i="10"/>
  <c r="AI54" i="10"/>
  <c r="AE54" i="10"/>
  <c r="G54" i="10"/>
  <c r="AF54" i="10" s="1"/>
  <c r="D54" i="10"/>
  <c r="BL54" i="10" s="1"/>
  <c r="BK53" i="10"/>
  <c r="AE53" i="10"/>
  <c r="AH53" i="10" s="1"/>
  <c r="AK53" i="10" s="1"/>
  <c r="AN53" i="10" s="1"/>
  <c r="AQ53" i="10" s="1"/>
  <c r="AT53" i="10" s="1"/>
  <c r="AW53" i="10" s="1"/>
  <c r="AZ53" i="10" s="1"/>
  <c r="BC53" i="10" s="1"/>
  <c r="BF53" i="10" s="1"/>
  <c r="G53" i="10"/>
  <c r="AF53" i="10" s="1"/>
  <c r="D53" i="10"/>
  <c r="BL53" i="10" s="1"/>
  <c r="BK52" i="10"/>
  <c r="BG52" i="10"/>
  <c r="BD52" i="10"/>
  <c r="BA52" i="10"/>
  <c r="AX52" i="10"/>
  <c r="AU52" i="10"/>
  <c r="AR52" i="10"/>
  <c r="AO52" i="10"/>
  <c r="AL52" i="10"/>
  <c r="AI52" i="10"/>
  <c r="AE52" i="10"/>
  <c r="G52" i="10"/>
  <c r="AF52" i="10" s="1"/>
  <c r="D52" i="10"/>
  <c r="BL52" i="10" s="1"/>
  <c r="BK51" i="10"/>
  <c r="BG51" i="10"/>
  <c r="BD51" i="10"/>
  <c r="BA51" i="10"/>
  <c r="AX51" i="10"/>
  <c r="AU51" i="10"/>
  <c r="AR51" i="10"/>
  <c r="AO51" i="10"/>
  <c r="AL51" i="10"/>
  <c r="AI51" i="10"/>
  <c r="AE51" i="10"/>
  <c r="G51" i="10"/>
  <c r="AF51" i="10" s="1"/>
  <c r="D51" i="10"/>
  <c r="BL51" i="10" s="1"/>
  <c r="BK50" i="10"/>
  <c r="BG50" i="10"/>
  <c r="BD50" i="10"/>
  <c r="BA50" i="10"/>
  <c r="AX50" i="10"/>
  <c r="AU50" i="10"/>
  <c r="AR50" i="10"/>
  <c r="AO50" i="10"/>
  <c r="AL50" i="10"/>
  <c r="AI50" i="10"/>
  <c r="AE50" i="10"/>
  <c r="G50" i="10"/>
  <c r="AF50" i="10" s="1"/>
  <c r="D50" i="10"/>
  <c r="BL50" i="10" s="1"/>
  <c r="BJ49" i="10"/>
  <c r="BJ47" i="10" s="1"/>
  <c r="BI49" i="10"/>
  <c r="BI47" i="10" s="1"/>
  <c r="BH49" i="10"/>
  <c r="BH47" i="10" s="1"/>
  <c r="BF49" i="10"/>
  <c r="BE49" i="10"/>
  <c r="BE47" i="10" s="1"/>
  <c r="BC49" i="10"/>
  <c r="BB49" i="10"/>
  <c r="BB47" i="10" s="1"/>
  <c r="AZ49" i="10"/>
  <c r="AY49" i="10"/>
  <c r="AY47" i="10" s="1"/>
  <c r="AW49" i="10"/>
  <c r="AV49" i="10"/>
  <c r="AV47" i="10" s="1"/>
  <c r="AT49" i="10"/>
  <c r="AS49" i="10"/>
  <c r="AS47" i="10" s="1"/>
  <c r="AQ49" i="10"/>
  <c r="AP49" i="10"/>
  <c r="AP47" i="10" s="1"/>
  <c r="AN49" i="10"/>
  <c r="AM49" i="10"/>
  <c r="AM47" i="10" s="1"/>
  <c r="AK49" i="10"/>
  <c r="AJ49" i="10"/>
  <c r="AJ47" i="10" s="1"/>
  <c r="AH49" i="10"/>
  <c r="AG49" i="10"/>
  <c r="AG47" i="10" s="1"/>
  <c r="AD49" i="10"/>
  <c r="AD47" i="10" s="1"/>
  <c r="AC49" i="10"/>
  <c r="AA49" i="10"/>
  <c r="BK49" i="10" s="1"/>
  <c r="Z49" i="10"/>
  <c r="Z47" i="10" s="1"/>
  <c r="Y49" i="10"/>
  <c r="BG49" i="10" s="1"/>
  <c r="X49" i="10"/>
  <c r="X47" i="10" s="1"/>
  <c r="W49" i="10"/>
  <c r="BD49" i="10" s="1"/>
  <c r="V49" i="10"/>
  <c r="V47" i="10" s="1"/>
  <c r="U49" i="10"/>
  <c r="BA49" i="10" s="1"/>
  <c r="T49" i="10"/>
  <c r="T47" i="10" s="1"/>
  <c r="S49" i="10"/>
  <c r="AX49" i="10" s="1"/>
  <c r="R49" i="10"/>
  <c r="R47" i="10" s="1"/>
  <c r="Q49" i="10"/>
  <c r="AU49" i="10" s="1"/>
  <c r="P49" i="10"/>
  <c r="P47" i="10" s="1"/>
  <c r="O49" i="10"/>
  <c r="AR49" i="10" s="1"/>
  <c r="N49" i="10"/>
  <c r="N47" i="10" s="1"/>
  <c r="M49" i="10"/>
  <c r="AO49" i="10" s="1"/>
  <c r="L49" i="10"/>
  <c r="L47" i="10" s="1"/>
  <c r="K49" i="10"/>
  <c r="AL49" i="10" s="1"/>
  <c r="J49" i="10"/>
  <c r="J47" i="10" s="1"/>
  <c r="I49" i="10"/>
  <c r="AI49" i="10" s="1"/>
  <c r="H49" i="10"/>
  <c r="H47" i="10" s="1"/>
  <c r="F49" i="10"/>
  <c r="F47" i="10" s="1"/>
  <c r="E49" i="10"/>
  <c r="E47" i="10" s="1"/>
  <c r="C49" i="10"/>
  <c r="C47" i="10" s="1"/>
  <c r="BK48" i="10"/>
  <c r="BG48" i="10"/>
  <c r="BD48" i="10"/>
  <c r="BA48" i="10"/>
  <c r="AX48" i="10"/>
  <c r="AU48" i="10"/>
  <c r="AR48" i="10"/>
  <c r="AO48" i="10"/>
  <c r="AL48" i="10"/>
  <c r="AI48" i="10"/>
  <c r="AE48" i="10"/>
  <c r="G48" i="10"/>
  <c r="AF48" i="10" s="1"/>
  <c r="D48" i="10"/>
  <c r="BL48" i="10" s="1"/>
  <c r="BK46" i="10"/>
  <c r="BG46" i="10"/>
  <c r="BD46" i="10"/>
  <c r="BA46" i="10"/>
  <c r="AX46" i="10"/>
  <c r="AU46" i="10"/>
  <c r="AR46" i="10"/>
  <c r="AO46" i="10"/>
  <c r="AL46" i="10"/>
  <c r="AI46" i="10"/>
  <c r="AE46" i="10"/>
  <c r="G46" i="10"/>
  <c r="AF46" i="10" s="1"/>
  <c r="D46" i="10"/>
  <c r="BL46" i="10" s="1"/>
  <c r="BK45" i="10"/>
  <c r="AE45" i="10"/>
  <c r="AH45" i="10" s="1"/>
  <c r="AK45" i="10" s="1"/>
  <c r="AN45" i="10" s="1"/>
  <c r="AQ45" i="10" s="1"/>
  <c r="AT45" i="10" s="1"/>
  <c r="AW45" i="10" s="1"/>
  <c r="AZ45" i="10" s="1"/>
  <c r="BC45" i="10" s="1"/>
  <c r="BF45" i="10" s="1"/>
  <c r="G45" i="10"/>
  <c r="AF45" i="10" s="1"/>
  <c r="D45" i="10"/>
  <c r="BL45" i="10" s="1"/>
  <c r="BK44" i="10"/>
  <c r="AE44" i="10"/>
  <c r="AH44" i="10" s="1"/>
  <c r="AK44" i="10" s="1"/>
  <c r="AN44" i="10" s="1"/>
  <c r="AQ44" i="10" s="1"/>
  <c r="AT44" i="10" s="1"/>
  <c r="AW44" i="10" s="1"/>
  <c r="AZ44" i="10" s="1"/>
  <c r="BC44" i="10" s="1"/>
  <c r="BF44" i="10" s="1"/>
  <c r="G44" i="10"/>
  <c r="AF44" i="10" s="1"/>
  <c r="D44" i="10"/>
  <c r="BL44" i="10" s="1"/>
  <c r="BK43" i="10"/>
  <c r="AE43" i="10"/>
  <c r="AH43" i="10" s="1"/>
  <c r="AK43" i="10" s="1"/>
  <c r="AN43" i="10" s="1"/>
  <c r="AQ43" i="10" s="1"/>
  <c r="AT43" i="10" s="1"/>
  <c r="AW43" i="10" s="1"/>
  <c r="AZ43" i="10" s="1"/>
  <c r="BC43" i="10" s="1"/>
  <c r="BF43" i="10" s="1"/>
  <c r="G43" i="10"/>
  <c r="AF43" i="10" s="1"/>
  <c r="D43" i="10"/>
  <c r="BL43" i="10" s="1"/>
  <c r="BK42" i="10"/>
  <c r="AE42" i="10"/>
  <c r="AH42" i="10" s="1"/>
  <c r="AK42" i="10" s="1"/>
  <c r="AN42" i="10" s="1"/>
  <c r="AQ42" i="10" s="1"/>
  <c r="AT42" i="10" s="1"/>
  <c r="AW42" i="10" s="1"/>
  <c r="AZ42" i="10" s="1"/>
  <c r="BC42" i="10" s="1"/>
  <c r="BF42" i="10" s="1"/>
  <c r="G42" i="10"/>
  <c r="AF42" i="10" s="1"/>
  <c r="D42" i="10"/>
  <c r="BL42" i="10" s="1"/>
  <c r="BK41" i="10"/>
  <c r="BG41" i="10"/>
  <c r="BD41" i="10"/>
  <c r="BA41" i="10"/>
  <c r="AX41" i="10"/>
  <c r="AU41" i="10"/>
  <c r="AR41" i="10"/>
  <c r="AO41" i="10"/>
  <c r="AL41" i="10"/>
  <c r="AI41" i="10"/>
  <c r="AE41" i="10"/>
  <c r="G41" i="10"/>
  <c r="AF41" i="10" s="1"/>
  <c r="D41" i="10"/>
  <c r="BL41" i="10" s="1"/>
  <c r="BK40" i="10"/>
  <c r="AE40" i="10"/>
  <c r="AH40" i="10" s="1"/>
  <c r="AK40" i="10" s="1"/>
  <c r="AN40" i="10" s="1"/>
  <c r="AQ40" i="10" s="1"/>
  <c r="AT40" i="10" s="1"/>
  <c r="AW40" i="10" s="1"/>
  <c r="AZ40" i="10" s="1"/>
  <c r="BC40" i="10" s="1"/>
  <c r="BF40" i="10" s="1"/>
  <c r="G40" i="10"/>
  <c r="AF40" i="10" s="1"/>
  <c r="D40" i="10"/>
  <c r="BL40" i="10" s="1"/>
  <c r="BK39" i="10"/>
  <c r="AE39" i="10"/>
  <c r="AH39" i="10" s="1"/>
  <c r="G39" i="10"/>
  <c r="AF39" i="10" s="1"/>
  <c r="D39" i="10"/>
  <c r="BL39" i="10" s="1"/>
  <c r="BJ38" i="10"/>
  <c r="BI38" i="10"/>
  <c r="BH38" i="10"/>
  <c r="BE38" i="10"/>
  <c r="BB38" i="10"/>
  <c r="AY38" i="10"/>
  <c r="AV38" i="10"/>
  <c r="AS38" i="10"/>
  <c r="AP38" i="10"/>
  <c r="AM38" i="10"/>
  <c r="AJ38" i="10"/>
  <c r="AG38" i="10"/>
  <c r="AD38" i="10"/>
  <c r="AC38" i="10"/>
  <c r="AA38" i="10"/>
  <c r="BK38" i="10" s="1"/>
  <c r="Z38" i="10"/>
  <c r="X38" i="10"/>
  <c r="V38" i="10"/>
  <c r="T38" i="10"/>
  <c r="R38" i="10"/>
  <c r="P38" i="10"/>
  <c r="N38" i="10"/>
  <c r="L38" i="10"/>
  <c r="J38" i="10"/>
  <c r="H38" i="10"/>
  <c r="F38" i="10"/>
  <c r="E38" i="10"/>
  <c r="C38" i="10"/>
  <c r="BK36" i="10"/>
  <c r="AE36" i="10"/>
  <c r="AH36" i="10" s="1"/>
  <c r="AK36" i="10" s="1"/>
  <c r="AN36" i="10" s="1"/>
  <c r="AQ36" i="10" s="1"/>
  <c r="AT36" i="10" s="1"/>
  <c r="AW36" i="10" s="1"/>
  <c r="AZ36" i="10" s="1"/>
  <c r="BC36" i="10" s="1"/>
  <c r="BF36" i="10" s="1"/>
  <c r="G36" i="10"/>
  <c r="AF36" i="10" s="1"/>
  <c r="D36" i="10"/>
  <c r="BL36" i="10" s="1"/>
  <c r="BK35" i="10"/>
  <c r="AE35" i="10"/>
  <c r="AH35" i="10" s="1"/>
  <c r="AK35" i="10" s="1"/>
  <c r="AN35" i="10" s="1"/>
  <c r="AQ35" i="10" s="1"/>
  <c r="AT35" i="10" s="1"/>
  <c r="AW35" i="10" s="1"/>
  <c r="AZ35" i="10" s="1"/>
  <c r="BC35" i="10" s="1"/>
  <c r="BF35" i="10" s="1"/>
  <c r="G35" i="10"/>
  <c r="AF35" i="10" s="1"/>
  <c r="D35" i="10"/>
  <c r="BL35" i="10" s="1"/>
  <c r="BK34" i="10"/>
  <c r="AE34" i="10"/>
  <c r="AH34" i="10" s="1"/>
  <c r="AK34" i="10" s="1"/>
  <c r="AN34" i="10" s="1"/>
  <c r="AQ34" i="10" s="1"/>
  <c r="AT34" i="10" s="1"/>
  <c r="AW34" i="10" s="1"/>
  <c r="AZ34" i="10" s="1"/>
  <c r="BC34" i="10" s="1"/>
  <c r="BF34" i="10" s="1"/>
  <c r="G34" i="10"/>
  <c r="AF34" i="10" s="1"/>
  <c r="D34" i="10"/>
  <c r="BL34" i="10" s="1"/>
  <c r="BK33" i="10"/>
  <c r="AE33" i="10"/>
  <c r="AH33" i="10" s="1"/>
  <c r="AK33" i="10" s="1"/>
  <c r="AN33" i="10" s="1"/>
  <c r="AQ33" i="10" s="1"/>
  <c r="AT33" i="10" s="1"/>
  <c r="AW33" i="10" s="1"/>
  <c r="AZ33" i="10" s="1"/>
  <c r="BC33" i="10" s="1"/>
  <c r="BF33" i="10" s="1"/>
  <c r="G33" i="10"/>
  <c r="AF33" i="10" s="1"/>
  <c r="D33" i="10"/>
  <c r="BL33" i="10" s="1"/>
  <c r="BK32" i="10"/>
  <c r="AE32" i="10"/>
  <c r="AH32" i="10" s="1"/>
  <c r="AK32" i="10" s="1"/>
  <c r="AN32" i="10" s="1"/>
  <c r="AQ32" i="10" s="1"/>
  <c r="AT32" i="10" s="1"/>
  <c r="AW32" i="10" s="1"/>
  <c r="AZ32" i="10" s="1"/>
  <c r="BC32" i="10" s="1"/>
  <c r="BF32" i="10" s="1"/>
  <c r="G32" i="10"/>
  <c r="AF32" i="10" s="1"/>
  <c r="D32" i="10"/>
  <c r="BL32" i="10" s="1"/>
  <c r="BK31" i="10"/>
  <c r="AE31" i="10"/>
  <c r="AH31" i="10" s="1"/>
  <c r="AK31" i="10" s="1"/>
  <c r="AN31" i="10" s="1"/>
  <c r="AQ31" i="10" s="1"/>
  <c r="AT31" i="10" s="1"/>
  <c r="AW31" i="10" s="1"/>
  <c r="AZ31" i="10" s="1"/>
  <c r="BC31" i="10" s="1"/>
  <c r="BF31" i="10" s="1"/>
  <c r="G31" i="10"/>
  <c r="AF31" i="10" s="1"/>
  <c r="D31" i="10"/>
  <c r="BL31" i="10" s="1"/>
  <c r="BK30" i="10"/>
  <c r="AE30" i="10"/>
  <c r="AH30" i="10" s="1"/>
  <c r="AK30" i="10" s="1"/>
  <c r="AN30" i="10" s="1"/>
  <c r="AQ30" i="10" s="1"/>
  <c r="AT30" i="10" s="1"/>
  <c r="AW30" i="10" s="1"/>
  <c r="AZ30" i="10" s="1"/>
  <c r="BC30" i="10" s="1"/>
  <c r="BF30" i="10" s="1"/>
  <c r="G30" i="10"/>
  <c r="AF30" i="10" s="1"/>
  <c r="D30" i="10"/>
  <c r="BL30" i="10" s="1"/>
  <c r="BK29" i="10"/>
  <c r="AE29" i="10"/>
  <c r="AH29" i="10" s="1"/>
  <c r="AK29" i="10" s="1"/>
  <c r="AN29" i="10" s="1"/>
  <c r="AQ29" i="10" s="1"/>
  <c r="AT29" i="10" s="1"/>
  <c r="AW29" i="10" s="1"/>
  <c r="AZ29" i="10" s="1"/>
  <c r="BC29" i="10" s="1"/>
  <c r="BF29" i="10" s="1"/>
  <c r="G29" i="10"/>
  <c r="AF29" i="10" s="1"/>
  <c r="D29" i="10"/>
  <c r="BL29" i="10" s="1"/>
  <c r="BK28" i="10"/>
  <c r="AE28" i="10"/>
  <c r="AH28" i="10" s="1"/>
  <c r="G28" i="10"/>
  <c r="AF28" i="10" s="1"/>
  <c r="D28" i="10"/>
  <c r="BL28" i="10" s="1"/>
  <c r="BJ27" i="10"/>
  <c r="BI27" i="10"/>
  <c r="BH27" i="10"/>
  <c r="BE27" i="10"/>
  <c r="BB27" i="10"/>
  <c r="AY27" i="10"/>
  <c r="AV27" i="10"/>
  <c r="AS27" i="10"/>
  <c r="AP27" i="10"/>
  <c r="AM27" i="10"/>
  <c r="AJ27" i="10"/>
  <c r="AG27" i="10"/>
  <c r="AD27" i="10"/>
  <c r="AC27" i="10"/>
  <c r="AA27" i="10"/>
  <c r="BK27" i="10" s="1"/>
  <c r="Z27" i="10"/>
  <c r="X27" i="10"/>
  <c r="V27" i="10"/>
  <c r="T27" i="10"/>
  <c r="R27" i="10"/>
  <c r="P27" i="10"/>
  <c r="N27" i="10"/>
  <c r="L27" i="10"/>
  <c r="J27" i="10"/>
  <c r="H27" i="10"/>
  <c r="F27" i="10"/>
  <c r="E27" i="10"/>
  <c r="C27" i="10"/>
  <c r="BK26" i="10"/>
  <c r="AE26" i="10"/>
  <c r="AH26" i="10" s="1"/>
  <c r="AK26" i="10" s="1"/>
  <c r="AN26" i="10" s="1"/>
  <c r="AQ26" i="10" s="1"/>
  <c r="AT26" i="10" s="1"/>
  <c r="AW26" i="10" s="1"/>
  <c r="AZ26" i="10" s="1"/>
  <c r="BC26" i="10" s="1"/>
  <c r="BF26" i="10" s="1"/>
  <c r="G26" i="10"/>
  <c r="AF26" i="10" s="1"/>
  <c r="D26" i="10"/>
  <c r="BL26" i="10" s="1"/>
  <c r="BK25" i="10"/>
  <c r="AE25" i="10"/>
  <c r="AH25" i="10" s="1"/>
  <c r="AK25" i="10" s="1"/>
  <c r="AN25" i="10" s="1"/>
  <c r="AQ25" i="10" s="1"/>
  <c r="AT25" i="10" s="1"/>
  <c r="AW25" i="10" s="1"/>
  <c r="AZ25" i="10" s="1"/>
  <c r="BC25" i="10" s="1"/>
  <c r="BF25" i="10" s="1"/>
  <c r="G25" i="10"/>
  <c r="AF25" i="10" s="1"/>
  <c r="D25" i="10"/>
  <c r="BL25" i="10" s="1"/>
  <c r="BK24" i="10"/>
  <c r="AE24" i="10"/>
  <c r="AH24" i="10" s="1"/>
  <c r="AK24" i="10" s="1"/>
  <c r="AN24" i="10" s="1"/>
  <c r="AQ24" i="10" s="1"/>
  <c r="AT24" i="10" s="1"/>
  <c r="AW24" i="10" s="1"/>
  <c r="AZ24" i="10" s="1"/>
  <c r="BC24" i="10" s="1"/>
  <c r="BF24" i="10" s="1"/>
  <c r="G24" i="10"/>
  <c r="AF24" i="10" s="1"/>
  <c r="D24" i="10"/>
  <c r="BL24" i="10" s="1"/>
  <c r="BK23" i="10"/>
  <c r="AE23" i="10"/>
  <c r="AH23" i="10" s="1"/>
  <c r="AK23" i="10" s="1"/>
  <c r="AN23" i="10" s="1"/>
  <c r="AQ23" i="10" s="1"/>
  <c r="AT23" i="10" s="1"/>
  <c r="AW23" i="10" s="1"/>
  <c r="AZ23" i="10" s="1"/>
  <c r="BC23" i="10" s="1"/>
  <c r="BF23" i="10" s="1"/>
  <c r="G23" i="10"/>
  <c r="AF23" i="10" s="1"/>
  <c r="D23" i="10"/>
  <c r="BL23" i="10" s="1"/>
  <c r="BK22" i="10"/>
  <c r="AE22" i="10"/>
  <c r="AH22" i="10" s="1"/>
  <c r="AK22" i="10" s="1"/>
  <c r="AN22" i="10" s="1"/>
  <c r="AQ22" i="10" s="1"/>
  <c r="AT22" i="10" s="1"/>
  <c r="AW22" i="10" s="1"/>
  <c r="AZ22" i="10" s="1"/>
  <c r="BC22" i="10" s="1"/>
  <c r="BF22" i="10" s="1"/>
  <c r="G22" i="10"/>
  <c r="AF22" i="10" s="1"/>
  <c r="D22" i="10"/>
  <c r="BL22" i="10" s="1"/>
  <c r="BK21" i="10"/>
  <c r="AE21" i="10"/>
  <c r="AH21" i="10" s="1"/>
  <c r="AK21" i="10" s="1"/>
  <c r="AN21" i="10" s="1"/>
  <c r="AQ21" i="10" s="1"/>
  <c r="AT21" i="10" s="1"/>
  <c r="AW21" i="10" s="1"/>
  <c r="AZ21" i="10" s="1"/>
  <c r="BC21" i="10" s="1"/>
  <c r="BF21" i="10" s="1"/>
  <c r="G21" i="10"/>
  <c r="AF21" i="10" s="1"/>
  <c r="D21" i="10"/>
  <c r="BL21" i="10" s="1"/>
  <c r="BK20" i="10"/>
  <c r="AE20" i="10"/>
  <c r="AH20" i="10" s="1"/>
  <c r="AK20" i="10" s="1"/>
  <c r="AN20" i="10" s="1"/>
  <c r="AQ20" i="10" s="1"/>
  <c r="AT20" i="10" s="1"/>
  <c r="AW20" i="10" s="1"/>
  <c r="AZ20" i="10" s="1"/>
  <c r="BC20" i="10" s="1"/>
  <c r="BF20" i="10" s="1"/>
  <c r="G20" i="10"/>
  <c r="AF20" i="10" s="1"/>
  <c r="D20" i="10"/>
  <c r="BL20" i="10" s="1"/>
  <c r="BK19" i="10"/>
  <c r="AE19" i="10"/>
  <c r="AH19" i="10" s="1"/>
  <c r="AK19" i="10" s="1"/>
  <c r="AN19" i="10" s="1"/>
  <c r="AQ19" i="10" s="1"/>
  <c r="AT19" i="10" s="1"/>
  <c r="AW19" i="10" s="1"/>
  <c r="AZ19" i="10" s="1"/>
  <c r="BC19" i="10" s="1"/>
  <c r="BF19" i="10" s="1"/>
  <c r="G19" i="10"/>
  <c r="AF19" i="10" s="1"/>
  <c r="D19" i="10"/>
  <c r="BL19" i="10" s="1"/>
  <c r="BK18" i="10"/>
  <c r="AE18" i="10"/>
  <c r="AH18" i="10" s="1"/>
  <c r="AK18" i="10" s="1"/>
  <c r="AN18" i="10" s="1"/>
  <c r="AQ18" i="10" s="1"/>
  <c r="AT18" i="10" s="1"/>
  <c r="AW18" i="10" s="1"/>
  <c r="AZ18" i="10" s="1"/>
  <c r="BC18" i="10" s="1"/>
  <c r="BF18" i="10" s="1"/>
  <c r="G18" i="10"/>
  <c r="AF18" i="10" s="1"/>
  <c r="D18" i="10"/>
  <c r="BL18" i="10" s="1"/>
  <c r="BK17" i="10"/>
  <c r="AE17" i="10"/>
  <c r="AH17" i="10" s="1"/>
  <c r="AK17" i="10" s="1"/>
  <c r="AN17" i="10" s="1"/>
  <c r="AQ17" i="10" s="1"/>
  <c r="AT17" i="10" s="1"/>
  <c r="AW17" i="10" s="1"/>
  <c r="AZ17" i="10" s="1"/>
  <c r="BC17" i="10" s="1"/>
  <c r="BF17" i="10" s="1"/>
  <c r="G17" i="10"/>
  <c r="AF17" i="10" s="1"/>
  <c r="D17" i="10"/>
  <c r="BL17" i="10" s="1"/>
  <c r="BK16" i="10"/>
  <c r="AE16" i="10"/>
  <c r="AH16" i="10" s="1"/>
  <c r="AK16" i="10" s="1"/>
  <c r="AN16" i="10" s="1"/>
  <c r="AQ16" i="10" s="1"/>
  <c r="AT16" i="10" s="1"/>
  <c r="AW16" i="10" s="1"/>
  <c r="AZ16" i="10" s="1"/>
  <c r="BC16" i="10" s="1"/>
  <c r="BF16" i="10" s="1"/>
  <c r="G16" i="10"/>
  <c r="AF16" i="10" s="1"/>
  <c r="D16" i="10"/>
  <c r="BL16" i="10" s="1"/>
  <c r="BK15" i="10"/>
  <c r="AE15" i="10"/>
  <c r="AH15" i="10" s="1"/>
  <c r="AK15" i="10" s="1"/>
  <c r="AN15" i="10" s="1"/>
  <c r="AQ15" i="10" s="1"/>
  <c r="AT15" i="10" s="1"/>
  <c r="AW15" i="10" s="1"/>
  <c r="AZ15" i="10" s="1"/>
  <c r="BC15" i="10" s="1"/>
  <c r="BF15" i="10" s="1"/>
  <c r="G15" i="10"/>
  <c r="AF15" i="10" s="1"/>
  <c r="D15" i="10"/>
  <c r="BL15" i="10" s="1"/>
  <c r="BK14" i="10"/>
  <c r="AE14" i="10"/>
  <c r="AH14" i="10" s="1"/>
  <c r="AK14" i="10" s="1"/>
  <c r="AN14" i="10" s="1"/>
  <c r="AQ14" i="10" s="1"/>
  <c r="AT14" i="10" s="1"/>
  <c r="AW14" i="10" s="1"/>
  <c r="AZ14" i="10" s="1"/>
  <c r="BC14" i="10" s="1"/>
  <c r="BF14" i="10" s="1"/>
  <c r="G14" i="10"/>
  <c r="AF14" i="10" s="1"/>
  <c r="D14" i="10"/>
  <c r="BL14" i="10" s="1"/>
  <c r="BK13" i="10"/>
  <c r="AE13" i="10"/>
  <c r="AH13" i="10" s="1"/>
  <c r="AK13" i="10" s="1"/>
  <c r="AN13" i="10" s="1"/>
  <c r="AQ13" i="10" s="1"/>
  <c r="AT13" i="10" s="1"/>
  <c r="AW13" i="10" s="1"/>
  <c r="AZ13" i="10" s="1"/>
  <c r="BC13" i="10" s="1"/>
  <c r="BF13" i="10" s="1"/>
  <c r="G13" i="10"/>
  <c r="AF13" i="10" s="1"/>
  <c r="D13" i="10"/>
  <c r="BL13" i="10" s="1"/>
  <c r="BJ12" i="10"/>
  <c r="BI12" i="10"/>
  <c r="BH12" i="10"/>
  <c r="BE12" i="10"/>
  <c r="BB12" i="10"/>
  <c r="AY12" i="10"/>
  <c r="AV12" i="10"/>
  <c r="AS12" i="10"/>
  <c r="AP12" i="10"/>
  <c r="AM12" i="10"/>
  <c r="AJ12" i="10"/>
  <c r="AG12" i="10"/>
  <c r="AD12" i="10"/>
  <c r="AC12" i="10"/>
  <c r="AA12" i="10"/>
  <c r="G12" i="10"/>
  <c r="AF12" i="10" s="1"/>
  <c r="D12" i="10"/>
  <c r="BL12" i="10" s="1"/>
  <c r="BK11" i="10"/>
  <c r="AE11" i="10"/>
  <c r="AH11" i="10" s="1"/>
  <c r="G11" i="10"/>
  <c r="AF11" i="10" s="1"/>
  <c r="D11" i="10"/>
  <c r="BL11" i="10" s="1"/>
  <c r="BJ10" i="10"/>
  <c r="BI10" i="10"/>
  <c r="BH10" i="10"/>
  <c r="BE10" i="10"/>
  <c r="BB10" i="10"/>
  <c r="AY10" i="10"/>
  <c r="AV10" i="10"/>
  <c r="AS10" i="10"/>
  <c r="AP10" i="10"/>
  <c r="AM10" i="10"/>
  <c r="AJ10" i="10"/>
  <c r="AG10" i="10"/>
  <c r="AD10" i="10"/>
  <c r="AC10" i="10"/>
  <c r="AA10" i="10"/>
  <c r="Z10" i="10"/>
  <c r="X10" i="10"/>
  <c r="V10" i="10"/>
  <c r="T10" i="10"/>
  <c r="R10" i="10"/>
  <c r="P10" i="10"/>
  <c r="N10" i="10"/>
  <c r="L10" i="10"/>
  <c r="J10" i="10"/>
  <c r="H10" i="10"/>
  <c r="F10" i="10"/>
  <c r="E10" i="10"/>
  <c r="C10" i="10"/>
  <c r="AH8" i="10"/>
  <c r="AJ8" i="10" s="1"/>
  <c r="AK8" i="10" s="1"/>
  <c r="AE8" i="10"/>
  <c r="AF8" i="10" s="1"/>
  <c r="AA8" i="10"/>
  <c r="AB8" i="10" s="1"/>
  <c r="E8" i="10"/>
  <c r="F8" i="10" s="1"/>
  <c r="G8" i="10" s="1"/>
  <c r="H8" i="10" s="1"/>
  <c r="I8" i="10" s="1"/>
  <c r="J8" i="10" s="1"/>
  <c r="K8" i="10" s="1"/>
  <c r="L8" i="10" s="1"/>
  <c r="M8" i="10" s="1"/>
  <c r="N8" i="10" s="1"/>
  <c r="O8" i="10" s="1"/>
  <c r="P8" i="10" s="1"/>
  <c r="Q8" i="10" s="1"/>
  <c r="R8" i="10" s="1"/>
  <c r="S8" i="10" s="1"/>
  <c r="T8" i="10" s="1"/>
  <c r="U8" i="10" s="1"/>
  <c r="V8" i="10" s="1"/>
  <c r="W8" i="10" s="1"/>
  <c r="X8" i="10" s="1"/>
  <c r="Y8" i="10" s="1"/>
  <c r="Z8" i="10" s="1"/>
  <c r="BK131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AB114" i="9"/>
  <c r="BH113" i="9"/>
  <c r="C113" i="9"/>
  <c r="D113" i="9" s="1"/>
  <c r="Z113" i="9" s="1"/>
  <c r="BK112" i="9"/>
  <c r="AE112" i="9"/>
  <c r="AH112" i="9" s="1"/>
  <c r="AK112" i="9" s="1"/>
  <c r="AN112" i="9" s="1"/>
  <c r="AQ112" i="9" s="1"/>
  <c r="AT112" i="9" s="1"/>
  <c r="AW112" i="9" s="1"/>
  <c r="AZ112" i="9" s="1"/>
  <c r="BC112" i="9" s="1"/>
  <c r="BF112" i="9" s="1"/>
  <c r="I112" i="9"/>
  <c r="AI112" i="9" s="1"/>
  <c r="G112" i="9"/>
  <c r="AF112" i="9" s="1"/>
  <c r="D112" i="9"/>
  <c r="BK111" i="9"/>
  <c r="AE111" i="9"/>
  <c r="AH111" i="9" s="1"/>
  <c r="AK111" i="9" s="1"/>
  <c r="AN111" i="9" s="1"/>
  <c r="AQ111" i="9" s="1"/>
  <c r="AT111" i="9" s="1"/>
  <c r="AW111" i="9" s="1"/>
  <c r="AZ111" i="9" s="1"/>
  <c r="BC111" i="9" s="1"/>
  <c r="BF111" i="9" s="1"/>
  <c r="I111" i="9"/>
  <c r="AI111" i="9" s="1"/>
  <c r="G111" i="9"/>
  <c r="AF111" i="9" s="1"/>
  <c r="D111" i="9"/>
  <c r="BK110" i="9"/>
  <c r="AE110" i="9"/>
  <c r="AH110" i="9" s="1"/>
  <c r="AK110" i="9" s="1"/>
  <c r="AN110" i="9" s="1"/>
  <c r="AQ110" i="9" s="1"/>
  <c r="AT110" i="9" s="1"/>
  <c r="AW110" i="9" s="1"/>
  <c r="AZ110" i="9" s="1"/>
  <c r="BC110" i="9" s="1"/>
  <c r="BF110" i="9" s="1"/>
  <c r="I110" i="9"/>
  <c r="AI110" i="9" s="1"/>
  <c r="G110" i="9"/>
  <c r="AF110" i="9" s="1"/>
  <c r="D110" i="9"/>
  <c r="BK109" i="9"/>
  <c r="AE109" i="9"/>
  <c r="AH109" i="9" s="1"/>
  <c r="AK109" i="9" s="1"/>
  <c r="AN109" i="9" s="1"/>
  <c r="AQ109" i="9" s="1"/>
  <c r="AT109" i="9" s="1"/>
  <c r="AW109" i="9" s="1"/>
  <c r="AZ109" i="9" s="1"/>
  <c r="BC109" i="9" s="1"/>
  <c r="BF109" i="9" s="1"/>
  <c r="I109" i="9"/>
  <c r="AI109" i="9" s="1"/>
  <c r="G109" i="9"/>
  <c r="AF109" i="9" s="1"/>
  <c r="D109" i="9"/>
  <c r="BK108" i="9"/>
  <c r="AE108" i="9"/>
  <c r="AH108" i="9" s="1"/>
  <c r="AK108" i="9" s="1"/>
  <c r="AN108" i="9" s="1"/>
  <c r="AQ108" i="9" s="1"/>
  <c r="AT108" i="9" s="1"/>
  <c r="AW108" i="9" s="1"/>
  <c r="AZ108" i="9" s="1"/>
  <c r="BC108" i="9" s="1"/>
  <c r="BF108" i="9" s="1"/>
  <c r="I108" i="9"/>
  <c r="AI108" i="9" s="1"/>
  <c r="G108" i="9"/>
  <c r="AF108" i="9" s="1"/>
  <c r="D108" i="9"/>
  <c r="BK107" i="9"/>
  <c r="AE107" i="9"/>
  <c r="AH107" i="9" s="1"/>
  <c r="AK107" i="9" s="1"/>
  <c r="AN107" i="9" s="1"/>
  <c r="AQ107" i="9" s="1"/>
  <c r="AT107" i="9" s="1"/>
  <c r="AW107" i="9" s="1"/>
  <c r="AZ107" i="9" s="1"/>
  <c r="BC107" i="9" s="1"/>
  <c r="BF107" i="9" s="1"/>
  <c r="I107" i="9"/>
  <c r="AI107" i="9" s="1"/>
  <c r="G107" i="9"/>
  <c r="AF107" i="9" s="1"/>
  <c r="D107" i="9"/>
  <c r="BK106" i="9"/>
  <c r="AE106" i="9"/>
  <c r="AH106" i="9" s="1"/>
  <c r="AK106" i="9" s="1"/>
  <c r="AN106" i="9" s="1"/>
  <c r="AQ106" i="9" s="1"/>
  <c r="AT106" i="9" s="1"/>
  <c r="AW106" i="9" s="1"/>
  <c r="AZ106" i="9" s="1"/>
  <c r="BC106" i="9" s="1"/>
  <c r="BF106" i="9" s="1"/>
  <c r="I106" i="9"/>
  <c r="AI106" i="9" s="1"/>
  <c r="G106" i="9"/>
  <c r="AF106" i="9" s="1"/>
  <c r="D106" i="9"/>
  <c r="BK105" i="9"/>
  <c r="AE105" i="9"/>
  <c r="AH105" i="9" s="1"/>
  <c r="AK105" i="9" s="1"/>
  <c r="AN105" i="9" s="1"/>
  <c r="AQ105" i="9" s="1"/>
  <c r="AT105" i="9" s="1"/>
  <c r="AW105" i="9" s="1"/>
  <c r="AZ105" i="9" s="1"/>
  <c r="BC105" i="9" s="1"/>
  <c r="BF105" i="9" s="1"/>
  <c r="I105" i="9"/>
  <c r="AI105" i="9" s="1"/>
  <c r="G105" i="9"/>
  <c r="AF105" i="9" s="1"/>
  <c r="D105" i="9"/>
  <c r="BL105" i="9" s="1"/>
  <c r="BK104" i="9"/>
  <c r="AE104" i="9"/>
  <c r="AH104" i="9" s="1"/>
  <c r="AK104" i="9" s="1"/>
  <c r="AN104" i="9" s="1"/>
  <c r="AQ104" i="9" s="1"/>
  <c r="AT104" i="9" s="1"/>
  <c r="AW104" i="9" s="1"/>
  <c r="AZ104" i="9" s="1"/>
  <c r="BC104" i="9" s="1"/>
  <c r="BF104" i="9" s="1"/>
  <c r="I104" i="9"/>
  <c r="AI104" i="9" s="1"/>
  <c r="G104" i="9"/>
  <c r="AF104" i="9" s="1"/>
  <c r="D104" i="9"/>
  <c r="BL104" i="9" s="1"/>
  <c r="BK103" i="9"/>
  <c r="AE103" i="9"/>
  <c r="AH103" i="9" s="1"/>
  <c r="AK103" i="9" s="1"/>
  <c r="AN103" i="9" s="1"/>
  <c r="AQ103" i="9" s="1"/>
  <c r="AT103" i="9" s="1"/>
  <c r="AW103" i="9" s="1"/>
  <c r="AZ103" i="9" s="1"/>
  <c r="BC103" i="9" s="1"/>
  <c r="BF103" i="9" s="1"/>
  <c r="I103" i="9"/>
  <c r="AI103" i="9" s="1"/>
  <c r="G103" i="9"/>
  <c r="AF103" i="9" s="1"/>
  <c r="D103" i="9"/>
  <c r="BL103" i="9" s="1"/>
  <c r="BK102" i="9"/>
  <c r="AE102" i="9"/>
  <c r="AH102" i="9" s="1"/>
  <c r="AK102" i="9" s="1"/>
  <c r="AN102" i="9" s="1"/>
  <c r="AQ102" i="9" s="1"/>
  <c r="AT102" i="9" s="1"/>
  <c r="AW102" i="9" s="1"/>
  <c r="AZ102" i="9" s="1"/>
  <c r="BC102" i="9" s="1"/>
  <c r="BF102" i="9" s="1"/>
  <c r="I102" i="9"/>
  <c r="AI102" i="9" s="1"/>
  <c r="G102" i="9"/>
  <c r="AF102" i="9" s="1"/>
  <c r="D102" i="9"/>
  <c r="BL102" i="9" s="1"/>
  <c r="BJ101" i="9"/>
  <c r="BI101" i="9"/>
  <c r="BH101" i="9"/>
  <c r="BE101" i="9"/>
  <c r="BB101" i="9"/>
  <c r="AY101" i="9"/>
  <c r="AV101" i="9"/>
  <c r="AS101" i="9"/>
  <c r="AP101" i="9"/>
  <c r="AM101" i="9"/>
  <c r="AJ101" i="9"/>
  <c r="AG101" i="9"/>
  <c r="AD101" i="9"/>
  <c r="AC101" i="9"/>
  <c r="AA101" i="9"/>
  <c r="BK101" i="9" s="1"/>
  <c r="Z101" i="9"/>
  <c r="X101" i="9"/>
  <c r="V101" i="9"/>
  <c r="T101" i="9"/>
  <c r="R101" i="9"/>
  <c r="P101" i="9"/>
  <c r="N101" i="9"/>
  <c r="L101" i="9"/>
  <c r="J101" i="9"/>
  <c r="H101" i="9"/>
  <c r="F101" i="9"/>
  <c r="E101" i="9"/>
  <c r="C101" i="9"/>
  <c r="BK100" i="9"/>
  <c r="AE100" i="9"/>
  <c r="AH100" i="9" s="1"/>
  <c r="AK100" i="9" s="1"/>
  <c r="AN100" i="9" s="1"/>
  <c r="AQ100" i="9" s="1"/>
  <c r="AT100" i="9" s="1"/>
  <c r="AW100" i="9" s="1"/>
  <c r="AZ100" i="9" s="1"/>
  <c r="BC100" i="9" s="1"/>
  <c r="BF100" i="9" s="1"/>
  <c r="G100" i="9"/>
  <c r="AF100" i="9" s="1"/>
  <c r="D100" i="9"/>
  <c r="BK99" i="9"/>
  <c r="AE99" i="9"/>
  <c r="AH99" i="9" s="1"/>
  <c r="AK99" i="9" s="1"/>
  <c r="AN99" i="9" s="1"/>
  <c r="AQ99" i="9" s="1"/>
  <c r="AT99" i="9" s="1"/>
  <c r="AW99" i="9" s="1"/>
  <c r="AZ99" i="9" s="1"/>
  <c r="BC99" i="9" s="1"/>
  <c r="BF99" i="9" s="1"/>
  <c r="G99" i="9"/>
  <c r="AF99" i="9" s="1"/>
  <c r="D99" i="9"/>
  <c r="BK98" i="9"/>
  <c r="AE98" i="9"/>
  <c r="AH98" i="9" s="1"/>
  <c r="AK98" i="9" s="1"/>
  <c r="AN98" i="9" s="1"/>
  <c r="AQ98" i="9" s="1"/>
  <c r="AT98" i="9" s="1"/>
  <c r="AW98" i="9" s="1"/>
  <c r="AZ98" i="9" s="1"/>
  <c r="BC98" i="9" s="1"/>
  <c r="BF98" i="9" s="1"/>
  <c r="G98" i="9"/>
  <c r="AF98" i="9" s="1"/>
  <c r="D98" i="9"/>
  <c r="BK97" i="9"/>
  <c r="AE97" i="9"/>
  <c r="AH97" i="9" s="1"/>
  <c r="AK97" i="9" s="1"/>
  <c r="AN97" i="9" s="1"/>
  <c r="AQ97" i="9" s="1"/>
  <c r="AT97" i="9" s="1"/>
  <c r="AW97" i="9" s="1"/>
  <c r="AZ97" i="9" s="1"/>
  <c r="BC97" i="9" s="1"/>
  <c r="BF97" i="9" s="1"/>
  <c r="G97" i="9"/>
  <c r="AF97" i="9" s="1"/>
  <c r="D97" i="9"/>
  <c r="BK96" i="9"/>
  <c r="AE96" i="9"/>
  <c r="AH96" i="9" s="1"/>
  <c r="AK96" i="9" s="1"/>
  <c r="AN96" i="9" s="1"/>
  <c r="AQ96" i="9" s="1"/>
  <c r="AT96" i="9" s="1"/>
  <c r="AW96" i="9" s="1"/>
  <c r="AZ96" i="9" s="1"/>
  <c r="BC96" i="9" s="1"/>
  <c r="BF96" i="9" s="1"/>
  <c r="G96" i="9"/>
  <c r="AF96" i="9" s="1"/>
  <c r="D96" i="9"/>
  <c r="BL96" i="9" s="1"/>
  <c r="BK95" i="9"/>
  <c r="AE95" i="9"/>
  <c r="AH95" i="9" s="1"/>
  <c r="AK95" i="9" s="1"/>
  <c r="AN95" i="9" s="1"/>
  <c r="AQ95" i="9" s="1"/>
  <c r="AT95" i="9" s="1"/>
  <c r="AW95" i="9" s="1"/>
  <c r="AZ95" i="9" s="1"/>
  <c r="BC95" i="9" s="1"/>
  <c r="BF95" i="9" s="1"/>
  <c r="G95" i="9"/>
  <c r="AF95" i="9" s="1"/>
  <c r="D95" i="9"/>
  <c r="BL95" i="9" s="1"/>
  <c r="BK94" i="9"/>
  <c r="BH94" i="9"/>
  <c r="BH91" i="9" s="1"/>
  <c r="BE94" i="9"/>
  <c r="BE91" i="9" s="1"/>
  <c r="BB94" i="9"/>
  <c r="BB91" i="9" s="1"/>
  <c r="AY94" i="9"/>
  <c r="AY91" i="9" s="1"/>
  <c r="AV94" i="9"/>
  <c r="AV91" i="9" s="1"/>
  <c r="AS94" i="9"/>
  <c r="AS91" i="9" s="1"/>
  <c r="AP94" i="9"/>
  <c r="AP91" i="9" s="1"/>
  <c r="AM94" i="9"/>
  <c r="AM91" i="9" s="1"/>
  <c r="AJ94" i="9"/>
  <c r="AJ91" i="9" s="1"/>
  <c r="AG94" i="9"/>
  <c r="AG91" i="9" s="1"/>
  <c r="AD94" i="9"/>
  <c r="AD91" i="9" s="1"/>
  <c r="AC94" i="9"/>
  <c r="Z94" i="9"/>
  <c r="Z91" i="9" s="1"/>
  <c r="X94" i="9"/>
  <c r="X91" i="9" s="1"/>
  <c r="V94" i="9"/>
  <c r="V91" i="9" s="1"/>
  <c r="T94" i="9"/>
  <c r="T91" i="9" s="1"/>
  <c r="R94" i="9"/>
  <c r="R91" i="9" s="1"/>
  <c r="P94" i="9"/>
  <c r="P91" i="9" s="1"/>
  <c r="N94" i="9"/>
  <c r="N91" i="9" s="1"/>
  <c r="L94" i="9"/>
  <c r="L91" i="9" s="1"/>
  <c r="J94" i="9"/>
  <c r="J91" i="9" s="1"/>
  <c r="H94" i="9"/>
  <c r="H91" i="9" s="1"/>
  <c r="F94" i="9"/>
  <c r="F91" i="9" s="1"/>
  <c r="E94" i="9"/>
  <c r="C94" i="9"/>
  <c r="C91" i="9" s="1"/>
  <c r="BK93" i="9"/>
  <c r="AE93" i="9"/>
  <c r="AH93" i="9" s="1"/>
  <c r="AK93" i="9" s="1"/>
  <c r="AN93" i="9" s="1"/>
  <c r="AQ93" i="9" s="1"/>
  <c r="AT93" i="9" s="1"/>
  <c r="AW93" i="9" s="1"/>
  <c r="AZ93" i="9" s="1"/>
  <c r="BC93" i="9" s="1"/>
  <c r="BF93" i="9" s="1"/>
  <c r="G93" i="9"/>
  <c r="AF93" i="9" s="1"/>
  <c r="D93" i="9"/>
  <c r="BL93" i="9" s="1"/>
  <c r="BK92" i="9"/>
  <c r="AE92" i="9"/>
  <c r="AH92" i="9" s="1"/>
  <c r="G92" i="9"/>
  <c r="AF92" i="9" s="1"/>
  <c r="D92" i="9"/>
  <c r="BL92" i="9" s="1"/>
  <c r="BJ91" i="9"/>
  <c r="BI91" i="9"/>
  <c r="AA91" i="9"/>
  <c r="BK91" i="9" s="1"/>
  <c r="BK86" i="9"/>
  <c r="AE86" i="9"/>
  <c r="G86" i="9"/>
  <c r="D86" i="9"/>
  <c r="BL86" i="9" s="1"/>
  <c r="BK85" i="9"/>
  <c r="AE85" i="9"/>
  <c r="AH85" i="9" s="1"/>
  <c r="G85" i="9"/>
  <c r="AF85" i="9" s="1"/>
  <c r="D85" i="9"/>
  <c r="BL85" i="9" s="1"/>
  <c r="BJ84" i="9"/>
  <c r="BI84" i="9"/>
  <c r="BH84" i="9"/>
  <c r="BE84" i="9"/>
  <c r="BB84" i="9"/>
  <c r="AY84" i="9"/>
  <c r="AV84" i="9"/>
  <c r="AS84" i="9"/>
  <c r="AP84" i="9"/>
  <c r="AM84" i="9"/>
  <c r="AJ84" i="9"/>
  <c r="AG84" i="9"/>
  <c r="AD84" i="9"/>
  <c r="AC84" i="9"/>
  <c r="AA84" i="9"/>
  <c r="BK84" i="9" s="1"/>
  <c r="Z84" i="9"/>
  <c r="X84" i="9"/>
  <c r="V84" i="9"/>
  <c r="T84" i="9"/>
  <c r="R84" i="9"/>
  <c r="P84" i="9"/>
  <c r="N84" i="9"/>
  <c r="L84" i="9"/>
  <c r="J84" i="9"/>
  <c r="H84" i="9"/>
  <c r="F84" i="9"/>
  <c r="E84" i="9"/>
  <c r="C84" i="9"/>
  <c r="BK83" i="9"/>
  <c r="AE83" i="9"/>
  <c r="AH83" i="9" s="1"/>
  <c r="AK83" i="9" s="1"/>
  <c r="AN83" i="9" s="1"/>
  <c r="AQ83" i="9" s="1"/>
  <c r="AT83" i="9" s="1"/>
  <c r="AW83" i="9" s="1"/>
  <c r="AZ83" i="9" s="1"/>
  <c r="BC83" i="9" s="1"/>
  <c r="BF83" i="9" s="1"/>
  <c r="G83" i="9"/>
  <c r="AF83" i="9" s="1"/>
  <c r="D83" i="9"/>
  <c r="BL83" i="9" s="1"/>
  <c r="BK82" i="9"/>
  <c r="AE82" i="9"/>
  <c r="AH82" i="9" s="1"/>
  <c r="G82" i="9"/>
  <c r="AF82" i="9" s="1"/>
  <c r="D82" i="9"/>
  <c r="BL82" i="9" s="1"/>
  <c r="BJ81" i="9"/>
  <c r="BI81" i="9"/>
  <c r="BH81" i="9"/>
  <c r="BE81" i="9"/>
  <c r="BB81" i="9"/>
  <c r="AY81" i="9"/>
  <c r="AV81" i="9"/>
  <c r="AS81" i="9"/>
  <c r="AP81" i="9"/>
  <c r="AM81" i="9"/>
  <c r="AJ81" i="9"/>
  <c r="AG81" i="9"/>
  <c r="AD81" i="9"/>
  <c r="AC81" i="9"/>
  <c r="AA81" i="9"/>
  <c r="BK81" i="9" s="1"/>
  <c r="Z81" i="9"/>
  <c r="X81" i="9"/>
  <c r="V81" i="9"/>
  <c r="T81" i="9"/>
  <c r="R81" i="9"/>
  <c r="P81" i="9"/>
  <c r="N81" i="9"/>
  <c r="L81" i="9"/>
  <c r="J81" i="9"/>
  <c r="H81" i="9"/>
  <c r="F81" i="9"/>
  <c r="E81" i="9"/>
  <c r="C81" i="9"/>
  <c r="BK80" i="9"/>
  <c r="AE80" i="9"/>
  <c r="AH80" i="9" s="1"/>
  <c r="AK80" i="9" s="1"/>
  <c r="AN80" i="9" s="1"/>
  <c r="AQ80" i="9" s="1"/>
  <c r="AT80" i="9" s="1"/>
  <c r="AW80" i="9" s="1"/>
  <c r="AZ80" i="9" s="1"/>
  <c r="BC80" i="9" s="1"/>
  <c r="BF80" i="9" s="1"/>
  <c r="G80" i="9"/>
  <c r="AF80" i="9" s="1"/>
  <c r="D80" i="9"/>
  <c r="BL80" i="9" s="1"/>
  <c r="BK79" i="9"/>
  <c r="AE79" i="9"/>
  <c r="AH79" i="9" s="1"/>
  <c r="G79" i="9"/>
  <c r="AF79" i="9" s="1"/>
  <c r="D79" i="9"/>
  <c r="BL79" i="9" s="1"/>
  <c r="BJ78" i="9"/>
  <c r="BI78" i="9"/>
  <c r="BH78" i="9"/>
  <c r="BE78" i="9"/>
  <c r="BB78" i="9"/>
  <c r="AY78" i="9"/>
  <c r="AV78" i="9"/>
  <c r="AS78" i="9"/>
  <c r="AP78" i="9"/>
  <c r="AM78" i="9"/>
  <c r="AJ78" i="9"/>
  <c r="AG78" i="9"/>
  <c r="AD78" i="9"/>
  <c r="AC78" i="9"/>
  <c r="AA78" i="9"/>
  <c r="BK78" i="9" s="1"/>
  <c r="Z78" i="9"/>
  <c r="X78" i="9"/>
  <c r="V78" i="9"/>
  <c r="T78" i="9"/>
  <c r="R78" i="9"/>
  <c r="P78" i="9"/>
  <c r="N78" i="9"/>
  <c r="L78" i="9"/>
  <c r="J78" i="9"/>
  <c r="H78" i="9"/>
  <c r="F78" i="9"/>
  <c r="E78" i="9"/>
  <c r="C78" i="9"/>
  <c r="BK73" i="9"/>
  <c r="BG73" i="9"/>
  <c r="BD73" i="9"/>
  <c r="BA73" i="9"/>
  <c r="AX73" i="9"/>
  <c r="AU73" i="9"/>
  <c r="AR73" i="9"/>
  <c r="AO73" i="9"/>
  <c r="AL73" i="9"/>
  <c r="AI73" i="9"/>
  <c r="AE73" i="9"/>
  <c r="G73" i="9"/>
  <c r="AF73" i="9" s="1"/>
  <c r="D73" i="9"/>
  <c r="AB73" i="9" s="1"/>
  <c r="BK72" i="9"/>
  <c r="BG72" i="9"/>
  <c r="BD72" i="9"/>
  <c r="BA72" i="9"/>
  <c r="AX72" i="9"/>
  <c r="AU72" i="9"/>
  <c r="AR72" i="9"/>
  <c r="AO72" i="9"/>
  <c r="AL72" i="9"/>
  <c r="AI72" i="9"/>
  <c r="AE72" i="9"/>
  <c r="G72" i="9"/>
  <c r="AF72" i="9" s="1"/>
  <c r="D72" i="9"/>
  <c r="AB72" i="9" s="1"/>
  <c r="BK71" i="9"/>
  <c r="BG71" i="9"/>
  <c r="BD71" i="9"/>
  <c r="BA71" i="9"/>
  <c r="AX71" i="9"/>
  <c r="AU71" i="9"/>
  <c r="AR71" i="9"/>
  <c r="AO71" i="9"/>
  <c r="AL71" i="9"/>
  <c r="AI71" i="9"/>
  <c r="AE71" i="9"/>
  <c r="G71" i="9"/>
  <c r="AF71" i="9" s="1"/>
  <c r="D71" i="9"/>
  <c r="AB71" i="9" s="1"/>
  <c r="BK70" i="9"/>
  <c r="BG70" i="9"/>
  <c r="BD70" i="9"/>
  <c r="BA70" i="9"/>
  <c r="AX70" i="9"/>
  <c r="AU70" i="9"/>
  <c r="AR70" i="9"/>
  <c r="AO70" i="9"/>
  <c r="AL70" i="9"/>
  <c r="AI70" i="9"/>
  <c r="AE70" i="9"/>
  <c r="G70" i="9"/>
  <c r="AF70" i="9" s="1"/>
  <c r="D70" i="9"/>
  <c r="AB70" i="9" s="1"/>
  <c r="BK69" i="9"/>
  <c r="BG69" i="9"/>
  <c r="BD69" i="9"/>
  <c r="BA69" i="9"/>
  <c r="AX69" i="9"/>
  <c r="AU69" i="9"/>
  <c r="AR69" i="9"/>
  <c r="AO69" i="9"/>
  <c r="AL69" i="9"/>
  <c r="AI69" i="9"/>
  <c r="AE69" i="9"/>
  <c r="G69" i="9"/>
  <c r="AF69" i="9" s="1"/>
  <c r="D69" i="9"/>
  <c r="AB69" i="9" s="1"/>
  <c r="BK68" i="9"/>
  <c r="BG68" i="9"/>
  <c r="BD68" i="9"/>
  <c r="BA68" i="9"/>
  <c r="AX68" i="9"/>
  <c r="AU68" i="9"/>
  <c r="AR68" i="9"/>
  <c r="AO68" i="9"/>
  <c r="AL68" i="9"/>
  <c r="AI68" i="9"/>
  <c r="AE68" i="9"/>
  <c r="G68" i="9"/>
  <c r="AF68" i="9" s="1"/>
  <c r="D68" i="9"/>
  <c r="AB68" i="9" s="1"/>
  <c r="BK67" i="9"/>
  <c r="BG67" i="9"/>
  <c r="BD67" i="9"/>
  <c r="BA67" i="9"/>
  <c r="AX67" i="9"/>
  <c r="AU67" i="9"/>
  <c r="AR67" i="9"/>
  <c r="AO67" i="9"/>
  <c r="AL67" i="9"/>
  <c r="AI67" i="9"/>
  <c r="AE67" i="9"/>
  <c r="G67" i="9"/>
  <c r="AF67" i="9" s="1"/>
  <c r="D67" i="9"/>
  <c r="AB67" i="9" s="1"/>
  <c r="BK66" i="9"/>
  <c r="BG66" i="9"/>
  <c r="BD66" i="9"/>
  <c r="BA66" i="9"/>
  <c r="AX66" i="9"/>
  <c r="AU66" i="9"/>
  <c r="AR66" i="9"/>
  <c r="AO66" i="9"/>
  <c r="AL66" i="9"/>
  <c r="AI66" i="9"/>
  <c r="AE66" i="9"/>
  <c r="G66" i="9"/>
  <c r="AF66" i="9" s="1"/>
  <c r="D66" i="9"/>
  <c r="AB66" i="9" s="1"/>
  <c r="BK65" i="9"/>
  <c r="BG65" i="9"/>
  <c r="BD65" i="9"/>
  <c r="BA65" i="9"/>
  <c r="AX65" i="9"/>
  <c r="AU65" i="9"/>
  <c r="AR65" i="9"/>
  <c r="AO65" i="9"/>
  <c r="AL65" i="9"/>
  <c r="AI65" i="9"/>
  <c r="AE65" i="9"/>
  <c r="G65" i="9"/>
  <c r="AF65" i="9" s="1"/>
  <c r="D65" i="9"/>
  <c r="AB65" i="9" s="1"/>
  <c r="BK64" i="9"/>
  <c r="BG64" i="9"/>
  <c r="BD64" i="9"/>
  <c r="BA64" i="9"/>
  <c r="AX64" i="9"/>
  <c r="AU64" i="9"/>
  <c r="AR64" i="9"/>
  <c r="AO64" i="9"/>
  <c r="AL64" i="9"/>
  <c r="AI64" i="9"/>
  <c r="AE64" i="9"/>
  <c r="G64" i="9"/>
  <c r="AF64" i="9" s="1"/>
  <c r="D64" i="9"/>
  <c r="AB64" i="9" s="1"/>
  <c r="BK63" i="9"/>
  <c r="BG63" i="9"/>
  <c r="BD63" i="9"/>
  <c r="BA63" i="9"/>
  <c r="AX63" i="9"/>
  <c r="AU63" i="9"/>
  <c r="AR63" i="9"/>
  <c r="AO63" i="9"/>
  <c r="AL63" i="9"/>
  <c r="AI63" i="9"/>
  <c r="AE63" i="9"/>
  <c r="G63" i="9"/>
  <c r="AF63" i="9" s="1"/>
  <c r="D63" i="9"/>
  <c r="BK62" i="9"/>
  <c r="BG62" i="9"/>
  <c r="BD62" i="9"/>
  <c r="BA62" i="9"/>
  <c r="AX62" i="9"/>
  <c r="AU62" i="9"/>
  <c r="AR62" i="9"/>
  <c r="AO62" i="9"/>
  <c r="AL62" i="9"/>
  <c r="AI62" i="9"/>
  <c r="AE62" i="9"/>
  <c r="G62" i="9"/>
  <c r="AF62" i="9" s="1"/>
  <c r="D62" i="9"/>
  <c r="BL62" i="9" s="1"/>
  <c r="BK61" i="9"/>
  <c r="AE61" i="9"/>
  <c r="AH61" i="9" s="1"/>
  <c r="AK61" i="9" s="1"/>
  <c r="AN61" i="9" s="1"/>
  <c r="AQ61" i="9" s="1"/>
  <c r="AT61" i="9" s="1"/>
  <c r="AW61" i="9" s="1"/>
  <c r="AZ61" i="9" s="1"/>
  <c r="BC61" i="9" s="1"/>
  <c r="BF61" i="9" s="1"/>
  <c r="G61" i="9"/>
  <c r="AF61" i="9" s="1"/>
  <c r="D61" i="9"/>
  <c r="BL61" i="9" s="1"/>
  <c r="BK60" i="9"/>
  <c r="BG60" i="9"/>
  <c r="BD60" i="9"/>
  <c r="BA60" i="9"/>
  <c r="AX60" i="9"/>
  <c r="AU60" i="9"/>
  <c r="AR60" i="9"/>
  <c r="AO60" i="9"/>
  <c r="AL60" i="9"/>
  <c r="AI60" i="9"/>
  <c r="AE60" i="9"/>
  <c r="G60" i="9"/>
  <c r="AF60" i="9" s="1"/>
  <c r="D60" i="9"/>
  <c r="BL60" i="9" s="1"/>
  <c r="BK59" i="9"/>
  <c r="BG59" i="9"/>
  <c r="BD59" i="9"/>
  <c r="BA59" i="9"/>
  <c r="AX59" i="9"/>
  <c r="AU59" i="9"/>
  <c r="AR59" i="9"/>
  <c r="AO59" i="9"/>
  <c r="AL59" i="9"/>
  <c r="AI59" i="9"/>
  <c r="AE59" i="9"/>
  <c r="G59" i="9"/>
  <c r="AF59" i="9" s="1"/>
  <c r="D59" i="9"/>
  <c r="BL59" i="9" s="1"/>
  <c r="BK58" i="9"/>
  <c r="AE58" i="9"/>
  <c r="AH58" i="9" s="1"/>
  <c r="AK58" i="9" s="1"/>
  <c r="AN58" i="9" s="1"/>
  <c r="AQ58" i="9" s="1"/>
  <c r="AT58" i="9" s="1"/>
  <c r="AW58" i="9" s="1"/>
  <c r="AZ58" i="9" s="1"/>
  <c r="BC58" i="9" s="1"/>
  <c r="BF58" i="9" s="1"/>
  <c r="G58" i="9"/>
  <c r="AF58" i="9" s="1"/>
  <c r="D58" i="9"/>
  <c r="BL58" i="9" s="1"/>
  <c r="BK57" i="9"/>
  <c r="BG57" i="9"/>
  <c r="BD57" i="9"/>
  <c r="BA57" i="9"/>
  <c r="AX57" i="9"/>
  <c r="AU57" i="9"/>
  <c r="AR57" i="9"/>
  <c r="AO57" i="9"/>
  <c r="AL57" i="9"/>
  <c r="AI57" i="9"/>
  <c r="AE57" i="9"/>
  <c r="G57" i="9"/>
  <c r="AF57" i="9" s="1"/>
  <c r="D57" i="9"/>
  <c r="BL57" i="9" s="1"/>
  <c r="BK56" i="9"/>
  <c r="AE56" i="9"/>
  <c r="AH56" i="9" s="1"/>
  <c r="AK56" i="9" s="1"/>
  <c r="AN56" i="9" s="1"/>
  <c r="AQ56" i="9" s="1"/>
  <c r="AT56" i="9" s="1"/>
  <c r="AW56" i="9" s="1"/>
  <c r="AZ56" i="9" s="1"/>
  <c r="BC56" i="9" s="1"/>
  <c r="BF56" i="9" s="1"/>
  <c r="G56" i="9"/>
  <c r="AF56" i="9" s="1"/>
  <c r="D56" i="9"/>
  <c r="BL56" i="9" s="1"/>
  <c r="BK55" i="9"/>
  <c r="AE55" i="9"/>
  <c r="AH55" i="9" s="1"/>
  <c r="G55" i="9"/>
  <c r="AF55" i="9" s="1"/>
  <c r="D55" i="9"/>
  <c r="BL55" i="9" s="1"/>
  <c r="BK54" i="9"/>
  <c r="BG54" i="9"/>
  <c r="BD54" i="9"/>
  <c r="BA54" i="9"/>
  <c r="AX54" i="9"/>
  <c r="AU54" i="9"/>
  <c r="AR54" i="9"/>
  <c r="AO54" i="9"/>
  <c r="AL54" i="9"/>
  <c r="AI54" i="9"/>
  <c r="AE54" i="9"/>
  <c r="G54" i="9"/>
  <c r="AF54" i="9" s="1"/>
  <c r="D54" i="9"/>
  <c r="BL54" i="9" s="1"/>
  <c r="BK53" i="9"/>
  <c r="AE53" i="9"/>
  <c r="AH53" i="9" s="1"/>
  <c r="AK53" i="9" s="1"/>
  <c r="AN53" i="9" s="1"/>
  <c r="AQ53" i="9" s="1"/>
  <c r="AT53" i="9" s="1"/>
  <c r="AW53" i="9" s="1"/>
  <c r="AZ53" i="9" s="1"/>
  <c r="BC53" i="9" s="1"/>
  <c r="BF53" i="9" s="1"/>
  <c r="G53" i="9"/>
  <c r="AF53" i="9" s="1"/>
  <c r="D53" i="9"/>
  <c r="BL53" i="9" s="1"/>
  <c r="BK52" i="9"/>
  <c r="BG52" i="9"/>
  <c r="BD52" i="9"/>
  <c r="BA52" i="9"/>
  <c r="AX52" i="9"/>
  <c r="AU52" i="9"/>
  <c r="AR52" i="9"/>
  <c r="AO52" i="9"/>
  <c r="AL52" i="9"/>
  <c r="AI52" i="9"/>
  <c r="AE52" i="9"/>
  <c r="G52" i="9"/>
  <c r="AF52" i="9" s="1"/>
  <c r="D52" i="9"/>
  <c r="BL52" i="9" s="1"/>
  <c r="BK51" i="9"/>
  <c r="BG51" i="9"/>
  <c r="BD51" i="9"/>
  <c r="BA51" i="9"/>
  <c r="AX51" i="9"/>
  <c r="AU51" i="9"/>
  <c r="AR51" i="9"/>
  <c r="AO51" i="9"/>
  <c r="AL51" i="9"/>
  <c r="AI51" i="9"/>
  <c r="AE51" i="9"/>
  <c r="G51" i="9"/>
  <c r="AF51" i="9" s="1"/>
  <c r="D51" i="9"/>
  <c r="BL51" i="9" s="1"/>
  <c r="BK50" i="9"/>
  <c r="BG50" i="9"/>
  <c r="BD50" i="9"/>
  <c r="BA50" i="9"/>
  <c r="AX50" i="9"/>
  <c r="AU50" i="9"/>
  <c r="AR50" i="9"/>
  <c r="AO50" i="9"/>
  <c r="AL50" i="9"/>
  <c r="AI50" i="9"/>
  <c r="AE50" i="9"/>
  <c r="G50" i="9"/>
  <c r="AF50" i="9" s="1"/>
  <c r="D50" i="9"/>
  <c r="BL50" i="9" s="1"/>
  <c r="BJ49" i="9"/>
  <c r="BJ47" i="9" s="1"/>
  <c r="BI49" i="9"/>
  <c r="BI47" i="9" s="1"/>
  <c r="BH49" i="9"/>
  <c r="BH47" i="9" s="1"/>
  <c r="BF49" i="9"/>
  <c r="BE49" i="9"/>
  <c r="BE47" i="9" s="1"/>
  <c r="BC49" i="9"/>
  <c r="BB49" i="9"/>
  <c r="BB47" i="9" s="1"/>
  <c r="AZ49" i="9"/>
  <c r="AY49" i="9"/>
  <c r="AY47" i="9" s="1"/>
  <c r="AW49" i="9"/>
  <c r="AV49" i="9"/>
  <c r="AV47" i="9" s="1"/>
  <c r="AT49" i="9"/>
  <c r="AS49" i="9"/>
  <c r="AS47" i="9" s="1"/>
  <c r="AQ49" i="9"/>
  <c r="AP49" i="9"/>
  <c r="AP47" i="9" s="1"/>
  <c r="AN49" i="9"/>
  <c r="AM49" i="9"/>
  <c r="AM47" i="9" s="1"/>
  <c r="AK49" i="9"/>
  <c r="AJ49" i="9"/>
  <c r="AJ47" i="9" s="1"/>
  <c r="AH49" i="9"/>
  <c r="AG49" i="9"/>
  <c r="AG47" i="9" s="1"/>
  <c r="AD49" i="9"/>
  <c r="AD47" i="9" s="1"/>
  <c r="AC49" i="9"/>
  <c r="AC47" i="9" s="1"/>
  <c r="AA49" i="9"/>
  <c r="BK49" i="9" s="1"/>
  <c r="Z49" i="9"/>
  <c r="Z47" i="9" s="1"/>
  <c r="Y49" i="9"/>
  <c r="BG49" i="9" s="1"/>
  <c r="X49" i="9"/>
  <c r="X47" i="9" s="1"/>
  <c r="W49" i="9"/>
  <c r="BD49" i="9" s="1"/>
  <c r="V49" i="9"/>
  <c r="V47" i="9" s="1"/>
  <c r="U49" i="9"/>
  <c r="BA49" i="9" s="1"/>
  <c r="T49" i="9"/>
  <c r="T47" i="9" s="1"/>
  <c r="S49" i="9"/>
  <c r="AX49" i="9" s="1"/>
  <c r="R49" i="9"/>
  <c r="R47" i="9" s="1"/>
  <c r="Q49" i="9"/>
  <c r="AU49" i="9" s="1"/>
  <c r="P49" i="9"/>
  <c r="P47" i="9" s="1"/>
  <c r="O49" i="9"/>
  <c r="AR49" i="9" s="1"/>
  <c r="N49" i="9"/>
  <c r="N47" i="9" s="1"/>
  <c r="M49" i="9"/>
  <c r="AO49" i="9" s="1"/>
  <c r="L49" i="9"/>
  <c r="L47" i="9" s="1"/>
  <c r="K49" i="9"/>
  <c r="AL49" i="9" s="1"/>
  <c r="J49" i="9"/>
  <c r="J47" i="9" s="1"/>
  <c r="I49" i="9"/>
  <c r="AI49" i="9" s="1"/>
  <c r="H49" i="9"/>
  <c r="H47" i="9" s="1"/>
  <c r="F49" i="9"/>
  <c r="F47" i="9" s="1"/>
  <c r="E49" i="9"/>
  <c r="E47" i="9" s="1"/>
  <c r="C49" i="9"/>
  <c r="C47" i="9" s="1"/>
  <c r="BK48" i="9"/>
  <c r="BG48" i="9"/>
  <c r="BD48" i="9"/>
  <c r="BA48" i="9"/>
  <c r="AX48" i="9"/>
  <c r="AU48" i="9"/>
  <c r="AR48" i="9"/>
  <c r="AO48" i="9"/>
  <c r="AL48" i="9"/>
  <c r="AI48" i="9"/>
  <c r="AE48" i="9"/>
  <c r="G48" i="9"/>
  <c r="AF48" i="9" s="1"/>
  <c r="D48" i="9"/>
  <c r="BL48" i="9" s="1"/>
  <c r="BK46" i="9"/>
  <c r="BG46" i="9"/>
  <c r="BD46" i="9"/>
  <c r="BA46" i="9"/>
  <c r="AX46" i="9"/>
  <c r="AU46" i="9"/>
  <c r="AR46" i="9"/>
  <c r="AO46" i="9"/>
  <c r="AL46" i="9"/>
  <c r="AI46" i="9"/>
  <c r="AE46" i="9"/>
  <c r="G46" i="9"/>
  <c r="AF46" i="9" s="1"/>
  <c r="D46" i="9"/>
  <c r="BL46" i="9" s="1"/>
  <c r="BK45" i="9"/>
  <c r="AE45" i="9"/>
  <c r="AH45" i="9" s="1"/>
  <c r="AK45" i="9" s="1"/>
  <c r="AN45" i="9" s="1"/>
  <c r="AQ45" i="9" s="1"/>
  <c r="AT45" i="9" s="1"/>
  <c r="AW45" i="9" s="1"/>
  <c r="AZ45" i="9" s="1"/>
  <c r="BC45" i="9" s="1"/>
  <c r="BF45" i="9" s="1"/>
  <c r="G45" i="9"/>
  <c r="AF45" i="9" s="1"/>
  <c r="D45" i="9"/>
  <c r="BL45" i="9" s="1"/>
  <c r="BK44" i="9"/>
  <c r="AE44" i="9"/>
  <c r="AH44" i="9" s="1"/>
  <c r="AK44" i="9" s="1"/>
  <c r="AN44" i="9" s="1"/>
  <c r="AQ44" i="9" s="1"/>
  <c r="AT44" i="9" s="1"/>
  <c r="AW44" i="9" s="1"/>
  <c r="AZ44" i="9" s="1"/>
  <c r="BC44" i="9" s="1"/>
  <c r="BF44" i="9" s="1"/>
  <c r="G44" i="9"/>
  <c r="AF44" i="9" s="1"/>
  <c r="D44" i="9"/>
  <c r="BL44" i="9" s="1"/>
  <c r="BK43" i="9"/>
  <c r="AE43" i="9"/>
  <c r="AH43" i="9" s="1"/>
  <c r="AK43" i="9" s="1"/>
  <c r="AN43" i="9" s="1"/>
  <c r="AQ43" i="9" s="1"/>
  <c r="AT43" i="9" s="1"/>
  <c r="AW43" i="9" s="1"/>
  <c r="AZ43" i="9" s="1"/>
  <c r="BC43" i="9" s="1"/>
  <c r="BF43" i="9" s="1"/>
  <c r="G43" i="9"/>
  <c r="AF43" i="9" s="1"/>
  <c r="D43" i="9"/>
  <c r="BL43" i="9" s="1"/>
  <c r="BK42" i="9"/>
  <c r="AE42" i="9"/>
  <c r="AH42" i="9" s="1"/>
  <c r="AK42" i="9" s="1"/>
  <c r="AN42" i="9" s="1"/>
  <c r="AQ42" i="9" s="1"/>
  <c r="AT42" i="9" s="1"/>
  <c r="AW42" i="9" s="1"/>
  <c r="AZ42" i="9" s="1"/>
  <c r="BC42" i="9" s="1"/>
  <c r="BF42" i="9" s="1"/>
  <c r="G42" i="9"/>
  <c r="AF42" i="9" s="1"/>
  <c r="D42" i="9"/>
  <c r="BL42" i="9" s="1"/>
  <c r="BK41" i="9"/>
  <c r="BG41" i="9"/>
  <c r="BD41" i="9"/>
  <c r="BA41" i="9"/>
  <c r="AX41" i="9"/>
  <c r="AU41" i="9"/>
  <c r="AR41" i="9"/>
  <c r="AO41" i="9"/>
  <c r="AL41" i="9"/>
  <c r="AI41" i="9"/>
  <c r="AE41" i="9"/>
  <c r="G41" i="9"/>
  <c r="AF41" i="9" s="1"/>
  <c r="D41" i="9"/>
  <c r="BL41" i="9" s="1"/>
  <c r="BK40" i="9"/>
  <c r="AE40" i="9"/>
  <c r="AH40" i="9" s="1"/>
  <c r="AK40" i="9" s="1"/>
  <c r="AN40" i="9" s="1"/>
  <c r="AQ40" i="9" s="1"/>
  <c r="AT40" i="9" s="1"/>
  <c r="AW40" i="9" s="1"/>
  <c r="AZ40" i="9" s="1"/>
  <c r="BC40" i="9" s="1"/>
  <c r="BF40" i="9" s="1"/>
  <c r="G40" i="9"/>
  <c r="AF40" i="9" s="1"/>
  <c r="D40" i="9"/>
  <c r="BL40" i="9" s="1"/>
  <c r="BK39" i="9"/>
  <c r="AE39" i="9"/>
  <c r="AH39" i="9" s="1"/>
  <c r="G39" i="9"/>
  <c r="AF39" i="9" s="1"/>
  <c r="D39" i="9"/>
  <c r="BL39" i="9" s="1"/>
  <c r="BJ38" i="9"/>
  <c r="BI38" i="9"/>
  <c r="BH38" i="9"/>
  <c r="BE38" i="9"/>
  <c r="BB38" i="9"/>
  <c r="AY38" i="9"/>
  <c r="AV38" i="9"/>
  <c r="AS38" i="9"/>
  <c r="AP38" i="9"/>
  <c r="AM38" i="9"/>
  <c r="AJ38" i="9"/>
  <c r="AG38" i="9"/>
  <c r="AD38" i="9"/>
  <c r="AC38" i="9"/>
  <c r="AA38" i="9"/>
  <c r="BK38" i="9" s="1"/>
  <c r="Z38" i="9"/>
  <c r="X38" i="9"/>
  <c r="V38" i="9"/>
  <c r="T38" i="9"/>
  <c r="R38" i="9"/>
  <c r="P38" i="9"/>
  <c r="N38" i="9"/>
  <c r="L38" i="9"/>
  <c r="J38" i="9"/>
  <c r="H38" i="9"/>
  <c r="F38" i="9"/>
  <c r="E38" i="9"/>
  <c r="C38" i="9"/>
  <c r="BK36" i="9"/>
  <c r="AE36" i="9"/>
  <c r="AH36" i="9" s="1"/>
  <c r="AK36" i="9" s="1"/>
  <c r="AN36" i="9" s="1"/>
  <c r="AQ36" i="9" s="1"/>
  <c r="AT36" i="9" s="1"/>
  <c r="AW36" i="9" s="1"/>
  <c r="AZ36" i="9" s="1"/>
  <c r="BC36" i="9" s="1"/>
  <c r="BF36" i="9" s="1"/>
  <c r="G36" i="9"/>
  <c r="AF36" i="9" s="1"/>
  <c r="D36" i="9"/>
  <c r="BL36" i="9" s="1"/>
  <c r="BK35" i="9"/>
  <c r="AE35" i="9"/>
  <c r="AH35" i="9" s="1"/>
  <c r="AK35" i="9" s="1"/>
  <c r="AN35" i="9" s="1"/>
  <c r="AQ35" i="9" s="1"/>
  <c r="AT35" i="9" s="1"/>
  <c r="AW35" i="9" s="1"/>
  <c r="AZ35" i="9" s="1"/>
  <c r="BC35" i="9" s="1"/>
  <c r="BF35" i="9" s="1"/>
  <c r="G35" i="9"/>
  <c r="AF35" i="9" s="1"/>
  <c r="D35" i="9"/>
  <c r="BL35" i="9" s="1"/>
  <c r="BK34" i="9"/>
  <c r="AE34" i="9"/>
  <c r="AH34" i="9" s="1"/>
  <c r="AK34" i="9" s="1"/>
  <c r="AN34" i="9" s="1"/>
  <c r="AQ34" i="9" s="1"/>
  <c r="AT34" i="9" s="1"/>
  <c r="AW34" i="9" s="1"/>
  <c r="AZ34" i="9" s="1"/>
  <c r="BC34" i="9" s="1"/>
  <c r="BF34" i="9" s="1"/>
  <c r="G34" i="9"/>
  <c r="AF34" i="9" s="1"/>
  <c r="D34" i="9"/>
  <c r="BL34" i="9" s="1"/>
  <c r="BK33" i="9"/>
  <c r="AE33" i="9"/>
  <c r="AH33" i="9" s="1"/>
  <c r="AK33" i="9" s="1"/>
  <c r="AN33" i="9" s="1"/>
  <c r="AQ33" i="9" s="1"/>
  <c r="AT33" i="9" s="1"/>
  <c r="AW33" i="9" s="1"/>
  <c r="AZ33" i="9" s="1"/>
  <c r="BC33" i="9" s="1"/>
  <c r="BF33" i="9" s="1"/>
  <c r="G33" i="9"/>
  <c r="AF33" i="9" s="1"/>
  <c r="D33" i="9"/>
  <c r="BL33" i="9" s="1"/>
  <c r="BK32" i="9"/>
  <c r="AE32" i="9"/>
  <c r="AH32" i="9" s="1"/>
  <c r="AK32" i="9" s="1"/>
  <c r="AN32" i="9" s="1"/>
  <c r="AQ32" i="9" s="1"/>
  <c r="AT32" i="9" s="1"/>
  <c r="AW32" i="9" s="1"/>
  <c r="AZ32" i="9" s="1"/>
  <c r="BC32" i="9" s="1"/>
  <c r="BF32" i="9" s="1"/>
  <c r="G32" i="9"/>
  <c r="AF32" i="9" s="1"/>
  <c r="D32" i="9"/>
  <c r="BL32" i="9" s="1"/>
  <c r="BK31" i="9"/>
  <c r="AE31" i="9"/>
  <c r="AH31" i="9" s="1"/>
  <c r="AK31" i="9" s="1"/>
  <c r="AN31" i="9" s="1"/>
  <c r="AQ31" i="9" s="1"/>
  <c r="AT31" i="9" s="1"/>
  <c r="AW31" i="9" s="1"/>
  <c r="AZ31" i="9" s="1"/>
  <c r="BC31" i="9" s="1"/>
  <c r="BF31" i="9" s="1"/>
  <c r="G31" i="9"/>
  <c r="AF31" i="9" s="1"/>
  <c r="D31" i="9"/>
  <c r="BL31" i="9" s="1"/>
  <c r="BK30" i="9"/>
  <c r="AE30" i="9"/>
  <c r="AH30" i="9" s="1"/>
  <c r="AK30" i="9" s="1"/>
  <c r="AN30" i="9" s="1"/>
  <c r="AQ30" i="9" s="1"/>
  <c r="AT30" i="9" s="1"/>
  <c r="AW30" i="9" s="1"/>
  <c r="AZ30" i="9" s="1"/>
  <c r="BC30" i="9" s="1"/>
  <c r="BF30" i="9" s="1"/>
  <c r="G30" i="9"/>
  <c r="AF30" i="9" s="1"/>
  <c r="D30" i="9"/>
  <c r="BL30" i="9" s="1"/>
  <c r="BK29" i="9"/>
  <c r="AE29" i="9"/>
  <c r="AH29" i="9" s="1"/>
  <c r="AK29" i="9" s="1"/>
  <c r="AN29" i="9" s="1"/>
  <c r="AQ29" i="9" s="1"/>
  <c r="AT29" i="9" s="1"/>
  <c r="AW29" i="9" s="1"/>
  <c r="AZ29" i="9" s="1"/>
  <c r="BC29" i="9" s="1"/>
  <c r="BF29" i="9" s="1"/>
  <c r="G29" i="9"/>
  <c r="AF29" i="9" s="1"/>
  <c r="D29" i="9"/>
  <c r="BL29" i="9" s="1"/>
  <c r="BK28" i="9"/>
  <c r="AE28" i="9"/>
  <c r="AH28" i="9" s="1"/>
  <c r="G28" i="9"/>
  <c r="AF28" i="9" s="1"/>
  <c r="D28" i="9"/>
  <c r="BL28" i="9" s="1"/>
  <c r="BJ27" i="9"/>
  <c r="BI27" i="9"/>
  <c r="BH27" i="9"/>
  <c r="BE27" i="9"/>
  <c r="BB27" i="9"/>
  <c r="AY27" i="9"/>
  <c r="AV27" i="9"/>
  <c r="AS27" i="9"/>
  <c r="AP27" i="9"/>
  <c r="AM27" i="9"/>
  <c r="AJ27" i="9"/>
  <c r="AG27" i="9"/>
  <c r="AD27" i="9"/>
  <c r="AC27" i="9"/>
  <c r="AA27" i="9"/>
  <c r="BK27" i="9" s="1"/>
  <c r="Z27" i="9"/>
  <c r="X27" i="9"/>
  <c r="V27" i="9"/>
  <c r="T27" i="9"/>
  <c r="R27" i="9"/>
  <c r="P27" i="9"/>
  <c r="N27" i="9"/>
  <c r="L27" i="9"/>
  <c r="J27" i="9"/>
  <c r="H27" i="9"/>
  <c r="F27" i="9"/>
  <c r="E27" i="9"/>
  <c r="C27" i="9"/>
  <c r="BK26" i="9"/>
  <c r="AE26" i="9"/>
  <c r="AH26" i="9" s="1"/>
  <c r="AK26" i="9" s="1"/>
  <c r="AN26" i="9" s="1"/>
  <c r="AQ26" i="9" s="1"/>
  <c r="AT26" i="9" s="1"/>
  <c r="AW26" i="9" s="1"/>
  <c r="AZ26" i="9" s="1"/>
  <c r="BC26" i="9" s="1"/>
  <c r="BF26" i="9" s="1"/>
  <c r="G26" i="9"/>
  <c r="AF26" i="9" s="1"/>
  <c r="D26" i="9"/>
  <c r="BL26" i="9" s="1"/>
  <c r="BK25" i="9"/>
  <c r="AE25" i="9"/>
  <c r="AH25" i="9" s="1"/>
  <c r="AK25" i="9" s="1"/>
  <c r="AN25" i="9" s="1"/>
  <c r="AQ25" i="9" s="1"/>
  <c r="AT25" i="9" s="1"/>
  <c r="AW25" i="9" s="1"/>
  <c r="AZ25" i="9" s="1"/>
  <c r="BC25" i="9" s="1"/>
  <c r="BF25" i="9" s="1"/>
  <c r="G25" i="9"/>
  <c r="AF25" i="9" s="1"/>
  <c r="D25" i="9"/>
  <c r="BL25" i="9" s="1"/>
  <c r="BK24" i="9"/>
  <c r="AE24" i="9"/>
  <c r="AH24" i="9" s="1"/>
  <c r="AK24" i="9" s="1"/>
  <c r="AN24" i="9" s="1"/>
  <c r="AQ24" i="9" s="1"/>
  <c r="AT24" i="9" s="1"/>
  <c r="AW24" i="9" s="1"/>
  <c r="AZ24" i="9" s="1"/>
  <c r="BC24" i="9" s="1"/>
  <c r="BF24" i="9" s="1"/>
  <c r="G24" i="9"/>
  <c r="AF24" i="9" s="1"/>
  <c r="D24" i="9"/>
  <c r="BL24" i="9" s="1"/>
  <c r="BK23" i="9"/>
  <c r="AE23" i="9"/>
  <c r="AH23" i="9" s="1"/>
  <c r="AK23" i="9" s="1"/>
  <c r="AN23" i="9" s="1"/>
  <c r="AQ23" i="9" s="1"/>
  <c r="AT23" i="9" s="1"/>
  <c r="AW23" i="9" s="1"/>
  <c r="AZ23" i="9" s="1"/>
  <c r="BC23" i="9" s="1"/>
  <c r="BF23" i="9" s="1"/>
  <c r="G23" i="9"/>
  <c r="AF23" i="9" s="1"/>
  <c r="D23" i="9"/>
  <c r="BL23" i="9" s="1"/>
  <c r="BK22" i="9"/>
  <c r="AE22" i="9"/>
  <c r="AH22" i="9" s="1"/>
  <c r="AK22" i="9" s="1"/>
  <c r="AN22" i="9" s="1"/>
  <c r="AQ22" i="9" s="1"/>
  <c r="AT22" i="9" s="1"/>
  <c r="AW22" i="9" s="1"/>
  <c r="AZ22" i="9" s="1"/>
  <c r="BC22" i="9" s="1"/>
  <c r="BF22" i="9" s="1"/>
  <c r="G22" i="9"/>
  <c r="AF22" i="9" s="1"/>
  <c r="D22" i="9"/>
  <c r="BL22" i="9" s="1"/>
  <c r="BK21" i="9"/>
  <c r="AE21" i="9"/>
  <c r="AH21" i="9" s="1"/>
  <c r="AK21" i="9" s="1"/>
  <c r="AN21" i="9" s="1"/>
  <c r="AQ21" i="9" s="1"/>
  <c r="AT21" i="9" s="1"/>
  <c r="AW21" i="9" s="1"/>
  <c r="AZ21" i="9" s="1"/>
  <c r="BC21" i="9" s="1"/>
  <c r="BF21" i="9" s="1"/>
  <c r="G21" i="9"/>
  <c r="AF21" i="9" s="1"/>
  <c r="D21" i="9"/>
  <c r="BL21" i="9" s="1"/>
  <c r="BK20" i="9"/>
  <c r="AE20" i="9"/>
  <c r="AH20" i="9" s="1"/>
  <c r="AK20" i="9" s="1"/>
  <c r="AN20" i="9" s="1"/>
  <c r="AQ20" i="9" s="1"/>
  <c r="AT20" i="9" s="1"/>
  <c r="AW20" i="9" s="1"/>
  <c r="AZ20" i="9" s="1"/>
  <c r="BC20" i="9" s="1"/>
  <c r="BF20" i="9" s="1"/>
  <c r="G20" i="9"/>
  <c r="AF20" i="9" s="1"/>
  <c r="D20" i="9"/>
  <c r="BL20" i="9" s="1"/>
  <c r="BK19" i="9"/>
  <c r="AE19" i="9"/>
  <c r="AH19" i="9" s="1"/>
  <c r="AK19" i="9" s="1"/>
  <c r="AN19" i="9" s="1"/>
  <c r="AQ19" i="9" s="1"/>
  <c r="AT19" i="9" s="1"/>
  <c r="AW19" i="9" s="1"/>
  <c r="AZ19" i="9" s="1"/>
  <c r="BC19" i="9" s="1"/>
  <c r="BF19" i="9" s="1"/>
  <c r="G19" i="9"/>
  <c r="AF19" i="9" s="1"/>
  <c r="D19" i="9"/>
  <c r="BL19" i="9" s="1"/>
  <c r="BK18" i="9"/>
  <c r="AE18" i="9"/>
  <c r="AH18" i="9" s="1"/>
  <c r="AK18" i="9" s="1"/>
  <c r="AN18" i="9" s="1"/>
  <c r="AQ18" i="9" s="1"/>
  <c r="AT18" i="9" s="1"/>
  <c r="AW18" i="9" s="1"/>
  <c r="AZ18" i="9" s="1"/>
  <c r="BC18" i="9" s="1"/>
  <c r="BF18" i="9" s="1"/>
  <c r="G18" i="9"/>
  <c r="AF18" i="9" s="1"/>
  <c r="D18" i="9"/>
  <c r="BL18" i="9" s="1"/>
  <c r="BK17" i="9"/>
  <c r="AE17" i="9"/>
  <c r="AH17" i="9" s="1"/>
  <c r="AK17" i="9" s="1"/>
  <c r="AN17" i="9" s="1"/>
  <c r="AQ17" i="9" s="1"/>
  <c r="AT17" i="9" s="1"/>
  <c r="AW17" i="9" s="1"/>
  <c r="AZ17" i="9" s="1"/>
  <c r="BC17" i="9" s="1"/>
  <c r="BF17" i="9" s="1"/>
  <c r="G17" i="9"/>
  <c r="AF17" i="9" s="1"/>
  <c r="D17" i="9"/>
  <c r="BL17" i="9" s="1"/>
  <c r="BK16" i="9"/>
  <c r="AE16" i="9"/>
  <c r="AH16" i="9" s="1"/>
  <c r="AK16" i="9" s="1"/>
  <c r="AN16" i="9" s="1"/>
  <c r="AQ16" i="9" s="1"/>
  <c r="AT16" i="9" s="1"/>
  <c r="AW16" i="9" s="1"/>
  <c r="AZ16" i="9" s="1"/>
  <c r="BC16" i="9" s="1"/>
  <c r="BF16" i="9" s="1"/>
  <c r="G16" i="9"/>
  <c r="AF16" i="9" s="1"/>
  <c r="D16" i="9"/>
  <c r="BL16" i="9" s="1"/>
  <c r="BK15" i="9"/>
  <c r="AE15" i="9"/>
  <c r="AH15" i="9" s="1"/>
  <c r="AK15" i="9" s="1"/>
  <c r="AN15" i="9" s="1"/>
  <c r="AQ15" i="9" s="1"/>
  <c r="AT15" i="9" s="1"/>
  <c r="AW15" i="9" s="1"/>
  <c r="AZ15" i="9" s="1"/>
  <c r="BC15" i="9" s="1"/>
  <c r="BF15" i="9" s="1"/>
  <c r="G15" i="9"/>
  <c r="AF15" i="9" s="1"/>
  <c r="D15" i="9"/>
  <c r="BL15" i="9" s="1"/>
  <c r="BK14" i="9"/>
  <c r="AE14" i="9"/>
  <c r="AH14" i="9" s="1"/>
  <c r="AK14" i="9" s="1"/>
  <c r="AN14" i="9" s="1"/>
  <c r="AQ14" i="9" s="1"/>
  <c r="AT14" i="9" s="1"/>
  <c r="AW14" i="9" s="1"/>
  <c r="AZ14" i="9" s="1"/>
  <c r="BC14" i="9" s="1"/>
  <c r="BF14" i="9" s="1"/>
  <c r="G14" i="9"/>
  <c r="AF14" i="9" s="1"/>
  <c r="D14" i="9"/>
  <c r="BL14" i="9" s="1"/>
  <c r="BK13" i="9"/>
  <c r="AE13" i="9"/>
  <c r="AH13" i="9" s="1"/>
  <c r="AK13" i="9" s="1"/>
  <c r="AN13" i="9" s="1"/>
  <c r="AQ13" i="9" s="1"/>
  <c r="AT13" i="9" s="1"/>
  <c r="AW13" i="9" s="1"/>
  <c r="AZ13" i="9" s="1"/>
  <c r="BC13" i="9" s="1"/>
  <c r="BF13" i="9" s="1"/>
  <c r="G13" i="9"/>
  <c r="AF13" i="9" s="1"/>
  <c r="D13" i="9"/>
  <c r="BL13" i="9" s="1"/>
  <c r="BJ12" i="9"/>
  <c r="BI12" i="9"/>
  <c r="BH12" i="9"/>
  <c r="BE12" i="9"/>
  <c r="BB12" i="9"/>
  <c r="AY12" i="9"/>
  <c r="AV12" i="9"/>
  <c r="AS12" i="9"/>
  <c r="AP12" i="9"/>
  <c r="AM12" i="9"/>
  <c r="AJ12" i="9"/>
  <c r="AG12" i="9"/>
  <c r="AD12" i="9"/>
  <c r="AC12" i="9"/>
  <c r="AA12" i="9"/>
  <c r="G12" i="9"/>
  <c r="AF12" i="9" s="1"/>
  <c r="D12" i="9"/>
  <c r="BL12" i="9" s="1"/>
  <c r="BK11" i="9"/>
  <c r="AE11" i="9"/>
  <c r="AH11" i="9" s="1"/>
  <c r="G11" i="9"/>
  <c r="AF11" i="9" s="1"/>
  <c r="D11" i="9"/>
  <c r="BL11" i="9" s="1"/>
  <c r="BJ10" i="9"/>
  <c r="BI10" i="9"/>
  <c r="BH10" i="9"/>
  <c r="BE10" i="9"/>
  <c r="BB10" i="9"/>
  <c r="AY10" i="9"/>
  <c r="AV10" i="9"/>
  <c r="AS10" i="9"/>
  <c r="AP10" i="9"/>
  <c r="AM10" i="9"/>
  <c r="AJ10" i="9"/>
  <c r="AG10" i="9"/>
  <c r="AD10" i="9"/>
  <c r="AC10" i="9"/>
  <c r="AA10" i="9"/>
  <c r="Z10" i="9"/>
  <c r="X10" i="9"/>
  <c r="V10" i="9"/>
  <c r="T10" i="9"/>
  <c r="R10" i="9"/>
  <c r="P10" i="9"/>
  <c r="N10" i="9"/>
  <c r="L10" i="9"/>
  <c r="J10" i="9"/>
  <c r="H10" i="9"/>
  <c r="F10" i="9"/>
  <c r="E10" i="9"/>
  <c r="C10" i="9"/>
  <c r="AH8" i="9"/>
  <c r="AJ8" i="9" s="1"/>
  <c r="AK8" i="9" s="1"/>
  <c r="AE8" i="9"/>
  <c r="AF8" i="9" s="1"/>
  <c r="AA8" i="9"/>
  <c r="AB8" i="9" s="1"/>
  <c r="E8" i="9"/>
  <c r="F8" i="9" s="1"/>
  <c r="G8" i="9" s="1"/>
  <c r="H8" i="9" s="1"/>
  <c r="I8" i="9" s="1"/>
  <c r="J8" i="9" s="1"/>
  <c r="K8" i="9" s="1"/>
  <c r="L8" i="9" s="1"/>
  <c r="M8" i="9" s="1"/>
  <c r="N8" i="9" s="1"/>
  <c r="O8" i="9" s="1"/>
  <c r="P8" i="9" s="1"/>
  <c r="Q8" i="9" s="1"/>
  <c r="R8" i="9" s="1"/>
  <c r="S8" i="9" s="1"/>
  <c r="T8" i="9" s="1"/>
  <c r="U8" i="9" s="1"/>
  <c r="V8" i="9" s="1"/>
  <c r="W8" i="9" s="1"/>
  <c r="X8" i="9" s="1"/>
  <c r="Y8" i="9" s="1"/>
  <c r="Z8" i="9" s="1"/>
  <c r="BK131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AB114" i="8"/>
  <c r="BH113" i="8"/>
  <c r="C113" i="8"/>
  <c r="D113" i="8" s="1"/>
  <c r="Z113" i="8" s="1"/>
  <c r="BK112" i="8"/>
  <c r="AE112" i="8"/>
  <c r="AH112" i="8" s="1"/>
  <c r="AK112" i="8" s="1"/>
  <c r="AN112" i="8" s="1"/>
  <c r="AQ112" i="8" s="1"/>
  <c r="AT112" i="8" s="1"/>
  <c r="AW112" i="8" s="1"/>
  <c r="AZ112" i="8" s="1"/>
  <c r="BC112" i="8" s="1"/>
  <c r="BF112" i="8" s="1"/>
  <c r="I112" i="8"/>
  <c r="AI112" i="8" s="1"/>
  <c r="G112" i="8"/>
  <c r="AF112" i="8" s="1"/>
  <c r="D112" i="8"/>
  <c r="BK111" i="8"/>
  <c r="AE111" i="8"/>
  <c r="AH111" i="8" s="1"/>
  <c r="AK111" i="8" s="1"/>
  <c r="AN111" i="8" s="1"/>
  <c r="AQ111" i="8" s="1"/>
  <c r="AT111" i="8" s="1"/>
  <c r="AW111" i="8" s="1"/>
  <c r="AZ111" i="8" s="1"/>
  <c r="BC111" i="8" s="1"/>
  <c r="BF111" i="8" s="1"/>
  <c r="I111" i="8"/>
  <c r="AI111" i="8" s="1"/>
  <c r="G111" i="8"/>
  <c r="AF111" i="8" s="1"/>
  <c r="D111" i="8"/>
  <c r="BK110" i="8"/>
  <c r="AE110" i="8"/>
  <c r="AH110" i="8" s="1"/>
  <c r="AK110" i="8" s="1"/>
  <c r="AN110" i="8" s="1"/>
  <c r="AQ110" i="8" s="1"/>
  <c r="AT110" i="8" s="1"/>
  <c r="AW110" i="8" s="1"/>
  <c r="AZ110" i="8" s="1"/>
  <c r="BC110" i="8" s="1"/>
  <c r="BF110" i="8" s="1"/>
  <c r="I110" i="8"/>
  <c r="AI110" i="8" s="1"/>
  <c r="G110" i="8"/>
  <c r="AF110" i="8" s="1"/>
  <c r="D110" i="8"/>
  <c r="BK109" i="8"/>
  <c r="AE109" i="8"/>
  <c r="AH109" i="8" s="1"/>
  <c r="AK109" i="8" s="1"/>
  <c r="AN109" i="8" s="1"/>
  <c r="AQ109" i="8" s="1"/>
  <c r="AT109" i="8" s="1"/>
  <c r="AW109" i="8" s="1"/>
  <c r="AZ109" i="8" s="1"/>
  <c r="BC109" i="8" s="1"/>
  <c r="BF109" i="8" s="1"/>
  <c r="I109" i="8"/>
  <c r="AI109" i="8" s="1"/>
  <c r="G109" i="8"/>
  <c r="AF109" i="8" s="1"/>
  <c r="D109" i="8"/>
  <c r="BK108" i="8"/>
  <c r="AE108" i="8"/>
  <c r="AH108" i="8" s="1"/>
  <c r="AK108" i="8" s="1"/>
  <c r="AN108" i="8" s="1"/>
  <c r="AQ108" i="8" s="1"/>
  <c r="AT108" i="8" s="1"/>
  <c r="AW108" i="8" s="1"/>
  <c r="AZ108" i="8" s="1"/>
  <c r="BC108" i="8" s="1"/>
  <c r="BF108" i="8" s="1"/>
  <c r="I108" i="8"/>
  <c r="AI108" i="8" s="1"/>
  <c r="G108" i="8"/>
  <c r="AF108" i="8" s="1"/>
  <c r="D108" i="8"/>
  <c r="BK107" i="8"/>
  <c r="AE107" i="8"/>
  <c r="AH107" i="8" s="1"/>
  <c r="AK107" i="8" s="1"/>
  <c r="AN107" i="8" s="1"/>
  <c r="AQ107" i="8" s="1"/>
  <c r="AT107" i="8" s="1"/>
  <c r="AW107" i="8" s="1"/>
  <c r="AZ107" i="8" s="1"/>
  <c r="BC107" i="8" s="1"/>
  <c r="BF107" i="8" s="1"/>
  <c r="I107" i="8"/>
  <c r="AI107" i="8" s="1"/>
  <c r="G107" i="8"/>
  <c r="AF107" i="8" s="1"/>
  <c r="D107" i="8"/>
  <c r="BK106" i="8"/>
  <c r="AE106" i="8"/>
  <c r="AH106" i="8" s="1"/>
  <c r="AK106" i="8" s="1"/>
  <c r="AN106" i="8" s="1"/>
  <c r="AQ106" i="8" s="1"/>
  <c r="AT106" i="8" s="1"/>
  <c r="AW106" i="8" s="1"/>
  <c r="AZ106" i="8" s="1"/>
  <c r="BC106" i="8" s="1"/>
  <c r="BF106" i="8" s="1"/>
  <c r="I106" i="8"/>
  <c r="AI106" i="8" s="1"/>
  <c r="G106" i="8"/>
  <c r="AF106" i="8" s="1"/>
  <c r="D106" i="8"/>
  <c r="BK105" i="8"/>
  <c r="AE105" i="8"/>
  <c r="AH105" i="8" s="1"/>
  <c r="AK105" i="8" s="1"/>
  <c r="AN105" i="8" s="1"/>
  <c r="AQ105" i="8" s="1"/>
  <c r="AT105" i="8" s="1"/>
  <c r="AW105" i="8" s="1"/>
  <c r="AZ105" i="8" s="1"/>
  <c r="BC105" i="8" s="1"/>
  <c r="BF105" i="8" s="1"/>
  <c r="I105" i="8"/>
  <c r="AI105" i="8" s="1"/>
  <c r="G105" i="8"/>
  <c r="AF105" i="8" s="1"/>
  <c r="D105" i="8"/>
  <c r="BL105" i="8" s="1"/>
  <c r="BK104" i="8"/>
  <c r="AE104" i="8"/>
  <c r="AH104" i="8" s="1"/>
  <c r="AK104" i="8" s="1"/>
  <c r="AN104" i="8" s="1"/>
  <c r="AQ104" i="8" s="1"/>
  <c r="AT104" i="8" s="1"/>
  <c r="AW104" i="8" s="1"/>
  <c r="AZ104" i="8" s="1"/>
  <c r="BC104" i="8" s="1"/>
  <c r="BF104" i="8" s="1"/>
  <c r="I104" i="8"/>
  <c r="AI104" i="8" s="1"/>
  <c r="G104" i="8"/>
  <c r="AF104" i="8" s="1"/>
  <c r="D104" i="8"/>
  <c r="BL104" i="8" s="1"/>
  <c r="BK103" i="8"/>
  <c r="AE103" i="8"/>
  <c r="AH103" i="8" s="1"/>
  <c r="AK103" i="8" s="1"/>
  <c r="AN103" i="8" s="1"/>
  <c r="AQ103" i="8" s="1"/>
  <c r="AT103" i="8" s="1"/>
  <c r="AW103" i="8" s="1"/>
  <c r="AZ103" i="8" s="1"/>
  <c r="BC103" i="8" s="1"/>
  <c r="BF103" i="8" s="1"/>
  <c r="I103" i="8"/>
  <c r="AI103" i="8" s="1"/>
  <c r="G103" i="8"/>
  <c r="AF103" i="8" s="1"/>
  <c r="D103" i="8"/>
  <c r="BL103" i="8" s="1"/>
  <c r="BK102" i="8"/>
  <c r="AE102" i="8"/>
  <c r="AH102" i="8" s="1"/>
  <c r="AK102" i="8" s="1"/>
  <c r="AN102" i="8" s="1"/>
  <c r="AQ102" i="8" s="1"/>
  <c r="AT102" i="8" s="1"/>
  <c r="AW102" i="8" s="1"/>
  <c r="AZ102" i="8" s="1"/>
  <c r="BC102" i="8" s="1"/>
  <c r="BF102" i="8" s="1"/>
  <c r="I102" i="8"/>
  <c r="AI102" i="8" s="1"/>
  <c r="G102" i="8"/>
  <c r="AF102" i="8" s="1"/>
  <c r="D102" i="8"/>
  <c r="BL102" i="8" s="1"/>
  <c r="BJ101" i="8"/>
  <c r="BI101" i="8"/>
  <c r="BH101" i="8"/>
  <c r="BE101" i="8"/>
  <c r="BB101" i="8"/>
  <c r="AY101" i="8"/>
  <c r="AV101" i="8"/>
  <c r="AS101" i="8"/>
  <c r="AP101" i="8"/>
  <c r="AM101" i="8"/>
  <c r="AJ101" i="8"/>
  <c r="AG101" i="8"/>
  <c r="AD101" i="8"/>
  <c r="AC101" i="8"/>
  <c r="AA101" i="8"/>
  <c r="BK101" i="8" s="1"/>
  <c r="Z101" i="8"/>
  <c r="X101" i="8"/>
  <c r="V101" i="8"/>
  <c r="T101" i="8"/>
  <c r="R101" i="8"/>
  <c r="P101" i="8"/>
  <c r="N101" i="8"/>
  <c r="L101" i="8"/>
  <c r="J101" i="8"/>
  <c r="H101" i="8"/>
  <c r="F101" i="8"/>
  <c r="E101" i="8"/>
  <c r="C101" i="8"/>
  <c r="BK100" i="8"/>
  <c r="AE100" i="8"/>
  <c r="AH100" i="8" s="1"/>
  <c r="AK100" i="8" s="1"/>
  <c r="AN100" i="8" s="1"/>
  <c r="AQ100" i="8" s="1"/>
  <c r="AT100" i="8" s="1"/>
  <c r="AW100" i="8" s="1"/>
  <c r="AZ100" i="8" s="1"/>
  <c r="BC100" i="8" s="1"/>
  <c r="BF100" i="8" s="1"/>
  <c r="G100" i="8"/>
  <c r="AF100" i="8" s="1"/>
  <c r="D100" i="8"/>
  <c r="BK99" i="8"/>
  <c r="AE99" i="8"/>
  <c r="AH99" i="8" s="1"/>
  <c r="AK99" i="8" s="1"/>
  <c r="AN99" i="8" s="1"/>
  <c r="AQ99" i="8" s="1"/>
  <c r="AT99" i="8" s="1"/>
  <c r="AW99" i="8" s="1"/>
  <c r="AZ99" i="8" s="1"/>
  <c r="BC99" i="8" s="1"/>
  <c r="BF99" i="8" s="1"/>
  <c r="G99" i="8"/>
  <c r="AF99" i="8" s="1"/>
  <c r="D99" i="8"/>
  <c r="BK98" i="8"/>
  <c r="AE98" i="8"/>
  <c r="AH98" i="8" s="1"/>
  <c r="AK98" i="8" s="1"/>
  <c r="AN98" i="8" s="1"/>
  <c r="AQ98" i="8" s="1"/>
  <c r="AT98" i="8" s="1"/>
  <c r="AW98" i="8" s="1"/>
  <c r="AZ98" i="8" s="1"/>
  <c r="BC98" i="8" s="1"/>
  <c r="BF98" i="8" s="1"/>
  <c r="G98" i="8"/>
  <c r="AF98" i="8" s="1"/>
  <c r="D98" i="8"/>
  <c r="BK97" i="8"/>
  <c r="AE97" i="8"/>
  <c r="AH97" i="8" s="1"/>
  <c r="AK97" i="8" s="1"/>
  <c r="AN97" i="8" s="1"/>
  <c r="AQ97" i="8" s="1"/>
  <c r="AT97" i="8" s="1"/>
  <c r="AW97" i="8" s="1"/>
  <c r="AZ97" i="8" s="1"/>
  <c r="BC97" i="8" s="1"/>
  <c r="BF97" i="8" s="1"/>
  <c r="G97" i="8"/>
  <c r="AF97" i="8" s="1"/>
  <c r="D97" i="8"/>
  <c r="BK96" i="8"/>
  <c r="AE96" i="8"/>
  <c r="AH96" i="8" s="1"/>
  <c r="AK96" i="8" s="1"/>
  <c r="AN96" i="8" s="1"/>
  <c r="AQ96" i="8" s="1"/>
  <c r="AT96" i="8" s="1"/>
  <c r="AW96" i="8" s="1"/>
  <c r="AZ96" i="8" s="1"/>
  <c r="BC96" i="8" s="1"/>
  <c r="BF96" i="8" s="1"/>
  <c r="G96" i="8"/>
  <c r="AF96" i="8" s="1"/>
  <c r="D96" i="8"/>
  <c r="BL96" i="8" s="1"/>
  <c r="BK95" i="8"/>
  <c r="AE95" i="8"/>
  <c r="AH95" i="8" s="1"/>
  <c r="AK95" i="8" s="1"/>
  <c r="AN95" i="8" s="1"/>
  <c r="AQ95" i="8" s="1"/>
  <c r="AT95" i="8" s="1"/>
  <c r="AW95" i="8" s="1"/>
  <c r="AZ95" i="8" s="1"/>
  <c r="BC95" i="8" s="1"/>
  <c r="BF95" i="8" s="1"/>
  <c r="G95" i="8"/>
  <c r="AF95" i="8" s="1"/>
  <c r="D95" i="8"/>
  <c r="BL95" i="8" s="1"/>
  <c r="BK94" i="8"/>
  <c r="BH94" i="8"/>
  <c r="BH91" i="8" s="1"/>
  <c r="BE94" i="8"/>
  <c r="BE91" i="8" s="1"/>
  <c r="BB94" i="8"/>
  <c r="BB91" i="8" s="1"/>
  <c r="AY94" i="8"/>
  <c r="AY91" i="8" s="1"/>
  <c r="AV94" i="8"/>
  <c r="AV91" i="8" s="1"/>
  <c r="AS94" i="8"/>
  <c r="AS91" i="8" s="1"/>
  <c r="AP94" i="8"/>
  <c r="AP91" i="8" s="1"/>
  <c r="AM94" i="8"/>
  <c r="AM91" i="8" s="1"/>
  <c r="AJ94" i="8"/>
  <c r="AJ91" i="8" s="1"/>
  <c r="AG94" i="8"/>
  <c r="AG91" i="8" s="1"/>
  <c r="AD94" i="8"/>
  <c r="AD91" i="8" s="1"/>
  <c r="AC94" i="8"/>
  <c r="Z94" i="8"/>
  <c r="Z91" i="8" s="1"/>
  <c r="X94" i="8"/>
  <c r="X91" i="8" s="1"/>
  <c r="V94" i="8"/>
  <c r="V91" i="8" s="1"/>
  <c r="T94" i="8"/>
  <c r="T91" i="8" s="1"/>
  <c r="R94" i="8"/>
  <c r="R91" i="8" s="1"/>
  <c r="P94" i="8"/>
  <c r="P91" i="8" s="1"/>
  <c r="N94" i="8"/>
  <c r="N91" i="8" s="1"/>
  <c r="L94" i="8"/>
  <c r="L91" i="8" s="1"/>
  <c r="J94" i="8"/>
  <c r="J91" i="8" s="1"/>
  <c r="H94" i="8"/>
  <c r="H91" i="8" s="1"/>
  <c r="F94" i="8"/>
  <c r="F91" i="8" s="1"/>
  <c r="E94" i="8"/>
  <c r="C94" i="8"/>
  <c r="C91" i="8" s="1"/>
  <c r="BK93" i="8"/>
  <c r="AE93" i="8"/>
  <c r="AH93" i="8" s="1"/>
  <c r="AK93" i="8" s="1"/>
  <c r="AN93" i="8" s="1"/>
  <c r="AQ93" i="8" s="1"/>
  <c r="AT93" i="8" s="1"/>
  <c r="AW93" i="8" s="1"/>
  <c r="AZ93" i="8" s="1"/>
  <c r="BC93" i="8" s="1"/>
  <c r="BF93" i="8" s="1"/>
  <c r="G93" i="8"/>
  <c r="AF93" i="8" s="1"/>
  <c r="D93" i="8"/>
  <c r="BL93" i="8" s="1"/>
  <c r="BK92" i="8"/>
  <c r="AE92" i="8"/>
  <c r="AH92" i="8" s="1"/>
  <c r="G92" i="8"/>
  <c r="AF92" i="8" s="1"/>
  <c r="D92" i="8"/>
  <c r="BL92" i="8" s="1"/>
  <c r="BJ91" i="8"/>
  <c r="BI91" i="8"/>
  <c r="AA91" i="8"/>
  <c r="BK91" i="8" s="1"/>
  <c r="BK86" i="8"/>
  <c r="AE86" i="8"/>
  <c r="G86" i="8"/>
  <c r="D86" i="8"/>
  <c r="BL86" i="8" s="1"/>
  <c r="BK85" i="8"/>
  <c r="AE85" i="8"/>
  <c r="AH85" i="8" s="1"/>
  <c r="G85" i="8"/>
  <c r="AF85" i="8" s="1"/>
  <c r="D85" i="8"/>
  <c r="BL85" i="8" s="1"/>
  <c r="BJ84" i="8"/>
  <c r="BI84" i="8"/>
  <c r="BH84" i="8"/>
  <c r="BE84" i="8"/>
  <c r="BB84" i="8"/>
  <c r="AY84" i="8"/>
  <c r="AV84" i="8"/>
  <c r="AS84" i="8"/>
  <c r="AP84" i="8"/>
  <c r="AM84" i="8"/>
  <c r="AJ84" i="8"/>
  <c r="AG84" i="8"/>
  <c r="AD84" i="8"/>
  <c r="AC84" i="8"/>
  <c r="AA84" i="8"/>
  <c r="BK84" i="8" s="1"/>
  <c r="Z84" i="8"/>
  <c r="X84" i="8"/>
  <c r="V84" i="8"/>
  <c r="T84" i="8"/>
  <c r="R84" i="8"/>
  <c r="P84" i="8"/>
  <c r="N84" i="8"/>
  <c r="L84" i="8"/>
  <c r="J84" i="8"/>
  <c r="H84" i="8"/>
  <c r="F84" i="8"/>
  <c r="E84" i="8"/>
  <c r="C84" i="8"/>
  <c r="BK83" i="8"/>
  <c r="AE83" i="8"/>
  <c r="AH83" i="8" s="1"/>
  <c r="AK83" i="8" s="1"/>
  <c r="AN83" i="8" s="1"/>
  <c r="AQ83" i="8" s="1"/>
  <c r="AT83" i="8" s="1"/>
  <c r="AW83" i="8" s="1"/>
  <c r="AZ83" i="8" s="1"/>
  <c r="BC83" i="8" s="1"/>
  <c r="BF83" i="8" s="1"/>
  <c r="G83" i="8"/>
  <c r="AF83" i="8" s="1"/>
  <c r="D83" i="8"/>
  <c r="BL83" i="8" s="1"/>
  <c r="BK82" i="8"/>
  <c r="AE82" i="8"/>
  <c r="AH82" i="8" s="1"/>
  <c r="G82" i="8"/>
  <c r="AF82" i="8" s="1"/>
  <c r="D82" i="8"/>
  <c r="BL82" i="8" s="1"/>
  <c r="BJ81" i="8"/>
  <c r="BI81" i="8"/>
  <c r="BH81" i="8"/>
  <c r="BE81" i="8"/>
  <c r="BB81" i="8"/>
  <c r="AY81" i="8"/>
  <c r="AV81" i="8"/>
  <c r="AS81" i="8"/>
  <c r="AP81" i="8"/>
  <c r="AM81" i="8"/>
  <c r="AJ81" i="8"/>
  <c r="AG81" i="8"/>
  <c r="AD81" i="8"/>
  <c r="AC81" i="8"/>
  <c r="AA81" i="8"/>
  <c r="BK81" i="8" s="1"/>
  <c r="Z81" i="8"/>
  <c r="X81" i="8"/>
  <c r="V81" i="8"/>
  <c r="T81" i="8"/>
  <c r="R81" i="8"/>
  <c r="P81" i="8"/>
  <c r="N81" i="8"/>
  <c r="L81" i="8"/>
  <c r="J81" i="8"/>
  <c r="H81" i="8"/>
  <c r="F81" i="8"/>
  <c r="E81" i="8"/>
  <c r="C81" i="8"/>
  <c r="BK80" i="8"/>
  <c r="AE80" i="8"/>
  <c r="AH80" i="8" s="1"/>
  <c r="AK80" i="8" s="1"/>
  <c r="AN80" i="8" s="1"/>
  <c r="AQ80" i="8" s="1"/>
  <c r="AT80" i="8" s="1"/>
  <c r="AW80" i="8" s="1"/>
  <c r="AZ80" i="8" s="1"/>
  <c r="BC80" i="8" s="1"/>
  <c r="BF80" i="8" s="1"/>
  <c r="G80" i="8"/>
  <c r="AF80" i="8" s="1"/>
  <c r="D80" i="8"/>
  <c r="BL80" i="8" s="1"/>
  <c r="BK79" i="8"/>
  <c r="AE79" i="8"/>
  <c r="AH79" i="8" s="1"/>
  <c r="G79" i="8"/>
  <c r="AF79" i="8" s="1"/>
  <c r="D79" i="8"/>
  <c r="BL79" i="8" s="1"/>
  <c r="BJ78" i="8"/>
  <c r="BI78" i="8"/>
  <c r="BH78" i="8"/>
  <c r="BE78" i="8"/>
  <c r="BB78" i="8"/>
  <c r="AY78" i="8"/>
  <c r="AV78" i="8"/>
  <c r="AS78" i="8"/>
  <c r="AP78" i="8"/>
  <c r="AM78" i="8"/>
  <c r="AJ78" i="8"/>
  <c r="AG78" i="8"/>
  <c r="AD78" i="8"/>
  <c r="AC78" i="8"/>
  <c r="AA78" i="8"/>
  <c r="BK78" i="8" s="1"/>
  <c r="Z78" i="8"/>
  <c r="X78" i="8"/>
  <c r="V78" i="8"/>
  <c r="T78" i="8"/>
  <c r="R78" i="8"/>
  <c r="P78" i="8"/>
  <c r="N78" i="8"/>
  <c r="L78" i="8"/>
  <c r="J78" i="8"/>
  <c r="H78" i="8"/>
  <c r="F78" i="8"/>
  <c r="E78" i="8"/>
  <c r="C78" i="8"/>
  <c r="BK73" i="8"/>
  <c r="BG73" i="8"/>
  <c r="BD73" i="8"/>
  <c r="BA73" i="8"/>
  <c r="AX73" i="8"/>
  <c r="AU73" i="8"/>
  <c r="AR73" i="8"/>
  <c r="AO73" i="8"/>
  <c r="AL73" i="8"/>
  <c r="AI73" i="8"/>
  <c r="AE73" i="8"/>
  <c r="G73" i="8"/>
  <c r="AF73" i="8" s="1"/>
  <c r="D73" i="8"/>
  <c r="AB73" i="8" s="1"/>
  <c r="BK72" i="8"/>
  <c r="BG72" i="8"/>
  <c r="BD72" i="8"/>
  <c r="BA72" i="8"/>
  <c r="AX72" i="8"/>
  <c r="AU72" i="8"/>
  <c r="AR72" i="8"/>
  <c r="AO72" i="8"/>
  <c r="AL72" i="8"/>
  <c r="AI72" i="8"/>
  <c r="AE72" i="8"/>
  <c r="G72" i="8"/>
  <c r="AF72" i="8" s="1"/>
  <c r="D72" i="8"/>
  <c r="AB72" i="8" s="1"/>
  <c r="BK71" i="8"/>
  <c r="BG71" i="8"/>
  <c r="BD71" i="8"/>
  <c r="BA71" i="8"/>
  <c r="AX71" i="8"/>
  <c r="AU71" i="8"/>
  <c r="AR71" i="8"/>
  <c r="AO71" i="8"/>
  <c r="AL71" i="8"/>
  <c r="AI71" i="8"/>
  <c r="AE71" i="8"/>
  <c r="G71" i="8"/>
  <c r="AF71" i="8" s="1"/>
  <c r="D71" i="8"/>
  <c r="AB71" i="8" s="1"/>
  <c r="BK70" i="8"/>
  <c r="BG70" i="8"/>
  <c r="BD70" i="8"/>
  <c r="BA70" i="8"/>
  <c r="AX70" i="8"/>
  <c r="AU70" i="8"/>
  <c r="AR70" i="8"/>
  <c r="AO70" i="8"/>
  <c r="AL70" i="8"/>
  <c r="AI70" i="8"/>
  <c r="AE70" i="8"/>
  <c r="G70" i="8"/>
  <c r="AF70" i="8" s="1"/>
  <c r="D70" i="8"/>
  <c r="AB70" i="8" s="1"/>
  <c r="BK69" i="8"/>
  <c r="BG69" i="8"/>
  <c r="BD69" i="8"/>
  <c r="BA69" i="8"/>
  <c r="AX69" i="8"/>
  <c r="AU69" i="8"/>
  <c r="AR69" i="8"/>
  <c r="AO69" i="8"/>
  <c r="AL69" i="8"/>
  <c r="AI69" i="8"/>
  <c r="AE69" i="8"/>
  <c r="G69" i="8"/>
  <c r="AF69" i="8" s="1"/>
  <c r="D69" i="8"/>
  <c r="AB69" i="8" s="1"/>
  <c r="BK68" i="8"/>
  <c r="BG68" i="8"/>
  <c r="BD68" i="8"/>
  <c r="BA68" i="8"/>
  <c r="AX68" i="8"/>
  <c r="AU68" i="8"/>
  <c r="AR68" i="8"/>
  <c r="AO68" i="8"/>
  <c r="AL68" i="8"/>
  <c r="AI68" i="8"/>
  <c r="AE68" i="8"/>
  <c r="G68" i="8"/>
  <c r="AF68" i="8" s="1"/>
  <c r="D68" i="8"/>
  <c r="AB68" i="8" s="1"/>
  <c r="BK67" i="8"/>
  <c r="BG67" i="8"/>
  <c r="BD67" i="8"/>
  <c r="BA67" i="8"/>
  <c r="AX67" i="8"/>
  <c r="AU67" i="8"/>
  <c r="AR67" i="8"/>
  <c r="AO67" i="8"/>
  <c r="AL67" i="8"/>
  <c r="AI67" i="8"/>
  <c r="AE67" i="8"/>
  <c r="G67" i="8"/>
  <c r="AF67" i="8" s="1"/>
  <c r="D67" i="8"/>
  <c r="AB67" i="8" s="1"/>
  <c r="BK66" i="8"/>
  <c r="BG66" i="8"/>
  <c r="BD66" i="8"/>
  <c r="BA66" i="8"/>
  <c r="AX66" i="8"/>
  <c r="AU66" i="8"/>
  <c r="AR66" i="8"/>
  <c r="AO66" i="8"/>
  <c r="AL66" i="8"/>
  <c r="AI66" i="8"/>
  <c r="AE66" i="8"/>
  <c r="G66" i="8"/>
  <c r="AF66" i="8" s="1"/>
  <c r="D66" i="8"/>
  <c r="AB66" i="8" s="1"/>
  <c r="BK65" i="8"/>
  <c r="BG65" i="8"/>
  <c r="BD65" i="8"/>
  <c r="BA65" i="8"/>
  <c r="AX65" i="8"/>
  <c r="AU65" i="8"/>
  <c r="AR65" i="8"/>
  <c r="AO65" i="8"/>
  <c r="AL65" i="8"/>
  <c r="AI65" i="8"/>
  <c r="AE65" i="8"/>
  <c r="G65" i="8"/>
  <c r="AF65" i="8" s="1"/>
  <c r="D65" i="8"/>
  <c r="AB65" i="8" s="1"/>
  <c r="BK64" i="8"/>
  <c r="BG64" i="8"/>
  <c r="BD64" i="8"/>
  <c r="BA64" i="8"/>
  <c r="AX64" i="8"/>
  <c r="AU64" i="8"/>
  <c r="AR64" i="8"/>
  <c r="AO64" i="8"/>
  <c r="AL64" i="8"/>
  <c r="AI64" i="8"/>
  <c r="AE64" i="8"/>
  <c r="G64" i="8"/>
  <c r="AF64" i="8" s="1"/>
  <c r="D64" i="8"/>
  <c r="AB64" i="8" s="1"/>
  <c r="BK63" i="8"/>
  <c r="BG63" i="8"/>
  <c r="BD63" i="8"/>
  <c r="BA63" i="8"/>
  <c r="AX63" i="8"/>
  <c r="AU63" i="8"/>
  <c r="AR63" i="8"/>
  <c r="AO63" i="8"/>
  <c r="AL63" i="8"/>
  <c r="AI63" i="8"/>
  <c r="AE63" i="8"/>
  <c r="G63" i="8"/>
  <c r="AF63" i="8" s="1"/>
  <c r="D63" i="8"/>
  <c r="BK62" i="8"/>
  <c r="BG62" i="8"/>
  <c r="BD62" i="8"/>
  <c r="BA62" i="8"/>
  <c r="AX62" i="8"/>
  <c r="AU62" i="8"/>
  <c r="AR62" i="8"/>
  <c r="AO62" i="8"/>
  <c r="AL62" i="8"/>
  <c r="AI62" i="8"/>
  <c r="AE62" i="8"/>
  <c r="G62" i="8"/>
  <c r="AF62" i="8" s="1"/>
  <c r="D62" i="8"/>
  <c r="BL62" i="8" s="1"/>
  <c r="BK61" i="8"/>
  <c r="AE61" i="8"/>
  <c r="AH61" i="8" s="1"/>
  <c r="AK61" i="8" s="1"/>
  <c r="AN61" i="8" s="1"/>
  <c r="AQ61" i="8" s="1"/>
  <c r="AT61" i="8" s="1"/>
  <c r="AW61" i="8" s="1"/>
  <c r="AZ61" i="8" s="1"/>
  <c r="BC61" i="8" s="1"/>
  <c r="BF61" i="8" s="1"/>
  <c r="G61" i="8"/>
  <c r="AF61" i="8" s="1"/>
  <c r="D61" i="8"/>
  <c r="BL61" i="8" s="1"/>
  <c r="BK60" i="8"/>
  <c r="BG60" i="8"/>
  <c r="BD60" i="8"/>
  <c r="BA60" i="8"/>
  <c r="AX60" i="8"/>
  <c r="AU60" i="8"/>
  <c r="AR60" i="8"/>
  <c r="AO60" i="8"/>
  <c r="AL60" i="8"/>
  <c r="AI60" i="8"/>
  <c r="AE60" i="8"/>
  <c r="G60" i="8"/>
  <c r="AF60" i="8" s="1"/>
  <c r="D60" i="8"/>
  <c r="BL60" i="8" s="1"/>
  <c r="BK59" i="8"/>
  <c r="BG59" i="8"/>
  <c r="BD59" i="8"/>
  <c r="BA59" i="8"/>
  <c r="AX59" i="8"/>
  <c r="AU59" i="8"/>
  <c r="AR59" i="8"/>
  <c r="AO59" i="8"/>
  <c r="AL59" i="8"/>
  <c r="AI59" i="8"/>
  <c r="AE59" i="8"/>
  <c r="G59" i="8"/>
  <c r="AF59" i="8" s="1"/>
  <c r="D59" i="8"/>
  <c r="BL59" i="8" s="1"/>
  <c r="BK58" i="8"/>
  <c r="AE58" i="8"/>
  <c r="AH58" i="8" s="1"/>
  <c r="AK58" i="8" s="1"/>
  <c r="AN58" i="8" s="1"/>
  <c r="AQ58" i="8" s="1"/>
  <c r="AT58" i="8" s="1"/>
  <c r="AW58" i="8" s="1"/>
  <c r="AZ58" i="8" s="1"/>
  <c r="BC58" i="8" s="1"/>
  <c r="BF58" i="8" s="1"/>
  <c r="G58" i="8"/>
  <c r="AF58" i="8" s="1"/>
  <c r="D58" i="8"/>
  <c r="BL58" i="8" s="1"/>
  <c r="BK57" i="8"/>
  <c r="BG57" i="8"/>
  <c r="BD57" i="8"/>
  <c r="BA57" i="8"/>
  <c r="AX57" i="8"/>
  <c r="AU57" i="8"/>
  <c r="AR57" i="8"/>
  <c r="AO57" i="8"/>
  <c r="AL57" i="8"/>
  <c r="AI57" i="8"/>
  <c r="AE57" i="8"/>
  <c r="G57" i="8"/>
  <c r="AF57" i="8" s="1"/>
  <c r="D57" i="8"/>
  <c r="BL57" i="8" s="1"/>
  <c r="BK56" i="8"/>
  <c r="AE56" i="8"/>
  <c r="AH56" i="8" s="1"/>
  <c r="AK56" i="8" s="1"/>
  <c r="AN56" i="8" s="1"/>
  <c r="AQ56" i="8" s="1"/>
  <c r="AT56" i="8" s="1"/>
  <c r="AW56" i="8" s="1"/>
  <c r="AZ56" i="8" s="1"/>
  <c r="BC56" i="8" s="1"/>
  <c r="BF56" i="8" s="1"/>
  <c r="G56" i="8"/>
  <c r="AF56" i="8" s="1"/>
  <c r="D56" i="8"/>
  <c r="BL56" i="8" s="1"/>
  <c r="BK55" i="8"/>
  <c r="AE55" i="8"/>
  <c r="AH55" i="8" s="1"/>
  <c r="G55" i="8"/>
  <c r="AF55" i="8" s="1"/>
  <c r="D55" i="8"/>
  <c r="BL55" i="8" s="1"/>
  <c r="BK54" i="8"/>
  <c r="BG54" i="8"/>
  <c r="BD54" i="8"/>
  <c r="BA54" i="8"/>
  <c r="AX54" i="8"/>
  <c r="AU54" i="8"/>
  <c r="AR54" i="8"/>
  <c r="AO54" i="8"/>
  <c r="AL54" i="8"/>
  <c r="AI54" i="8"/>
  <c r="AE54" i="8"/>
  <c r="G54" i="8"/>
  <c r="AF54" i="8" s="1"/>
  <c r="D54" i="8"/>
  <c r="BL54" i="8" s="1"/>
  <c r="BK53" i="8"/>
  <c r="AE53" i="8"/>
  <c r="AH53" i="8" s="1"/>
  <c r="AK53" i="8" s="1"/>
  <c r="AN53" i="8" s="1"/>
  <c r="AQ53" i="8" s="1"/>
  <c r="AT53" i="8" s="1"/>
  <c r="AW53" i="8" s="1"/>
  <c r="AZ53" i="8" s="1"/>
  <c r="BC53" i="8" s="1"/>
  <c r="BF53" i="8" s="1"/>
  <c r="G53" i="8"/>
  <c r="AF53" i="8" s="1"/>
  <c r="D53" i="8"/>
  <c r="BL53" i="8" s="1"/>
  <c r="BK52" i="8"/>
  <c r="BG52" i="8"/>
  <c r="BD52" i="8"/>
  <c r="BA52" i="8"/>
  <c r="AX52" i="8"/>
  <c r="AU52" i="8"/>
  <c r="AR52" i="8"/>
  <c r="AO52" i="8"/>
  <c r="AL52" i="8"/>
  <c r="AI52" i="8"/>
  <c r="AE52" i="8"/>
  <c r="G52" i="8"/>
  <c r="AF52" i="8" s="1"/>
  <c r="D52" i="8"/>
  <c r="BL52" i="8" s="1"/>
  <c r="BK51" i="8"/>
  <c r="BG51" i="8"/>
  <c r="BD51" i="8"/>
  <c r="BA51" i="8"/>
  <c r="AX51" i="8"/>
  <c r="AU51" i="8"/>
  <c r="AR51" i="8"/>
  <c r="AO51" i="8"/>
  <c r="AL51" i="8"/>
  <c r="AI51" i="8"/>
  <c r="AE51" i="8"/>
  <c r="G51" i="8"/>
  <c r="AF51" i="8" s="1"/>
  <c r="D51" i="8"/>
  <c r="BL51" i="8" s="1"/>
  <c r="BK50" i="8"/>
  <c r="BG50" i="8"/>
  <c r="BD50" i="8"/>
  <c r="BA50" i="8"/>
  <c r="AX50" i="8"/>
  <c r="AU50" i="8"/>
  <c r="AR50" i="8"/>
  <c r="AO50" i="8"/>
  <c r="AL50" i="8"/>
  <c r="AI50" i="8"/>
  <c r="AE50" i="8"/>
  <c r="G50" i="8"/>
  <c r="AF50" i="8" s="1"/>
  <c r="D50" i="8"/>
  <c r="BL50" i="8" s="1"/>
  <c r="BJ49" i="8"/>
  <c r="BJ47" i="8" s="1"/>
  <c r="BI49" i="8"/>
  <c r="BI47" i="8" s="1"/>
  <c r="BH49" i="8"/>
  <c r="BH47" i="8" s="1"/>
  <c r="BF49" i="8"/>
  <c r="BE49" i="8"/>
  <c r="BE47" i="8" s="1"/>
  <c r="BC49" i="8"/>
  <c r="BB49" i="8"/>
  <c r="BB47" i="8" s="1"/>
  <c r="AZ49" i="8"/>
  <c r="AY49" i="8"/>
  <c r="AY47" i="8" s="1"/>
  <c r="AW49" i="8"/>
  <c r="AV49" i="8"/>
  <c r="AV47" i="8" s="1"/>
  <c r="AT49" i="8"/>
  <c r="AS49" i="8"/>
  <c r="AS47" i="8" s="1"/>
  <c r="AQ49" i="8"/>
  <c r="AP49" i="8"/>
  <c r="AP47" i="8" s="1"/>
  <c r="AN49" i="8"/>
  <c r="AM49" i="8"/>
  <c r="AM47" i="8" s="1"/>
  <c r="AK49" i="8"/>
  <c r="AJ49" i="8"/>
  <c r="AJ47" i="8" s="1"/>
  <c r="AH49" i="8"/>
  <c r="AG49" i="8"/>
  <c r="AG47" i="8" s="1"/>
  <c r="AD49" i="8"/>
  <c r="AD47" i="8" s="1"/>
  <c r="AC49" i="8"/>
  <c r="AC47" i="8" s="1"/>
  <c r="AA49" i="8"/>
  <c r="BK49" i="8" s="1"/>
  <c r="Z49" i="8"/>
  <c r="Z47" i="8" s="1"/>
  <c r="Y49" i="8"/>
  <c r="BG49" i="8" s="1"/>
  <c r="X49" i="8"/>
  <c r="X47" i="8" s="1"/>
  <c r="W49" i="8"/>
  <c r="BD49" i="8" s="1"/>
  <c r="V49" i="8"/>
  <c r="V47" i="8" s="1"/>
  <c r="U49" i="8"/>
  <c r="BA49" i="8" s="1"/>
  <c r="T49" i="8"/>
  <c r="T47" i="8" s="1"/>
  <c r="S49" i="8"/>
  <c r="AX49" i="8" s="1"/>
  <c r="R49" i="8"/>
  <c r="R47" i="8" s="1"/>
  <c r="Q49" i="8"/>
  <c r="AU49" i="8" s="1"/>
  <c r="P49" i="8"/>
  <c r="P47" i="8" s="1"/>
  <c r="O49" i="8"/>
  <c r="AR49" i="8" s="1"/>
  <c r="N49" i="8"/>
  <c r="N47" i="8" s="1"/>
  <c r="M49" i="8"/>
  <c r="AO49" i="8" s="1"/>
  <c r="L49" i="8"/>
  <c r="L47" i="8" s="1"/>
  <c r="K49" i="8"/>
  <c r="AL49" i="8" s="1"/>
  <c r="J49" i="8"/>
  <c r="J47" i="8" s="1"/>
  <c r="I49" i="8"/>
  <c r="AI49" i="8" s="1"/>
  <c r="H49" i="8"/>
  <c r="H47" i="8" s="1"/>
  <c r="F49" i="8"/>
  <c r="F47" i="8" s="1"/>
  <c r="E49" i="8"/>
  <c r="E47" i="8" s="1"/>
  <c r="C49" i="8"/>
  <c r="C47" i="8" s="1"/>
  <c r="BK48" i="8"/>
  <c r="BG48" i="8"/>
  <c r="BD48" i="8"/>
  <c r="BA48" i="8"/>
  <c r="AX48" i="8"/>
  <c r="AU48" i="8"/>
  <c r="AR48" i="8"/>
  <c r="AO48" i="8"/>
  <c r="AL48" i="8"/>
  <c r="AI48" i="8"/>
  <c r="AE48" i="8"/>
  <c r="G48" i="8"/>
  <c r="AF48" i="8" s="1"/>
  <c r="D48" i="8"/>
  <c r="BL48" i="8" s="1"/>
  <c r="BK46" i="8"/>
  <c r="BG46" i="8"/>
  <c r="BD46" i="8"/>
  <c r="BA46" i="8"/>
  <c r="AX46" i="8"/>
  <c r="AU46" i="8"/>
  <c r="AR46" i="8"/>
  <c r="AO46" i="8"/>
  <c r="AL46" i="8"/>
  <c r="AI46" i="8"/>
  <c r="AE46" i="8"/>
  <c r="G46" i="8"/>
  <c r="AF46" i="8" s="1"/>
  <c r="D46" i="8"/>
  <c r="BL46" i="8" s="1"/>
  <c r="BK45" i="8"/>
  <c r="AE45" i="8"/>
  <c r="AH45" i="8" s="1"/>
  <c r="AK45" i="8" s="1"/>
  <c r="AN45" i="8" s="1"/>
  <c r="AQ45" i="8" s="1"/>
  <c r="AT45" i="8" s="1"/>
  <c r="AW45" i="8" s="1"/>
  <c r="AZ45" i="8" s="1"/>
  <c r="BC45" i="8" s="1"/>
  <c r="BF45" i="8" s="1"/>
  <c r="G45" i="8"/>
  <c r="AF45" i="8" s="1"/>
  <c r="D45" i="8"/>
  <c r="BL45" i="8" s="1"/>
  <c r="BK44" i="8"/>
  <c r="AE44" i="8"/>
  <c r="AH44" i="8" s="1"/>
  <c r="AK44" i="8" s="1"/>
  <c r="AN44" i="8" s="1"/>
  <c r="AQ44" i="8" s="1"/>
  <c r="AT44" i="8" s="1"/>
  <c r="AW44" i="8" s="1"/>
  <c r="AZ44" i="8" s="1"/>
  <c r="BC44" i="8" s="1"/>
  <c r="BF44" i="8" s="1"/>
  <c r="G44" i="8"/>
  <c r="AF44" i="8" s="1"/>
  <c r="D44" i="8"/>
  <c r="BL44" i="8" s="1"/>
  <c r="BK43" i="8"/>
  <c r="AE43" i="8"/>
  <c r="AH43" i="8" s="1"/>
  <c r="AK43" i="8" s="1"/>
  <c r="AN43" i="8" s="1"/>
  <c r="AQ43" i="8" s="1"/>
  <c r="AT43" i="8" s="1"/>
  <c r="AW43" i="8" s="1"/>
  <c r="AZ43" i="8" s="1"/>
  <c r="BC43" i="8" s="1"/>
  <c r="BF43" i="8" s="1"/>
  <c r="G43" i="8"/>
  <c r="AF43" i="8" s="1"/>
  <c r="D43" i="8"/>
  <c r="BL43" i="8" s="1"/>
  <c r="BK42" i="8"/>
  <c r="AE42" i="8"/>
  <c r="AH42" i="8" s="1"/>
  <c r="AK42" i="8" s="1"/>
  <c r="AN42" i="8" s="1"/>
  <c r="AQ42" i="8" s="1"/>
  <c r="AT42" i="8" s="1"/>
  <c r="AW42" i="8" s="1"/>
  <c r="AZ42" i="8" s="1"/>
  <c r="BC42" i="8" s="1"/>
  <c r="BF42" i="8" s="1"/>
  <c r="G42" i="8"/>
  <c r="AF42" i="8" s="1"/>
  <c r="D42" i="8"/>
  <c r="BK41" i="8"/>
  <c r="BG41" i="8"/>
  <c r="BD41" i="8"/>
  <c r="BA41" i="8"/>
  <c r="AX41" i="8"/>
  <c r="AU41" i="8"/>
  <c r="AR41" i="8"/>
  <c r="AO41" i="8"/>
  <c r="AL41" i="8"/>
  <c r="AI41" i="8"/>
  <c r="AE41" i="8"/>
  <c r="G41" i="8"/>
  <c r="AF41" i="8" s="1"/>
  <c r="D41" i="8"/>
  <c r="BL41" i="8" s="1"/>
  <c r="BK40" i="8"/>
  <c r="AE40" i="8"/>
  <c r="AH40" i="8" s="1"/>
  <c r="AK40" i="8" s="1"/>
  <c r="AN40" i="8" s="1"/>
  <c r="AQ40" i="8" s="1"/>
  <c r="AT40" i="8" s="1"/>
  <c r="AW40" i="8" s="1"/>
  <c r="AZ40" i="8" s="1"/>
  <c r="BC40" i="8" s="1"/>
  <c r="BF40" i="8" s="1"/>
  <c r="G40" i="8"/>
  <c r="AF40" i="8" s="1"/>
  <c r="D40" i="8"/>
  <c r="BL40" i="8" s="1"/>
  <c r="BK39" i="8"/>
  <c r="AE39" i="8"/>
  <c r="AH39" i="8" s="1"/>
  <c r="G39" i="8"/>
  <c r="AF39" i="8" s="1"/>
  <c r="D39" i="8"/>
  <c r="BL39" i="8" s="1"/>
  <c r="BJ38" i="8"/>
  <c r="BI38" i="8"/>
  <c r="BH38" i="8"/>
  <c r="BE38" i="8"/>
  <c r="BB38" i="8"/>
  <c r="AY38" i="8"/>
  <c r="AV38" i="8"/>
  <c r="AS38" i="8"/>
  <c r="AP38" i="8"/>
  <c r="AM38" i="8"/>
  <c r="AJ38" i="8"/>
  <c r="AG38" i="8"/>
  <c r="AD38" i="8"/>
  <c r="AC38" i="8"/>
  <c r="AA38" i="8"/>
  <c r="BK38" i="8" s="1"/>
  <c r="Z38" i="8"/>
  <c r="X38" i="8"/>
  <c r="V38" i="8"/>
  <c r="T38" i="8"/>
  <c r="R38" i="8"/>
  <c r="P38" i="8"/>
  <c r="N38" i="8"/>
  <c r="L38" i="8"/>
  <c r="J38" i="8"/>
  <c r="H38" i="8"/>
  <c r="F38" i="8"/>
  <c r="E38" i="8"/>
  <c r="C38" i="8"/>
  <c r="BK36" i="8"/>
  <c r="AE36" i="8"/>
  <c r="AH36" i="8" s="1"/>
  <c r="AK36" i="8" s="1"/>
  <c r="AN36" i="8" s="1"/>
  <c r="AQ36" i="8" s="1"/>
  <c r="AT36" i="8" s="1"/>
  <c r="AW36" i="8" s="1"/>
  <c r="AZ36" i="8" s="1"/>
  <c r="BC36" i="8" s="1"/>
  <c r="BF36" i="8" s="1"/>
  <c r="G36" i="8"/>
  <c r="AF36" i="8" s="1"/>
  <c r="D36" i="8"/>
  <c r="BL36" i="8" s="1"/>
  <c r="BK35" i="8"/>
  <c r="AE35" i="8"/>
  <c r="AH35" i="8" s="1"/>
  <c r="AK35" i="8" s="1"/>
  <c r="AN35" i="8" s="1"/>
  <c r="AQ35" i="8" s="1"/>
  <c r="AT35" i="8" s="1"/>
  <c r="AW35" i="8" s="1"/>
  <c r="AZ35" i="8" s="1"/>
  <c r="BC35" i="8" s="1"/>
  <c r="BF35" i="8" s="1"/>
  <c r="G35" i="8"/>
  <c r="AF35" i="8" s="1"/>
  <c r="D35" i="8"/>
  <c r="BL35" i="8" s="1"/>
  <c r="BK34" i="8"/>
  <c r="AE34" i="8"/>
  <c r="AH34" i="8" s="1"/>
  <c r="AK34" i="8" s="1"/>
  <c r="AN34" i="8" s="1"/>
  <c r="AQ34" i="8" s="1"/>
  <c r="AT34" i="8" s="1"/>
  <c r="AW34" i="8" s="1"/>
  <c r="AZ34" i="8" s="1"/>
  <c r="BC34" i="8" s="1"/>
  <c r="BF34" i="8" s="1"/>
  <c r="G34" i="8"/>
  <c r="AF34" i="8" s="1"/>
  <c r="D34" i="8"/>
  <c r="BL34" i="8" s="1"/>
  <c r="BK33" i="8"/>
  <c r="AE33" i="8"/>
  <c r="AH33" i="8" s="1"/>
  <c r="AK33" i="8" s="1"/>
  <c r="AN33" i="8" s="1"/>
  <c r="AQ33" i="8" s="1"/>
  <c r="AT33" i="8" s="1"/>
  <c r="AW33" i="8" s="1"/>
  <c r="AZ33" i="8" s="1"/>
  <c r="BC33" i="8" s="1"/>
  <c r="BF33" i="8" s="1"/>
  <c r="G33" i="8"/>
  <c r="AF33" i="8" s="1"/>
  <c r="D33" i="8"/>
  <c r="BL33" i="8" s="1"/>
  <c r="BK32" i="8"/>
  <c r="AE32" i="8"/>
  <c r="AH32" i="8" s="1"/>
  <c r="AK32" i="8" s="1"/>
  <c r="AN32" i="8" s="1"/>
  <c r="AQ32" i="8" s="1"/>
  <c r="AT32" i="8" s="1"/>
  <c r="AW32" i="8" s="1"/>
  <c r="AZ32" i="8" s="1"/>
  <c r="BC32" i="8" s="1"/>
  <c r="BF32" i="8" s="1"/>
  <c r="G32" i="8"/>
  <c r="AF32" i="8" s="1"/>
  <c r="D32" i="8"/>
  <c r="BL32" i="8" s="1"/>
  <c r="BK31" i="8"/>
  <c r="AE31" i="8"/>
  <c r="AH31" i="8" s="1"/>
  <c r="AK31" i="8" s="1"/>
  <c r="AN31" i="8" s="1"/>
  <c r="AQ31" i="8" s="1"/>
  <c r="AT31" i="8" s="1"/>
  <c r="AW31" i="8" s="1"/>
  <c r="AZ31" i="8" s="1"/>
  <c r="BC31" i="8" s="1"/>
  <c r="BF31" i="8" s="1"/>
  <c r="G31" i="8"/>
  <c r="AF31" i="8" s="1"/>
  <c r="D31" i="8"/>
  <c r="BL31" i="8" s="1"/>
  <c r="BK30" i="8"/>
  <c r="AE30" i="8"/>
  <c r="AH30" i="8" s="1"/>
  <c r="AK30" i="8" s="1"/>
  <c r="AN30" i="8" s="1"/>
  <c r="AQ30" i="8" s="1"/>
  <c r="AT30" i="8" s="1"/>
  <c r="AW30" i="8" s="1"/>
  <c r="AZ30" i="8" s="1"/>
  <c r="BC30" i="8" s="1"/>
  <c r="BF30" i="8" s="1"/>
  <c r="G30" i="8"/>
  <c r="AF30" i="8" s="1"/>
  <c r="D30" i="8"/>
  <c r="BL30" i="8" s="1"/>
  <c r="BK29" i="8"/>
  <c r="AE29" i="8"/>
  <c r="AH29" i="8" s="1"/>
  <c r="AK29" i="8" s="1"/>
  <c r="AN29" i="8" s="1"/>
  <c r="AQ29" i="8" s="1"/>
  <c r="AT29" i="8" s="1"/>
  <c r="AW29" i="8" s="1"/>
  <c r="AZ29" i="8" s="1"/>
  <c r="BC29" i="8" s="1"/>
  <c r="BF29" i="8" s="1"/>
  <c r="G29" i="8"/>
  <c r="AF29" i="8" s="1"/>
  <c r="D29" i="8"/>
  <c r="BL29" i="8" s="1"/>
  <c r="BK28" i="8"/>
  <c r="AE28" i="8"/>
  <c r="AH28" i="8" s="1"/>
  <c r="G28" i="8"/>
  <c r="AF28" i="8" s="1"/>
  <c r="D28" i="8"/>
  <c r="BL28" i="8" s="1"/>
  <c r="BJ27" i="8"/>
  <c r="BI27" i="8"/>
  <c r="BH27" i="8"/>
  <c r="BE27" i="8"/>
  <c r="BB27" i="8"/>
  <c r="AY27" i="8"/>
  <c r="AV27" i="8"/>
  <c r="AS27" i="8"/>
  <c r="AP27" i="8"/>
  <c r="AM27" i="8"/>
  <c r="AJ27" i="8"/>
  <c r="AG27" i="8"/>
  <c r="AD27" i="8"/>
  <c r="AC27" i="8"/>
  <c r="AA27" i="8"/>
  <c r="BK27" i="8" s="1"/>
  <c r="Z27" i="8"/>
  <c r="X27" i="8"/>
  <c r="V27" i="8"/>
  <c r="T27" i="8"/>
  <c r="R27" i="8"/>
  <c r="P27" i="8"/>
  <c r="N27" i="8"/>
  <c r="L27" i="8"/>
  <c r="J27" i="8"/>
  <c r="H27" i="8"/>
  <c r="F27" i="8"/>
  <c r="E27" i="8"/>
  <c r="C27" i="8"/>
  <c r="BK26" i="8"/>
  <c r="AE26" i="8"/>
  <c r="AH26" i="8" s="1"/>
  <c r="AK26" i="8" s="1"/>
  <c r="AN26" i="8" s="1"/>
  <c r="AQ26" i="8" s="1"/>
  <c r="AT26" i="8" s="1"/>
  <c r="AW26" i="8" s="1"/>
  <c r="AZ26" i="8" s="1"/>
  <c r="BC26" i="8" s="1"/>
  <c r="BF26" i="8" s="1"/>
  <c r="G26" i="8"/>
  <c r="AF26" i="8" s="1"/>
  <c r="D26" i="8"/>
  <c r="BL26" i="8" s="1"/>
  <c r="BK25" i="8"/>
  <c r="AE25" i="8"/>
  <c r="AH25" i="8" s="1"/>
  <c r="AK25" i="8" s="1"/>
  <c r="AN25" i="8" s="1"/>
  <c r="AQ25" i="8" s="1"/>
  <c r="AT25" i="8" s="1"/>
  <c r="AW25" i="8" s="1"/>
  <c r="AZ25" i="8" s="1"/>
  <c r="BC25" i="8" s="1"/>
  <c r="BF25" i="8" s="1"/>
  <c r="G25" i="8"/>
  <c r="AF25" i="8" s="1"/>
  <c r="D25" i="8"/>
  <c r="BL25" i="8" s="1"/>
  <c r="BK24" i="8"/>
  <c r="AE24" i="8"/>
  <c r="AH24" i="8" s="1"/>
  <c r="AK24" i="8" s="1"/>
  <c r="AN24" i="8" s="1"/>
  <c r="AQ24" i="8" s="1"/>
  <c r="AT24" i="8" s="1"/>
  <c r="AW24" i="8" s="1"/>
  <c r="AZ24" i="8" s="1"/>
  <c r="BC24" i="8" s="1"/>
  <c r="BF24" i="8" s="1"/>
  <c r="G24" i="8"/>
  <c r="AF24" i="8" s="1"/>
  <c r="D24" i="8"/>
  <c r="BL24" i="8" s="1"/>
  <c r="BK23" i="8"/>
  <c r="AE23" i="8"/>
  <c r="AH23" i="8" s="1"/>
  <c r="AK23" i="8" s="1"/>
  <c r="AN23" i="8" s="1"/>
  <c r="AQ23" i="8" s="1"/>
  <c r="AT23" i="8" s="1"/>
  <c r="AW23" i="8" s="1"/>
  <c r="AZ23" i="8" s="1"/>
  <c r="BC23" i="8" s="1"/>
  <c r="BF23" i="8" s="1"/>
  <c r="G23" i="8"/>
  <c r="AF23" i="8" s="1"/>
  <c r="D23" i="8"/>
  <c r="BL23" i="8" s="1"/>
  <c r="BK22" i="8"/>
  <c r="AE22" i="8"/>
  <c r="AH22" i="8" s="1"/>
  <c r="AK22" i="8" s="1"/>
  <c r="AN22" i="8" s="1"/>
  <c r="AQ22" i="8" s="1"/>
  <c r="AT22" i="8" s="1"/>
  <c r="AW22" i="8" s="1"/>
  <c r="AZ22" i="8" s="1"/>
  <c r="BC22" i="8" s="1"/>
  <c r="BF22" i="8" s="1"/>
  <c r="G22" i="8"/>
  <c r="AF22" i="8" s="1"/>
  <c r="D22" i="8"/>
  <c r="BL22" i="8" s="1"/>
  <c r="BK21" i="8"/>
  <c r="AE21" i="8"/>
  <c r="AH21" i="8" s="1"/>
  <c r="AK21" i="8" s="1"/>
  <c r="AN21" i="8" s="1"/>
  <c r="AQ21" i="8" s="1"/>
  <c r="AT21" i="8" s="1"/>
  <c r="AW21" i="8" s="1"/>
  <c r="AZ21" i="8" s="1"/>
  <c r="BC21" i="8" s="1"/>
  <c r="BF21" i="8" s="1"/>
  <c r="G21" i="8"/>
  <c r="AF21" i="8" s="1"/>
  <c r="D21" i="8"/>
  <c r="BL21" i="8" s="1"/>
  <c r="BK20" i="8"/>
  <c r="AE20" i="8"/>
  <c r="AH20" i="8" s="1"/>
  <c r="AK20" i="8" s="1"/>
  <c r="AN20" i="8" s="1"/>
  <c r="AQ20" i="8" s="1"/>
  <c r="AT20" i="8" s="1"/>
  <c r="AW20" i="8" s="1"/>
  <c r="AZ20" i="8" s="1"/>
  <c r="BC20" i="8" s="1"/>
  <c r="BF20" i="8" s="1"/>
  <c r="G20" i="8"/>
  <c r="AF20" i="8" s="1"/>
  <c r="D20" i="8"/>
  <c r="BL20" i="8" s="1"/>
  <c r="BK19" i="8"/>
  <c r="AE19" i="8"/>
  <c r="AH19" i="8" s="1"/>
  <c r="AK19" i="8" s="1"/>
  <c r="AN19" i="8" s="1"/>
  <c r="AQ19" i="8" s="1"/>
  <c r="AT19" i="8" s="1"/>
  <c r="AW19" i="8" s="1"/>
  <c r="AZ19" i="8" s="1"/>
  <c r="BC19" i="8" s="1"/>
  <c r="BF19" i="8" s="1"/>
  <c r="G19" i="8"/>
  <c r="AF19" i="8" s="1"/>
  <c r="D19" i="8"/>
  <c r="BL19" i="8" s="1"/>
  <c r="BK18" i="8"/>
  <c r="AE18" i="8"/>
  <c r="AH18" i="8" s="1"/>
  <c r="AK18" i="8" s="1"/>
  <c r="AN18" i="8" s="1"/>
  <c r="AQ18" i="8" s="1"/>
  <c r="AT18" i="8" s="1"/>
  <c r="AW18" i="8" s="1"/>
  <c r="AZ18" i="8" s="1"/>
  <c r="BC18" i="8" s="1"/>
  <c r="BF18" i="8" s="1"/>
  <c r="G18" i="8"/>
  <c r="AF18" i="8" s="1"/>
  <c r="D18" i="8"/>
  <c r="BL18" i="8" s="1"/>
  <c r="BK17" i="8"/>
  <c r="AE17" i="8"/>
  <c r="AH17" i="8" s="1"/>
  <c r="AK17" i="8" s="1"/>
  <c r="AN17" i="8" s="1"/>
  <c r="AQ17" i="8" s="1"/>
  <c r="AT17" i="8" s="1"/>
  <c r="AW17" i="8" s="1"/>
  <c r="AZ17" i="8" s="1"/>
  <c r="BC17" i="8" s="1"/>
  <c r="BF17" i="8" s="1"/>
  <c r="G17" i="8"/>
  <c r="AF17" i="8" s="1"/>
  <c r="D17" i="8"/>
  <c r="BL17" i="8" s="1"/>
  <c r="BK16" i="8"/>
  <c r="AE16" i="8"/>
  <c r="AH16" i="8" s="1"/>
  <c r="AK16" i="8" s="1"/>
  <c r="AN16" i="8" s="1"/>
  <c r="AQ16" i="8" s="1"/>
  <c r="AT16" i="8" s="1"/>
  <c r="AW16" i="8" s="1"/>
  <c r="AZ16" i="8" s="1"/>
  <c r="BC16" i="8" s="1"/>
  <c r="BF16" i="8" s="1"/>
  <c r="G16" i="8"/>
  <c r="I16" i="8" s="1"/>
  <c r="D16" i="8"/>
  <c r="BL16" i="8" s="1"/>
  <c r="BK15" i="8"/>
  <c r="AE15" i="8"/>
  <c r="AH15" i="8" s="1"/>
  <c r="AK15" i="8" s="1"/>
  <c r="AN15" i="8" s="1"/>
  <c r="AQ15" i="8" s="1"/>
  <c r="AT15" i="8" s="1"/>
  <c r="AW15" i="8" s="1"/>
  <c r="AZ15" i="8" s="1"/>
  <c r="BC15" i="8" s="1"/>
  <c r="BF15" i="8" s="1"/>
  <c r="G15" i="8"/>
  <c r="I15" i="8" s="1"/>
  <c r="D15" i="8"/>
  <c r="BL15" i="8" s="1"/>
  <c r="BK14" i="8"/>
  <c r="AE14" i="8"/>
  <c r="AH14" i="8" s="1"/>
  <c r="AK14" i="8" s="1"/>
  <c r="AN14" i="8" s="1"/>
  <c r="AQ14" i="8" s="1"/>
  <c r="AT14" i="8" s="1"/>
  <c r="AW14" i="8" s="1"/>
  <c r="AZ14" i="8" s="1"/>
  <c r="BC14" i="8" s="1"/>
  <c r="BF14" i="8" s="1"/>
  <c r="G14" i="8"/>
  <c r="AF14" i="8" s="1"/>
  <c r="D14" i="8"/>
  <c r="BL14" i="8" s="1"/>
  <c r="BK13" i="8"/>
  <c r="AE13" i="8"/>
  <c r="AH13" i="8" s="1"/>
  <c r="AK13" i="8" s="1"/>
  <c r="AN13" i="8" s="1"/>
  <c r="AQ13" i="8" s="1"/>
  <c r="AT13" i="8" s="1"/>
  <c r="AW13" i="8" s="1"/>
  <c r="AZ13" i="8" s="1"/>
  <c r="BC13" i="8" s="1"/>
  <c r="BF13" i="8" s="1"/>
  <c r="G13" i="8"/>
  <c r="AF13" i="8" s="1"/>
  <c r="D13" i="8"/>
  <c r="BL13" i="8" s="1"/>
  <c r="AA12" i="8"/>
  <c r="G12" i="8"/>
  <c r="AF12" i="8" s="1"/>
  <c r="D12" i="8"/>
  <c r="BL12" i="8" s="1"/>
  <c r="BK11" i="8"/>
  <c r="AE11" i="8"/>
  <c r="AH11" i="8" s="1"/>
  <c r="G11" i="8"/>
  <c r="D11" i="8"/>
  <c r="BL11" i="8" s="1"/>
  <c r="BJ10" i="8"/>
  <c r="BI10" i="8"/>
  <c r="BH10" i="8"/>
  <c r="BE10" i="8"/>
  <c r="BB10" i="8"/>
  <c r="AY10" i="8"/>
  <c r="AV10" i="8"/>
  <c r="AS10" i="8"/>
  <c r="AP10" i="8"/>
  <c r="AM10" i="8"/>
  <c r="AJ10" i="8"/>
  <c r="AG10" i="8"/>
  <c r="AD10" i="8"/>
  <c r="AC10" i="8"/>
  <c r="AA10" i="8"/>
  <c r="Z10" i="8"/>
  <c r="X10" i="8"/>
  <c r="V10" i="8"/>
  <c r="T10" i="8"/>
  <c r="R10" i="8"/>
  <c r="P10" i="8"/>
  <c r="N10" i="8"/>
  <c r="L10" i="8"/>
  <c r="J10" i="8"/>
  <c r="H10" i="8"/>
  <c r="F10" i="8"/>
  <c r="E10" i="8"/>
  <c r="C10" i="8"/>
  <c r="AH8" i="8"/>
  <c r="AJ8" i="8" s="1"/>
  <c r="AK8" i="8" s="1"/>
  <c r="AE8" i="8"/>
  <c r="AF8" i="8" s="1"/>
  <c r="AA8" i="8"/>
  <c r="AB8" i="8" s="1"/>
  <c r="E8" i="8"/>
  <c r="F8" i="8" s="1"/>
  <c r="G8" i="8" s="1"/>
  <c r="H8" i="8" s="1"/>
  <c r="I8" i="8" s="1"/>
  <c r="J8" i="8" s="1"/>
  <c r="K8" i="8" s="1"/>
  <c r="L8" i="8" s="1"/>
  <c r="M8" i="8" s="1"/>
  <c r="N8" i="8" s="1"/>
  <c r="O8" i="8" s="1"/>
  <c r="P8" i="8" s="1"/>
  <c r="Q8" i="8" s="1"/>
  <c r="R8" i="8" s="1"/>
  <c r="S8" i="8" s="1"/>
  <c r="T8" i="8" s="1"/>
  <c r="U8" i="8" s="1"/>
  <c r="V8" i="8" s="1"/>
  <c r="W8" i="8" s="1"/>
  <c r="X8" i="8" s="1"/>
  <c r="Y8" i="8" s="1"/>
  <c r="Z8" i="8" s="1"/>
  <c r="BD114" i="1"/>
  <c r="BC114" i="1"/>
  <c r="DU109" i="1"/>
  <c r="DU110" i="1"/>
  <c r="DU111" i="1"/>
  <c r="DV111" i="1"/>
  <c r="DU112" i="1"/>
  <c r="DV112" i="1"/>
  <c r="DV111" i="5"/>
  <c r="DU111" i="5"/>
  <c r="DT111" i="5"/>
  <c r="DS111" i="5"/>
  <c r="BH111" i="5"/>
  <c r="BN111" i="5" s="1"/>
  <c r="BT111" i="5" s="1"/>
  <c r="BZ111" i="5" s="1"/>
  <c r="CF111" i="5" s="1"/>
  <c r="CL111" i="5" s="1"/>
  <c r="CR111" i="5" s="1"/>
  <c r="CX111" i="5" s="1"/>
  <c r="DD111" i="5" s="1"/>
  <c r="DJ111" i="5" s="1"/>
  <c r="BG111" i="5"/>
  <c r="BM111" i="5" s="1"/>
  <c r="BS111" i="5" s="1"/>
  <c r="BY111" i="5" s="1"/>
  <c r="CE111" i="5" s="1"/>
  <c r="CK111" i="5" s="1"/>
  <c r="CQ111" i="5" s="1"/>
  <c r="CW111" i="5" s="1"/>
  <c r="DC111" i="5" s="1"/>
  <c r="DI111" i="5" s="1"/>
  <c r="BB111" i="5"/>
  <c r="BA111" i="5"/>
  <c r="L111" i="5"/>
  <c r="BJ111" i="5" s="1"/>
  <c r="K111" i="5"/>
  <c r="BI111" i="5" s="1"/>
  <c r="DJ110" i="5"/>
  <c r="DI110" i="5"/>
  <c r="DD110" i="5"/>
  <c r="DC110" i="5"/>
  <c r="CX110" i="5"/>
  <c r="CW110" i="5"/>
  <c r="CR110" i="5"/>
  <c r="CQ110" i="5"/>
  <c r="CL110" i="5"/>
  <c r="CK110" i="5"/>
  <c r="CF110" i="5"/>
  <c r="CE110" i="5"/>
  <c r="BZ110" i="5"/>
  <c r="BY110" i="5"/>
  <c r="BT110" i="5"/>
  <c r="BS110" i="5"/>
  <c r="BN110" i="5"/>
  <c r="BM110" i="5"/>
  <c r="BH110" i="5"/>
  <c r="BG110" i="5"/>
  <c r="AV110" i="5"/>
  <c r="AU110" i="5"/>
  <c r="AR110" i="5"/>
  <c r="AQ110" i="5"/>
  <c r="AN110" i="5"/>
  <c r="AM110" i="5"/>
  <c r="AJ110" i="5"/>
  <c r="AI110" i="5"/>
  <c r="AF110" i="5"/>
  <c r="AE110" i="5"/>
  <c r="AB110" i="5"/>
  <c r="AA110" i="5"/>
  <c r="X110" i="5"/>
  <c r="W110" i="5"/>
  <c r="T110" i="5"/>
  <c r="S110" i="5"/>
  <c r="P110" i="5"/>
  <c r="O110" i="5"/>
  <c r="L110" i="5"/>
  <c r="K110" i="5"/>
  <c r="D110" i="5"/>
  <c r="C110" i="5"/>
  <c r="DJ109" i="5"/>
  <c r="DI109" i="5"/>
  <c r="DD109" i="5"/>
  <c r="DC109" i="5"/>
  <c r="CX109" i="5"/>
  <c r="CW109" i="5"/>
  <c r="CR109" i="5"/>
  <c r="CQ109" i="5"/>
  <c r="CL109" i="5"/>
  <c r="CK109" i="5"/>
  <c r="CF109" i="5"/>
  <c r="CE109" i="5"/>
  <c r="BZ109" i="5"/>
  <c r="BY109" i="5"/>
  <c r="BT109" i="5"/>
  <c r="BS109" i="5"/>
  <c r="BN109" i="5"/>
  <c r="BM109" i="5"/>
  <c r="BH109" i="5"/>
  <c r="BG109" i="5"/>
  <c r="AV109" i="5"/>
  <c r="AU109" i="5"/>
  <c r="AR109" i="5"/>
  <c r="AQ109" i="5"/>
  <c r="AN109" i="5"/>
  <c r="AM109" i="5"/>
  <c r="AJ109" i="5"/>
  <c r="AI109" i="5"/>
  <c r="AF109" i="5"/>
  <c r="AE109" i="5"/>
  <c r="AB109" i="5"/>
  <c r="AA109" i="5"/>
  <c r="X109" i="5"/>
  <c r="W109" i="5"/>
  <c r="T109" i="5"/>
  <c r="S109" i="5"/>
  <c r="P109" i="5"/>
  <c r="O109" i="5"/>
  <c r="L109" i="5"/>
  <c r="K109" i="5"/>
  <c r="D109" i="5"/>
  <c r="C109" i="5"/>
  <c r="DJ108" i="5"/>
  <c r="DI108" i="5"/>
  <c r="DD108" i="5"/>
  <c r="DC108" i="5"/>
  <c r="CX108" i="5"/>
  <c r="CW108" i="5"/>
  <c r="CR108" i="5"/>
  <c r="CQ108" i="5"/>
  <c r="CL108" i="5"/>
  <c r="CK108" i="5"/>
  <c r="CF108" i="5"/>
  <c r="CE108" i="5"/>
  <c r="BZ108" i="5"/>
  <c r="BY108" i="5"/>
  <c r="BT108" i="5"/>
  <c r="BS108" i="5"/>
  <c r="BN108" i="5"/>
  <c r="BM108" i="5"/>
  <c r="BH108" i="5"/>
  <c r="BG108" i="5"/>
  <c r="AV108" i="5"/>
  <c r="AU108" i="5"/>
  <c r="AR108" i="5"/>
  <c r="AQ108" i="5"/>
  <c r="AN108" i="5"/>
  <c r="AM108" i="5"/>
  <c r="AJ108" i="5"/>
  <c r="AI108" i="5"/>
  <c r="AF108" i="5"/>
  <c r="AE108" i="5"/>
  <c r="AB108" i="5"/>
  <c r="AA108" i="5"/>
  <c r="X108" i="5"/>
  <c r="W108" i="5"/>
  <c r="T108" i="5"/>
  <c r="S108" i="5"/>
  <c r="P108" i="5"/>
  <c r="O108" i="5"/>
  <c r="L108" i="5"/>
  <c r="K108" i="5"/>
  <c r="F108" i="5"/>
  <c r="F109" i="5" s="1"/>
  <c r="E108" i="5"/>
  <c r="E109" i="5" s="1"/>
  <c r="D108" i="5"/>
  <c r="C108" i="5"/>
  <c r="DJ107" i="5"/>
  <c r="DI107" i="5"/>
  <c r="DD107" i="5"/>
  <c r="DC107" i="5"/>
  <c r="CX107" i="5"/>
  <c r="CW107" i="5"/>
  <c r="CR107" i="5"/>
  <c r="CQ107" i="5"/>
  <c r="CL107" i="5"/>
  <c r="CK107" i="5"/>
  <c r="CF107" i="5"/>
  <c r="CE107" i="5"/>
  <c r="BZ107" i="5"/>
  <c r="BY107" i="5"/>
  <c r="BT107" i="5"/>
  <c r="BS107" i="5"/>
  <c r="BN107" i="5"/>
  <c r="BM107" i="5"/>
  <c r="BH107" i="5"/>
  <c r="BG107" i="5"/>
  <c r="AV107" i="5"/>
  <c r="AU107" i="5"/>
  <c r="AR107" i="5"/>
  <c r="AQ107" i="5"/>
  <c r="AN107" i="5"/>
  <c r="AM107" i="5"/>
  <c r="AJ107" i="5"/>
  <c r="AI107" i="5"/>
  <c r="AF107" i="5"/>
  <c r="AE107" i="5"/>
  <c r="AB107" i="5"/>
  <c r="AA107" i="5"/>
  <c r="X107" i="5"/>
  <c r="U107" i="5"/>
  <c r="W107" i="5" s="1"/>
  <c r="S107" i="5"/>
  <c r="R107" i="5"/>
  <c r="T107" i="5" s="1"/>
  <c r="P107" i="5"/>
  <c r="M107" i="5"/>
  <c r="O107" i="5" s="1"/>
  <c r="L107" i="5"/>
  <c r="K107" i="5"/>
  <c r="G107" i="5"/>
  <c r="F107" i="5"/>
  <c r="E107" i="5"/>
  <c r="D107" i="5"/>
  <c r="C107" i="5"/>
  <c r="DJ106" i="5"/>
  <c r="DI106" i="5"/>
  <c r="DD106" i="5"/>
  <c r="DC106" i="5"/>
  <c r="CX106" i="5"/>
  <c r="CW106" i="5"/>
  <c r="CR106" i="5"/>
  <c r="CQ106" i="5"/>
  <c r="CL106" i="5"/>
  <c r="CK106" i="5"/>
  <c r="CF106" i="5"/>
  <c r="CE106" i="5"/>
  <c r="BZ106" i="5"/>
  <c r="BY106" i="5"/>
  <c r="BT106" i="5"/>
  <c r="BS106" i="5"/>
  <c r="BN106" i="5"/>
  <c r="BM106" i="5"/>
  <c r="BH106" i="5"/>
  <c r="BG106" i="5"/>
  <c r="AV106" i="5"/>
  <c r="AU106" i="5"/>
  <c r="AR106" i="5"/>
  <c r="AQ106" i="5"/>
  <c r="AN106" i="5"/>
  <c r="AM106" i="5"/>
  <c r="AJ106" i="5"/>
  <c r="AI106" i="5"/>
  <c r="AF106" i="5"/>
  <c r="AE106" i="5"/>
  <c r="AB106" i="5"/>
  <c r="AA106" i="5"/>
  <c r="X106" i="5"/>
  <c r="W106" i="5"/>
  <c r="T106" i="5"/>
  <c r="S106" i="5"/>
  <c r="P106" i="5"/>
  <c r="O106" i="5"/>
  <c r="L106" i="5"/>
  <c r="K106" i="5"/>
  <c r="D106" i="5"/>
  <c r="C106" i="5"/>
  <c r="DJ105" i="5"/>
  <c r="DI105" i="5"/>
  <c r="DD105" i="5"/>
  <c r="DC105" i="5"/>
  <c r="CX105" i="5"/>
  <c r="CW105" i="5"/>
  <c r="CR105" i="5"/>
  <c r="CQ105" i="5"/>
  <c r="CL105" i="5"/>
  <c r="CK105" i="5"/>
  <c r="CF105" i="5"/>
  <c r="CE105" i="5"/>
  <c r="BZ105" i="5"/>
  <c r="BY105" i="5"/>
  <c r="BT105" i="5"/>
  <c r="BS105" i="5"/>
  <c r="BN105" i="5"/>
  <c r="BM105" i="5"/>
  <c r="BH105" i="5"/>
  <c r="BG105" i="5"/>
  <c r="AV105" i="5"/>
  <c r="AU105" i="5"/>
  <c r="AR105" i="5"/>
  <c r="AQ105" i="5"/>
  <c r="AN105" i="5"/>
  <c r="AM105" i="5"/>
  <c r="AJ105" i="5"/>
  <c r="AI105" i="5"/>
  <c r="AF105" i="5"/>
  <c r="AE105" i="5"/>
  <c r="AB105" i="5"/>
  <c r="AA105" i="5"/>
  <c r="X105" i="5"/>
  <c r="W105" i="5"/>
  <c r="T105" i="5"/>
  <c r="S105" i="5"/>
  <c r="P105" i="5"/>
  <c r="O105" i="5"/>
  <c r="L105" i="5"/>
  <c r="K105" i="5"/>
  <c r="D105" i="5"/>
  <c r="C105" i="5"/>
  <c r="DJ104" i="5"/>
  <c r="DI104" i="5"/>
  <c r="DD104" i="5"/>
  <c r="DC104" i="5"/>
  <c r="CX104" i="5"/>
  <c r="CW104" i="5"/>
  <c r="CR104" i="5"/>
  <c r="CQ104" i="5"/>
  <c r="CL104" i="5"/>
  <c r="CK104" i="5"/>
  <c r="CF104" i="5"/>
  <c r="CE104" i="5"/>
  <c r="BZ104" i="5"/>
  <c r="BY104" i="5"/>
  <c r="BT104" i="5"/>
  <c r="BS104" i="5"/>
  <c r="BN104" i="5"/>
  <c r="BM104" i="5"/>
  <c r="BH104" i="5"/>
  <c r="BG104" i="5"/>
  <c r="AV104" i="5"/>
  <c r="AU104" i="5"/>
  <c r="AR104" i="5"/>
  <c r="AQ104" i="5"/>
  <c r="AN104" i="5"/>
  <c r="AM104" i="5"/>
  <c r="AJ104" i="5"/>
  <c r="AI104" i="5"/>
  <c r="AF104" i="5"/>
  <c r="AE104" i="5"/>
  <c r="AB104" i="5"/>
  <c r="AA104" i="5"/>
  <c r="X104" i="5"/>
  <c r="W104" i="5"/>
  <c r="T104" i="5"/>
  <c r="S104" i="5"/>
  <c r="P104" i="5"/>
  <c r="O104" i="5"/>
  <c r="L104" i="5"/>
  <c r="K104" i="5"/>
  <c r="F104" i="5"/>
  <c r="E104" i="5"/>
  <c r="D104" i="5"/>
  <c r="C104" i="5"/>
  <c r="DJ103" i="5"/>
  <c r="DI103" i="5"/>
  <c r="DD103" i="5"/>
  <c r="DC103" i="5"/>
  <c r="CX103" i="5"/>
  <c r="CW103" i="5"/>
  <c r="CR103" i="5"/>
  <c r="CQ103" i="5"/>
  <c r="CL103" i="5"/>
  <c r="CK103" i="5"/>
  <c r="CF103" i="5"/>
  <c r="CE103" i="5"/>
  <c r="BZ103" i="5"/>
  <c r="BY103" i="5"/>
  <c r="BT103" i="5"/>
  <c r="BS103" i="5"/>
  <c r="BN103" i="5"/>
  <c r="BM103" i="5"/>
  <c r="BH103" i="5"/>
  <c r="BG103" i="5"/>
  <c r="AV103" i="5"/>
  <c r="AU103" i="5"/>
  <c r="AR103" i="5"/>
  <c r="AQ103" i="5"/>
  <c r="AN103" i="5"/>
  <c r="AM103" i="5"/>
  <c r="AJ103" i="5"/>
  <c r="AI103" i="5"/>
  <c r="AF103" i="5"/>
  <c r="AE103" i="5"/>
  <c r="AB103" i="5"/>
  <c r="AA103" i="5"/>
  <c r="X103" i="5"/>
  <c r="W103" i="5"/>
  <c r="T103" i="5"/>
  <c r="S103" i="5"/>
  <c r="P103" i="5"/>
  <c r="O103" i="5"/>
  <c r="L103" i="5"/>
  <c r="K103" i="5"/>
  <c r="F103" i="5"/>
  <c r="E103" i="5"/>
  <c r="D103" i="5"/>
  <c r="C103" i="5"/>
  <c r="DJ102" i="5"/>
  <c r="DI102" i="5"/>
  <c r="DD102" i="5"/>
  <c r="DC102" i="5"/>
  <c r="CX102" i="5"/>
  <c r="CW102" i="5"/>
  <c r="CR102" i="5"/>
  <c r="CQ102" i="5"/>
  <c r="CL102" i="5"/>
  <c r="CK102" i="5"/>
  <c r="CF102" i="5"/>
  <c r="CE102" i="5"/>
  <c r="BZ102" i="5"/>
  <c r="BY102" i="5"/>
  <c r="BT102" i="5"/>
  <c r="BS102" i="5"/>
  <c r="BN102" i="5"/>
  <c r="BM102" i="5"/>
  <c r="BH102" i="5"/>
  <c r="BG102" i="5"/>
  <c r="AV102" i="5"/>
  <c r="AU102" i="5"/>
  <c r="AR102" i="5"/>
  <c r="AQ102" i="5"/>
  <c r="AN102" i="5"/>
  <c r="AM102" i="5"/>
  <c r="AJ102" i="5"/>
  <c r="AI102" i="5"/>
  <c r="AF102" i="5"/>
  <c r="AE102" i="5"/>
  <c r="AB102" i="5"/>
  <c r="AA102" i="5"/>
  <c r="X102" i="5"/>
  <c r="W102" i="5"/>
  <c r="T102" i="5"/>
  <c r="S102" i="5"/>
  <c r="P102" i="5"/>
  <c r="O102" i="5"/>
  <c r="L102" i="5"/>
  <c r="K102" i="5"/>
  <c r="F102" i="5"/>
  <c r="E102" i="5"/>
  <c r="D102" i="5"/>
  <c r="C102" i="5"/>
  <c r="DJ101" i="5"/>
  <c r="DI101" i="5"/>
  <c r="DD101" i="5"/>
  <c r="DC101" i="5"/>
  <c r="CX101" i="5"/>
  <c r="CW101" i="5"/>
  <c r="CR101" i="5"/>
  <c r="CQ101" i="5"/>
  <c r="CL101" i="5"/>
  <c r="CK101" i="5"/>
  <c r="CF101" i="5"/>
  <c r="CE101" i="5"/>
  <c r="BZ101" i="5"/>
  <c r="BY101" i="5"/>
  <c r="BT101" i="5"/>
  <c r="BS101" i="5"/>
  <c r="BN101" i="5"/>
  <c r="BM101" i="5"/>
  <c r="BH101" i="5"/>
  <c r="BG101" i="5"/>
  <c r="AV101" i="5"/>
  <c r="AU101" i="5"/>
  <c r="AR101" i="5"/>
  <c r="AQ101" i="5"/>
  <c r="AN101" i="5"/>
  <c r="AM101" i="5"/>
  <c r="AJ101" i="5"/>
  <c r="AI101" i="5"/>
  <c r="AF101" i="5"/>
  <c r="AE101" i="5"/>
  <c r="AB101" i="5"/>
  <c r="AA101" i="5"/>
  <c r="X101" i="5"/>
  <c r="W101" i="5"/>
  <c r="T101" i="5"/>
  <c r="S101" i="5"/>
  <c r="P101" i="5"/>
  <c r="O101" i="5"/>
  <c r="L101" i="5"/>
  <c r="K101" i="5"/>
  <c r="D101" i="5"/>
  <c r="C101" i="5"/>
  <c r="DJ100" i="5"/>
  <c r="DI100" i="5"/>
  <c r="DD100" i="5"/>
  <c r="DC100" i="5"/>
  <c r="CX100" i="5"/>
  <c r="CW100" i="5"/>
  <c r="CR100" i="5"/>
  <c r="CQ100" i="5"/>
  <c r="CL100" i="5"/>
  <c r="CK100" i="5"/>
  <c r="CF100" i="5"/>
  <c r="CE100" i="5"/>
  <c r="BZ100" i="5"/>
  <c r="BY100" i="5"/>
  <c r="BT100" i="5"/>
  <c r="BS100" i="5"/>
  <c r="BN100" i="5"/>
  <c r="BM100" i="5"/>
  <c r="BH100" i="5"/>
  <c r="BG100" i="5"/>
  <c r="AV100" i="5"/>
  <c r="AU100" i="5"/>
  <c r="AR100" i="5"/>
  <c r="AQ100" i="5"/>
  <c r="AN100" i="5"/>
  <c r="AM100" i="5"/>
  <c r="AJ100" i="5"/>
  <c r="AI100" i="5"/>
  <c r="AF100" i="5"/>
  <c r="AE100" i="5"/>
  <c r="AB100" i="5"/>
  <c r="AA100" i="5"/>
  <c r="X100" i="5"/>
  <c r="W100" i="5"/>
  <c r="T100" i="5"/>
  <c r="S100" i="5"/>
  <c r="P100" i="5"/>
  <c r="O100" i="5"/>
  <c r="L100" i="5"/>
  <c r="K100" i="5"/>
  <c r="F100" i="5"/>
  <c r="E100" i="5"/>
  <c r="D100" i="5"/>
  <c r="C100" i="5"/>
  <c r="BB98" i="5"/>
  <c r="BA98" i="5"/>
  <c r="AW98" i="5"/>
  <c r="AV98" i="5"/>
  <c r="AS98" i="5"/>
  <c r="AU98" i="5" s="1"/>
  <c r="AR98" i="5"/>
  <c r="AO98" i="5"/>
  <c r="AQ98" i="5" s="1"/>
  <c r="AN98" i="5"/>
  <c r="AK98" i="5"/>
  <c r="AM98" i="5" s="1"/>
  <c r="AJ98" i="5"/>
  <c r="AG98" i="5"/>
  <c r="AI98" i="5" s="1"/>
  <c r="AF98" i="5"/>
  <c r="AC98" i="5"/>
  <c r="AE98" i="5" s="1"/>
  <c r="AB98" i="5"/>
  <c r="Y98" i="5"/>
  <c r="AA98" i="5" s="1"/>
  <c r="X98" i="5"/>
  <c r="U98" i="5"/>
  <c r="W98" i="5" s="1"/>
  <c r="T98" i="5"/>
  <c r="Q98" i="5"/>
  <c r="S98" i="5" s="1"/>
  <c r="P98" i="5"/>
  <c r="M98" i="5"/>
  <c r="O98" i="5" s="1"/>
  <c r="G98" i="5"/>
  <c r="DM97" i="5"/>
  <c r="DG97" i="5"/>
  <c r="DA97" i="5"/>
  <c r="CU97" i="5"/>
  <c r="BK97" i="5"/>
  <c r="BG97" i="5"/>
  <c r="O97" i="5"/>
  <c r="K97" i="5"/>
  <c r="DT96" i="5"/>
  <c r="DS96" i="5"/>
  <c r="BH96" i="5"/>
  <c r="BN96" i="5" s="1"/>
  <c r="BT96" i="5" s="1"/>
  <c r="BZ96" i="5" s="1"/>
  <c r="CF96" i="5" s="1"/>
  <c r="CL96" i="5" s="1"/>
  <c r="CR96" i="5" s="1"/>
  <c r="CX96" i="5" s="1"/>
  <c r="DD96" i="5" s="1"/>
  <c r="DJ96" i="5" s="1"/>
  <c r="BG96" i="5"/>
  <c r="BM96" i="5" s="1"/>
  <c r="BS96" i="5" s="1"/>
  <c r="BY96" i="5" s="1"/>
  <c r="CE96" i="5" s="1"/>
  <c r="CK96" i="5" s="1"/>
  <c r="CQ96" i="5" s="1"/>
  <c r="CW96" i="5" s="1"/>
  <c r="DC96" i="5" s="1"/>
  <c r="DI96" i="5" s="1"/>
  <c r="P96" i="5"/>
  <c r="O96" i="5"/>
  <c r="BO96" i="5" s="1"/>
  <c r="L96" i="5"/>
  <c r="BJ96" i="5" s="1"/>
  <c r="K96" i="5"/>
  <c r="BI96" i="5" s="1"/>
  <c r="F96" i="5"/>
  <c r="BB96" i="5" s="1"/>
  <c r="E96" i="5"/>
  <c r="DU96" i="5" s="1"/>
  <c r="DT95" i="5"/>
  <c r="DS95" i="5"/>
  <c r="BH95" i="5"/>
  <c r="BN95" i="5" s="1"/>
  <c r="BT95" i="5" s="1"/>
  <c r="BZ95" i="5" s="1"/>
  <c r="CF95" i="5" s="1"/>
  <c r="CL95" i="5" s="1"/>
  <c r="CR95" i="5" s="1"/>
  <c r="CX95" i="5" s="1"/>
  <c r="DD95" i="5" s="1"/>
  <c r="DJ95" i="5" s="1"/>
  <c r="BG95" i="5"/>
  <c r="BM95" i="5" s="1"/>
  <c r="BS95" i="5" s="1"/>
  <c r="BY95" i="5" s="1"/>
  <c r="CE95" i="5" s="1"/>
  <c r="CK95" i="5" s="1"/>
  <c r="CQ95" i="5" s="1"/>
  <c r="CW95" i="5" s="1"/>
  <c r="DC95" i="5" s="1"/>
  <c r="DI95" i="5" s="1"/>
  <c r="P95" i="5"/>
  <c r="T95" i="5" s="1"/>
  <c r="O95" i="5"/>
  <c r="BO95" i="5" s="1"/>
  <c r="L95" i="5"/>
  <c r="BJ95" i="5" s="1"/>
  <c r="K95" i="5"/>
  <c r="BI95" i="5" s="1"/>
  <c r="F95" i="5"/>
  <c r="BB95" i="5" s="1"/>
  <c r="E95" i="5"/>
  <c r="DU95" i="5" s="1"/>
  <c r="DT94" i="5"/>
  <c r="DS94" i="5"/>
  <c r="BH94" i="5"/>
  <c r="BN94" i="5" s="1"/>
  <c r="BT94" i="5" s="1"/>
  <c r="BZ94" i="5" s="1"/>
  <c r="CF94" i="5" s="1"/>
  <c r="CL94" i="5" s="1"/>
  <c r="CR94" i="5" s="1"/>
  <c r="CX94" i="5" s="1"/>
  <c r="DD94" i="5" s="1"/>
  <c r="DJ94" i="5" s="1"/>
  <c r="BG94" i="5"/>
  <c r="BM94" i="5" s="1"/>
  <c r="BS94" i="5" s="1"/>
  <c r="BY94" i="5" s="1"/>
  <c r="CE94" i="5" s="1"/>
  <c r="CK94" i="5" s="1"/>
  <c r="CQ94" i="5" s="1"/>
  <c r="CW94" i="5" s="1"/>
  <c r="DC94" i="5" s="1"/>
  <c r="DI94" i="5" s="1"/>
  <c r="P94" i="5"/>
  <c r="O94" i="5"/>
  <c r="BO94" i="5" s="1"/>
  <c r="L94" i="5"/>
  <c r="BJ94" i="5" s="1"/>
  <c r="K94" i="5"/>
  <c r="BI94" i="5" s="1"/>
  <c r="F94" i="5"/>
  <c r="BB94" i="5" s="1"/>
  <c r="E94" i="5"/>
  <c r="DU94" i="5" s="1"/>
  <c r="DT93" i="5"/>
  <c r="DS93" i="5"/>
  <c r="BH93" i="5"/>
  <c r="BN93" i="5" s="1"/>
  <c r="BT93" i="5" s="1"/>
  <c r="BZ93" i="5" s="1"/>
  <c r="CF93" i="5" s="1"/>
  <c r="CL93" i="5" s="1"/>
  <c r="CR93" i="5" s="1"/>
  <c r="CX93" i="5" s="1"/>
  <c r="DD93" i="5" s="1"/>
  <c r="DJ93" i="5" s="1"/>
  <c r="BG93" i="5"/>
  <c r="BM93" i="5" s="1"/>
  <c r="BS93" i="5" s="1"/>
  <c r="BY93" i="5" s="1"/>
  <c r="CE93" i="5" s="1"/>
  <c r="CK93" i="5" s="1"/>
  <c r="CQ93" i="5" s="1"/>
  <c r="CW93" i="5" s="1"/>
  <c r="DC93" i="5" s="1"/>
  <c r="DI93" i="5" s="1"/>
  <c r="P93" i="5"/>
  <c r="T93" i="5" s="1"/>
  <c r="O93" i="5"/>
  <c r="L93" i="5"/>
  <c r="BJ93" i="5" s="1"/>
  <c r="K93" i="5"/>
  <c r="F93" i="5"/>
  <c r="BB93" i="5" s="1"/>
  <c r="E93" i="5"/>
  <c r="DU93" i="5" s="1"/>
  <c r="DT92" i="5"/>
  <c r="DS92" i="5"/>
  <c r="BH92" i="5"/>
  <c r="BN92" i="5" s="1"/>
  <c r="BT92" i="5" s="1"/>
  <c r="BZ92" i="5" s="1"/>
  <c r="CF92" i="5" s="1"/>
  <c r="CL92" i="5" s="1"/>
  <c r="CR92" i="5" s="1"/>
  <c r="CX92" i="5" s="1"/>
  <c r="DD92" i="5" s="1"/>
  <c r="DJ92" i="5" s="1"/>
  <c r="BG92" i="5"/>
  <c r="BM92" i="5" s="1"/>
  <c r="BS92" i="5" s="1"/>
  <c r="BY92" i="5" s="1"/>
  <c r="CE92" i="5" s="1"/>
  <c r="CK92" i="5" s="1"/>
  <c r="CQ92" i="5" s="1"/>
  <c r="CW92" i="5" s="1"/>
  <c r="DC92" i="5" s="1"/>
  <c r="DI92" i="5" s="1"/>
  <c r="P92" i="5"/>
  <c r="O92" i="5"/>
  <c r="L92" i="5"/>
  <c r="BJ92" i="5" s="1"/>
  <c r="K92" i="5"/>
  <c r="F92" i="5"/>
  <c r="BB92" i="5" s="1"/>
  <c r="E92" i="5"/>
  <c r="DU92" i="5" s="1"/>
  <c r="DT91" i="5"/>
  <c r="DS91" i="5"/>
  <c r="BH91" i="5"/>
  <c r="BN91" i="5" s="1"/>
  <c r="BT91" i="5" s="1"/>
  <c r="BZ91" i="5" s="1"/>
  <c r="CF91" i="5" s="1"/>
  <c r="CL91" i="5" s="1"/>
  <c r="CR91" i="5" s="1"/>
  <c r="CX91" i="5" s="1"/>
  <c r="DD91" i="5" s="1"/>
  <c r="DJ91" i="5" s="1"/>
  <c r="BG91" i="5"/>
  <c r="BM91" i="5" s="1"/>
  <c r="BS91" i="5" s="1"/>
  <c r="BY91" i="5" s="1"/>
  <c r="CE91" i="5" s="1"/>
  <c r="CK91" i="5" s="1"/>
  <c r="CQ91" i="5" s="1"/>
  <c r="CW91" i="5" s="1"/>
  <c r="DC91" i="5" s="1"/>
  <c r="DI91" i="5" s="1"/>
  <c r="P91" i="5"/>
  <c r="T91" i="5" s="1"/>
  <c r="O91" i="5"/>
  <c r="L91" i="5"/>
  <c r="BJ91" i="5" s="1"/>
  <c r="K91" i="5"/>
  <c r="F91" i="5"/>
  <c r="BB91" i="5" s="1"/>
  <c r="E91" i="5"/>
  <c r="DT90" i="5"/>
  <c r="DS90" i="5"/>
  <c r="BH90" i="5"/>
  <c r="BG90" i="5"/>
  <c r="BM90" i="5" s="1"/>
  <c r="BS90" i="5" s="1"/>
  <c r="BY90" i="5" s="1"/>
  <c r="CE90" i="5" s="1"/>
  <c r="CK90" i="5" s="1"/>
  <c r="CQ90" i="5" s="1"/>
  <c r="CW90" i="5" s="1"/>
  <c r="DC90" i="5" s="1"/>
  <c r="DI90" i="5" s="1"/>
  <c r="AO90" i="5"/>
  <c r="AO87" i="5" s="1"/>
  <c r="AK90" i="5"/>
  <c r="AK87" i="5" s="1"/>
  <c r="AG90" i="5"/>
  <c r="AG87" i="5" s="1"/>
  <c r="AC90" i="5"/>
  <c r="AC87" i="5" s="1"/>
  <c r="Y90" i="5"/>
  <c r="U90" i="5"/>
  <c r="U87" i="5" s="1"/>
  <c r="Q90" i="5"/>
  <c r="Q87" i="5" s="1"/>
  <c r="P90" i="5"/>
  <c r="T90" i="5" s="1"/>
  <c r="M90" i="5"/>
  <c r="M87" i="5" s="1"/>
  <c r="L90" i="5"/>
  <c r="I90" i="5"/>
  <c r="K90" i="5" s="1"/>
  <c r="F90" i="5"/>
  <c r="DT89" i="5"/>
  <c r="DS89" i="5"/>
  <c r="BH89" i="5"/>
  <c r="BN89" i="5" s="1"/>
  <c r="BT89" i="5" s="1"/>
  <c r="BZ89" i="5" s="1"/>
  <c r="CF89" i="5" s="1"/>
  <c r="CL89" i="5" s="1"/>
  <c r="CR89" i="5" s="1"/>
  <c r="CX89" i="5" s="1"/>
  <c r="DD89" i="5" s="1"/>
  <c r="DJ89" i="5" s="1"/>
  <c r="BG89" i="5"/>
  <c r="BM89" i="5" s="1"/>
  <c r="BS89" i="5" s="1"/>
  <c r="BY89" i="5" s="1"/>
  <c r="CE89" i="5" s="1"/>
  <c r="CK89" i="5" s="1"/>
  <c r="CQ89" i="5" s="1"/>
  <c r="CW89" i="5" s="1"/>
  <c r="DC89" i="5" s="1"/>
  <c r="DI89" i="5" s="1"/>
  <c r="BB89" i="5"/>
  <c r="P89" i="5"/>
  <c r="BP89" i="5" s="1"/>
  <c r="O89" i="5"/>
  <c r="BO89" i="5" s="1"/>
  <c r="L89" i="5"/>
  <c r="BJ89" i="5" s="1"/>
  <c r="K89" i="5"/>
  <c r="BI89" i="5" s="1"/>
  <c r="E89" i="5"/>
  <c r="DV88" i="5"/>
  <c r="DU88" i="5"/>
  <c r="DT88" i="5"/>
  <c r="DS88" i="5"/>
  <c r="BP88" i="5"/>
  <c r="BO88" i="5"/>
  <c r="BH88" i="5"/>
  <c r="BN88" i="5" s="1"/>
  <c r="BT88" i="5" s="1"/>
  <c r="BZ88" i="5" s="1"/>
  <c r="CF88" i="5" s="1"/>
  <c r="CL88" i="5" s="1"/>
  <c r="CR88" i="5" s="1"/>
  <c r="CX88" i="5" s="1"/>
  <c r="DD88" i="5" s="1"/>
  <c r="DJ88" i="5" s="1"/>
  <c r="BG88" i="5"/>
  <c r="BM88" i="5" s="1"/>
  <c r="BS88" i="5" s="1"/>
  <c r="BY88" i="5" s="1"/>
  <c r="CE88" i="5" s="1"/>
  <c r="CK88" i="5" s="1"/>
  <c r="CQ88" i="5" s="1"/>
  <c r="CW88" i="5" s="1"/>
  <c r="DC88" i="5" s="1"/>
  <c r="DI88" i="5" s="1"/>
  <c r="BB88" i="5"/>
  <c r="BA88" i="5"/>
  <c r="T88" i="5"/>
  <c r="BV88" i="5" s="1"/>
  <c r="S88" i="5"/>
  <c r="BU88" i="5" s="1"/>
  <c r="L88" i="5"/>
  <c r="BJ88" i="5" s="1"/>
  <c r="K88" i="5"/>
  <c r="BI88" i="5" s="1"/>
  <c r="DR87" i="5"/>
  <c r="DQ87" i="5"/>
  <c r="DP87" i="5"/>
  <c r="DO87" i="5"/>
  <c r="DN87" i="5"/>
  <c r="DM87" i="5"/>
  <c r="DH87" i="5"/>
  <c r="DG87" i="5"/>
  <c r="DB87" i="5"/>
  <c r="DA87" i="5"/>
  <c r="CV87" i="5"/>
  <c r="CU87" i="5"/>
  <c r="CP87" i="5"/>
  <c r="CO87" i="5"/>
  <c r="CJ87" i="5"/>
  <c r="CI87" i="5"/>
  <c r="CD87" i="5"/>
  <c r="CC87" i="5"/>
  <c r="BX87" i="5"/>
  <c r="BW87" i="5"/>
  <c r="BR87" i="5"/>
  <c r="BQ87" i="5"/>
  <c r="BK87" i="5"/>
  <c r="BF87" i="5"/>
  <c r="BE87" i="5"/>
  <c r="BD87" i="5"/>
  <c r="BC87" i="5"/>
  <c r="AZ87" i="5"/>
  <c r="AY87" i="5"/>
  <c r="DS87" i="5" s="1"/>
  <c r="AX87" i="5"/>
  <c r="AW87" i="5"/>
  <c r="AT87" i="5"/>
  <c r="AS87" i="5"/>
  <c r="AP87" i="5"/>
  <c r="AL87" i="5"/>
  <c r="AH87" i="5"/>
  <c r="AD87" i="5"/>
  <c r="Z87" i="5"/>
  <c r="V87" i="5"/>
  <c r="R87" i="5"/>
  <c r="N87" i="5"/>
  <c r="J87" i="5"/>
  <c r="H87" i="5"/>
  <c r="G87" i="5"/>
  <c r="D87" i="5"/>
  <c r="C87" i="5"/>
  <c r="DV86" i="5"/>
  <c r="DU86" i="5"/>
  <c r="DT86" i="5"/>
  <c r="DS86" i="5"/>
  <c r="BH86" i="5"/>
  <c r="BN86" i="5" s="1"/>
  <c r="BT86" i="5" s="1"/>
  <c r="BZ86" i="5" s="1"/>
  <c r="CF86" i="5" s="1"/>
  <c r="CL86" i="5" s="1"/>
  <c r="CR86" i="5" s="1"/>
  <c r="CX86" i="5" s="1"/>
  <c r="DD86" i="5" s="1"/>
  <c r="DJ86" i="5" s="1"/>
  <c r="BG86" i="5"/>
  <c r="BM86" i="5" s="1"/>
  <c r="BS86" i="5" s="1"/>
  <c r="BY86" i="5" s="1"/>
  <c r="CE86" i="5" s="1"/>
  <c r="CK86" i="5" s="1"/>
  <c r="CQ86" i="5" s="1"/>
  <c r="CW86" i="5" s="1"/>
  <c r="DC86" i="5" s="1"/>
  <c r="DI86" i="5" s="1"/>
  <c r="BB86" i="5"/>
  <c r="BA86" i="5"/>
  <c r="L86" i="5"/>
  <c r="BJ86" i="5" s="1"/>
  <c r="K86" i="5"/>
  <c r="BI86" i="5" s="1"/>
  <c r="D86" i="5"/>
  <c r="C86" i="5"/>
  <c r="DV85" i="5"/>
  <c r="DU85" i="5"/>
  <c r="DT85" i="5"/>
  <c r="DS85" i="5"/>
  <c r="BH85" i="5"/>
  <c r="BN85" i="5" s="1"/>
  <c r="BT85" i="5" s="1"/>
  <c r="BZ85" i="5" s="1"/>
  <c r="CF85" i="5" s="1"/>
  <c r="CL85" i="5" s="1"/>
  <c r="CR85" i="5" s="1"/>
  <c r="CX85" i="5" s="1"/>
  <c r="DD85" i="5" s="1"/>
  <c r="DJ85" i="5" s="1"/>
  <c r="BG85" i="5"/>
  <c r="BM85" i="5" s="1"/>
  <c r="BS85" i="5" s="1"/>
  <c r="BY85" i="5" s="1"/>
  <c r="CE85" i="5" s="1"/>
  <c r="CK85" i="5" s="1"/>
  <c r="CQ85" i="5" s="1"/>
  <c r="CW85" i="5" s="1"/>
  <c r="DC85" i="5" s="1"/>
  <c r="DI85" i="5" s="1"/>
  <c r="BB85" i="5"/>
  <c r="BA85" i="5"/>
  <c r="L85" i="5"/>
  <c r="BJ85" i="5" s="1"/>
  <c r="K85" i="5"/>
  <c r="BI85" i="5" s="1"/>
  <c r="D85" i="5"/>
  <c r="C85" i="5"/>
  <c r="DV84" i="5"/>
  <c r="DU84" i="5"/>
  <c r="DT84" i="5"/>
  <c r="DS84" i="5"/>
  <c r="BH84" i="5"/>
  <c r="BN84" i="5" s="1"/>
  <c r="BT84" i="5" s="1"/>
  <c r="BZ84" i="5" s="1"/>
  <c r="CF84" i="5" s="1"/>
  <c r="CL84" i="5" s="1"/>
  <c r="CR84" i="5" s="1"/>
  <c r="CX84" i="5" s="1"/>
  <c r="DD84" i="5" s="1"/>
  <c r="DJ84" i="5" s="1"/>
  <c r="BG84" i="5"/>
  <c r="BM84" i="5" s="1"/>
  <c r="BS84" i="5" s="1"/>
  <c r="BY84" i="5" s="1"/>
  <c r="CE84" i="5" s="1"/>
  <c r="CK84" i="5" s="1"/>
  <c r="CQ84" i="5" s="1"/>
  <c r="CW84" i="5" s="1"/>
  <c r="DC84" i="5" s="1"/>
  <c r="DI84" i="5" s="1"/>
  <c r="BB84" i="5"/>
  <c r="BA84" i="5"/>
  <c r="L84" i="5"/>
  <c r="BJ84" i="5" s="1"/>
  <c r="K84" i="5"/>
  <c r="BI84" i="5" s="1"/>
  <c r="D84" i="5"/>
  <c r="C84" i="5"/>
  <c r="BH83" i="5"/>
  <c r="BN83" i="5" s="1"/>
  <c r="BT83" i="5" s="1"/>
  <c r="BZ83" i="5" s="1"/>
  <c r="CF83" i="5" s="1"/>
  <c r="CL83" i="5" s="1"/>
  <c r="CR83" i="5" s="1"/>
  <c r="CX83" i="5" s="1"/>
  <c r="DD83" i="5" s="1"/>
  <c r="DJ83" i="5" s="1"/>
  <c r="BG83" i="5"/>
  <c r="BM83" i="5" s="1"/>
  <c r="BS83" i="5" s="1"/>
  <c r="BY83" i="5" s="1"/>
  <c r="CE83" i="5" s="1"/>
  <c r="CK83" i="5" s="1"/>
  <c r="CQ83" i="5" s="1"/>
  <c r="CW83" i="5" s="1"/>
  <c r="DC83" i="5" s="1"/>
  <c r="DI83" i="5" s="1"/>
  <c r="AZ83" i="5"/>
  <c r="DT83" i="5" s="1"/>
  <c r="AY83" i="5"/>
  <c r="AX83" i="5"/>
  <c r="AW83" i="5"/>
  <c r="AT83" i="5"/>
  <c r="AS83" i="5"/>
  <c r="AP83" i="5"/>
  <c r="AP80" i="5" s="1"/>
  <c r="AO83" i="5"/>
  <c r="AL83" i="5"/>
  <c r="AL80" i="5" s="1"/>
  <c r="AK83" i="5"/>
  <c r="AH83" i="5"/>
  <c r="AH80" i="5" s="1"/>
  <c r="AG83" i="5"/>
  <c r="AD83" i="5"/>
  <c r="AD80" i="5" s="1"/>
  <c r="AC83" i="5"/>
  <c r="Z83" i="5"/>
  <c r="Z80" i="5" s="1"/>
  <c r="Y83" i="5"/>
  <c r="V83" i="5"/>
  <c r="V80" i="5" s="1"/>
  <c r="U83" i="5"/>
  <c r="R83" i="5"/>
  <c r="R80" i="5" s="1"/>
  <c r="Q83" i="5"/>
  <c r="N83" i="5"/>
  <c r="N80" i="5" s="1"/>
  <c r="M83" i="5"/>
  <c r="J83" i="5"/>
  <c r="J80" i="5" s="1"/>
  <c r="I83" i="5"/>
  <c r="H83" i="5"/>
  <c r="H80" i="5" s="1"/>
  <c r="G83" i="5"/>
  <c r="F83" i="5"/>
  <c r="BB83" i="5" s="1"/>
  <c r="E83" i="5"/>
  <c r="DV83" i="5" s="1"/>
  <c r="DV82" i="5"/>
  <c r="DU82" i="5"/>
  <c r="DT82" i="5"/>
  <c r="DS82" i="5"/>
  <c r="BH82" i="5"/>
  <c r="BN82" i="5" s="1"/>
  <c r="BT82" i="5" s="1"/>
  <c r="BZ82" i="5" s="1"/>
  <c r="CF82" i="5" s="1"/>
  <c r="CL82" i="5" s="1"/>
  <c r="CR82" i="5" s="1"/>
  <c r="CX82" i="5" s="1"/>
  <c r="DD82" i="5" s="1"/>
  <c r="DJ82" i="5" s="1"/>
  <c r="BG82" i="5"/>
  <c r="BM82" i="5" s="1"/>
  <c r="BS82" i="5" s="1"/>
  <c r="BY82" i="5" s="1"/>
  <c r="CE82" i="5" s="1"/>
  <c r="CK82" i="5" s="1"/>
  <c r="CQ82" i="5" s="1"/>
  <c r="CW82" i="5" s="1"/>
  <c r="DC82" i="5" s="1"/>
  <c r="DI82" i="5" s="1"/>
  <c r="BB82" i="5"/>
  <c r="BA82" i="5"/>
  <c r="L82" i="5"/>
  <c r="BJ82" i="5" s="1"/>
  <c r="K82" i="5"/>
  <c r="BI82" i="5" s="1"/>
  <c r="D82" i="5"/>
  <c r="C82" i="5"/>
  <c r="DR81" i="5"/>
  <c r="DR80" i="5" s="1"/>
  <c r="DQ81" i="5"/>
  <c r="DQ80" i="5" s="1"/>
  <c r="BL81" i="5"/>
  <c r="BL90" i="5" s="1"/>
  <c r="BL87" i="5" s="1"/>
  <c r="BF81" i="5"/>
  <c r="BF80" i="5" s="1"/>
  <c r="BE81" i="5"/>
  <c r="BE80" i="5" s="1"/>
  <c r="BD81" i="5"/>
  <c r="BC81" i="5"/>
  <c r="BC80" i="5" s="1"/>
  <c r="AZ81" i="5"/>
  <c r="AY81" i="5"/>
  <c r="AX81" i="5"/>
  <c r="AT81" i="5"/>
  <c r="AS81" i="5"/>
  <c r="AO81" i="5"/>
  <c r="AK81" i="5"/>
  <c r="AG81" i="5"/>
  <c r="AC81" i="5"/>
  <c r="Y81" i="5"/>
  <c r="U81" i="5"/>
  <c r="Q81" i="5"/>
  <c r="M81" i="5"/>
  <c r="L81" i="5"/>
  <c r="I81" i="5"/>
  <c r="G81" i="5"/>
  <c r="D81" i="5"/>
  <c r="C81" i="5"/>
  <c r="DP80" i="5"/>
  <c r="DO80" i="5"/>
  <c r="DN80" i="5"/>
  <c r="DM80" i="5"/>
  <c r="DH80" i="5"/>
  <c r="DG80" i="5"/>
  <c r="DB80" i="5"/>
  <c r="DA80" i="5"/>
  <c r="CV80" i="5"/>
  <c r="CU80" i="5"/>
  <c r="CP80" i="5"/>
  <c r="CO80" i="5"/>
  <c r="CJ80" i="5"/>
  <c r="CI80" i="5"/>
  <c r="CD80" i="5"/>
  <c r="CC80" i="5"/>
  <c r="BX80" i="5"/>
  <c r="BW80" i="5"/>
  <c r="BR80" i="5"/>
  <c r="BQ80" i="5"/>
  <c r="DV75" i="5"/>
  <c r="DU75" i="5"/>
  <c r="DT75" i="5"/>
  <c r="DS75" i="5"/>
  <c r="BH75" i="5"/>
  <c r="BG75" i="5"/>
  <c r="BB75" i="5"/>
  <c r="BA75" i="5"/>
  <c r="L75" i="5"/>
  <c r="K75" i="5"/>
  <c r="D75" i="5"/>
  <c r="C75" i="5"/>
  <c r="DV74" i="5"/>
  <c r="DU74" i="5"/>
  <c r="DT74" i="5"/>
  <c r="DS74" i="5"/>
  <c r="BH74" i="5"/>
  <c r="BN74" i="5" s="1"/>
  <c r="BG74" i="5"/>
  <c r="BA74" i="5"/>
  <c r="L74" i="5"/>
  <c r="K74" i="5"/>
  <c r="F74" i="5"/>
  <c r="BB74" i="5" s="1"/>
  <c r="D74" i="5"/>
  <c r="C74" i="5"/>
  <c r="DR73" i="5"/>
  <c r="DQ73" i="5"/>
  <c r="DP73" i="5"/>
  <c r="DO73" i="5"/>
  <c r="DN73" i="5"/>
  <c r="DM73" i="5"/>
  <c r="DH73" i="5"/>
  <c r="DG73" i="5"/>
  <c r="DB73" i="5"/>
  <c r="DA73" i="5"/>
  <c r="CV73" i="5"/>
  <c r="CU73" i="5"/>
  <c r="CP73" i="5"/>
  <c r="CO73" i="5"/>
  <c r="CJ73" i="5"/>
  <c r="CI73" i="5"/>
  <c r="CD73" i="5"/>
  <c r="CC73" i="5"/>
  <c r="BX73" i="5"/>
  <c r="BW73" i="5"/>
  <c r="BR73" i="5"/>
  <c r="BQ73" i="5"/>
  <c r="BL73" i="5"/>
  <c r="BK73" i="5"/>
  <c r="BF73" i="5"/>
  <c r="BE73" i="5"/>
  <c r="BD73" i="5"/>
  <c r="BC73" i="5"/>
  <c r="AZ73" i="5"/>
  <c r="DT73" i="5" s="1"/>
  <c r="AY73" i="5"/>
  <c r="AX73" i="5"/>
  <c r="AW73" i="5"/>
  <c r="AT73" i="5"/>
  <c r="AS73" i="5"/>
  <c r="AP73" i="5"/>
  <c r="AO73" i="5"/>
  <c r="AL73" i="5"/>
  <c r="AK73" i="5"/>
  <c r="AH73" i="5"/>
  <c r="AG73" i="5"/>
  <c r="AD73" i="5"/>
  <c r="AC73" i="5"/>
  <c r="Z73" i="5"/>
  <c r="Y73" i="5"/>
  <c r="V73" i="5"/>
  <c r="U73" i="5"/>
  <c r="R73" i="5"/>
  <c r="Q73" i="5"/>
  <c r="N73" i="5"/>
  <c r="M73" i="5"/>
  <c r="J73" i="5"/>
  <c r="I73" i="5"/>
  <c r="H73" i="5"/>
  <c r="G73" i="5"/>
  <c r="E73" i="5"/>
  <c r="DV72" i="5"/>
  <c r="DU72" i="5"/>
  <c r="DT72" i="5"/>
  <c r="BH72" i="5"/>
  <c r="BN72" i="5" s="1"/>
  <c r="BT72" i="5" s="1"/>
  <c r="BZ72" i="5" s="1"/>
  <c r="CF72" i="5" s="1"/>
  <c r="CL72" i="5" s="1"/>
  <c r="CR72" i="5" s="1"/>
  <c r="CX72" i="5" s="1"/>
  <c r="DD72" i="5" s="1"/>
  <c r="DJ72" i="5" s="1"/>
  <c r="BG72" i="5"/>
  <c r="BM72" i="5" s="1"/>
  <c r="BS72" i="5" s="1"/>
  <c r="BY72" i="5" s="1"/>
  <c r="CE72" i="5" s="1"/>
  <c r="CK72" i="5" s="1"/>
  <c r="CQ72" i="5" s="1"/>
  <c r="CW72" i="5" s="1"/>
  <c r="DC72" i="5" s="1"/>
  <c r="DI72" i="5" s="1"/>
  <c r="AY72" i="5"/>
  <c r="AH72" i="5"/>
  <c r="AH70" i="5" s="1"/>
  <c r="AG72" i="5"/>
  <c r="L72" i="5"/>
  <c r="P72" i="5" s="1"/>
  <c r="K72" i="5"/>
  <c r="D72" i="5"/>
  <c r="C72" i="5"/>
  <c r="DV71" i="5"/>
  <c r="DU71" i="5"/>
  <c r="DT71" i="5"/>
  <c r="BH71" i="5"/>
  <c r="BG71" i="5"/>
  <c r="AY71" i="5"/>
  <c r="DS71" i="5" s="1"/>
  <c r="AK71" i="5"/>
  <c r="AG71" i="5"/>
  <c r="L71" i="5"/>
  <c r="K71" i="5"/>
  <c r="BI71" i="5" s="1"/>
  <c r="F71" i="5"/>
  <c r="D71" i="5"/>
  <c r="C71" i="5"/>
  <c r="DR70" i="5"/>
  <c r="DQ70" i="5"/>
  <c r="DP70" i="5"/>
  <c r="DO70" i="5"/>
  <c r="DN70" i="5"/>
  <c r="DM70" i="5"/>
  <c r="DH70" i="5"/>
  <c r="DG70" i="5"/>
  <c r="DB70" i="5"/>
  <c r="DA70" i="5"/>
  <c r="CV70" i="5"/>
  <c r="CU70" i="5"/>
  <c r="CP70" i="5"/>
  <c r="CO70" i="5"/>
  <c r="CJ70" i="5"/>
  <c r="CI70" i="5"/>
  <c r="CD70" i="5"/>
  <c r="CC70" i="5"/>
  <c r="BX70" i="5"/>
  <c r="BW70" i="5"/>
  <c r="BR70" i="5"/>
  <c r="BQ70" i="5"/>
  <c r="BL70" i="5"/>
  <c r="BK70" i="5"/>
  <c r="BF70" i="5"/>
  <c r="BE70" i="5"/>
  <c r="BD70" i="5"/>
  <c r="BC70" i="5"/>
  <c r="AZ70" i="5"/>
  <c r="AX70" i="5"/>
  <c r="AW70" i="5"/>
  <c r="AT70" i="5"/>
  <c r="AS70" i="5"/>
  <c r="AP70" i="5"/>
  <c r="AL70" i="5"/>
  <c r="AD70" i="5"/>
  <c r="AC70" i="5"/>
  <c r="Z70" i="5"/>
  <c r="Y70" i="5"/>
  <c r="V70" i="5"/>
  <c r="U70" i="5"/>
  <c r="R70" i="5"/>
  <c r="Q70" i="5"/>
  <c r="N70" i="5"/>
  <c r="M70" i="5"/>
  <c r="J70" i="5"/>
  <c r="I70" i="5"/>
  <c r="H70" i="5"/>
  <c r="G70" i="5"/>
  <c r="E70" i="5"/>
  <c r="DT69" i="5"/>
  <c r="BH69" i="5"/>
  <c r="BN69" i="5" s="1"/>
  <c r="BT69" i="5" s="1"/>
  <c r="BZ69" i="5" s="1"/>
  <c r="CF69" i="5" s="1"/>
  <c r="CL69" i="5" s="1"/>
  <c r="CR69" i="5" s="1"/>
  <c r="CX69" i="5" s="1"/>
  <c r="DD69" i="5" s="1"/>
  <c r="DJ69" i="5" s="1"/>
  <c r="BG69" i="5"/>
  <c r="BM69" i="5" s="1"/>
  <c r="BS69" i="5" s="1"/>
  <c r="BY69" i="5" s="1"/>
  <c r="CE69" i="5" s="1"/>
  <c r="CK69" i="5" s="1"/>
  <c r="CQ69" i="5" s="1"/>
  <c r="CW69" i="5" s="1"/>
  <c r="DC69" i="5" s="1"/>
  <c r="DI69" i="5" s="1"/>
  <c r="AY69" i="5"/>
  <c r="DS69" i="5" s="1"/>
  <c r="AG69" i="5"/>
  <c r="AG67" i="5" s="1"/>
  <c r="L69" i="5"/>
  <c r="K69" i="5"/>
  <c r="O69" i="5" s="1"/>
  <c r="F69" i="5"/>
  <c r="BB69" i="5" s="1"/>
  <c r="D69" i="5"/>
  <c r="C69" i="5"/>
  <c r="DT68" i="5"/>
  <c r="BH68" i="5"/>
  <c r="BN68" i="5" s="1"/>
  <c r="BT68" i="5" s="1"/>
  <c r="BZ68" i="5" s="1"/>
  <c r="CF68" i="5" s="1"/>
  <c r="CL68" i="5" s="1"/>
  <c r="CR68" i="5" s="1"/>
  <c r="CX68" i="5" s="1"/>
  <c r="DD68" i="5" s="1"/>
  <c r="DJ68" i="5" s="1"/>
  <c r="BG68" i="5"/>
  <c r="BM68" i="5" s="1"/>
  <c r="AY68" i="5"/>
  <c r="AK68" i="5"/>
  <c r="L68" i="5"/>
  <c r="K68" i="5"/>
  <c r="BI68" i="5" s="1"/>
  <c r="F68" i="5"/>
  <c r="BB68" i="5" s="1"/>
  <c r="D68" i="5"/>
  <c r="C68" i="5"/>
  <c r="DR67" i="5"/>
  <c r="DQ67" i="5"/>
  <c r="DP67" i="5"/>
  <c r="DO67" i="5"/>
  <c r="DN67" i="5"/>
  <c r="DM67" i="5"/>
  <c r="DH67" i="5"/>
  <c r="DG67" i="5"/>
  <c r="DB67" i="5"/>
  <c r="DA67" i="5"/>
  <c r="CV67" i="5"/>
  <c r="CU67" i="5"/>
  <c r="CP67" i="5"/>
  <c r="CO67" i="5"/>
  <c r="CJ67" i="5"/>
  <c r="CI67" i="5"/>
  <c r="CD67" i="5"/>
  <c r="CC67" i="5"/>
  <c r="BX67" i="5"/>
  <c r="BW67" i="5"/>
  <c r="BR67" i="5"/>
  <c r="BQ67" i="5"/>
  <c r="BL67" i="5"/>
  <c r="BK67" i="5"/>
  <c r="BF67" i="5"/>
  <c r="BE67" i="5"/>
  <c r="BD67" i="5"/>
  <c r="BC67" i="5"/>
  <c r="AZ67" i="5"/>
  <c r="AX67" i="5"/>
  <c r="AW67" i="5"/>
  <c r="AT67" i="5"/>
  <c r="AS67" i="5"/>
  <c r="AP67" i="5"/>
  <c r="AO67" i="5"/>
  <c r="AL67" i="5"/>
  <c r="AH67" i="5"/>
  <c r="AD67" i="5"/>
  <c r="AC67" i="5"/>
  <c r="Z67" i="5"/>
  <c r="Y67" i="5"/>
  <c r="V67" i="5"/>
  <c r="U67" i="5"/>
  <c r="R67" i="5"/>
  <c r="Q67" i="5"/>
  <c r="N67" i="5"/>
  <c r="M67" i="5"/>
  <c r="J67" i="5"/>
  <c r="I67" i="5"/>
  <c r="H67" i="5"/>
  <c r="G67" i="5"/>
  <c r="D66" i="5"/>
  <c r="C66" i="5"/>
  <c r="DV62" i="5"/>
  <c r="DU62" i="5"/>
  <c r="DT62" i="5"/>
  <c r="DS62" i="5"/>
  <c r="DL62" i="5"/>
  <c r="DK62" i="5"/>
  <c r="DF62" i="5"/>
  <c r="DE62" i="5"/>
  <c r="CZ62" i="5"/>
  <c r="CY62" i="5"/>
  <c r="CT62" i="5"/>
  <c r="CS62" i="5"/>
  <c r="CN62" i="5"/>
  <c r="CM62" i="5"/>
  <c r="CH62" i="5"/>
  <c r="CG62" i="5"/>
  <c r="CB62" i="5"/>
  <c r="CA62" i="5"/>
  <c r="BV62" i="5"/>
  <c r="BU62" i="5"/>
  <c r="BP62" i="5"/>
  <c r="BO62" i="5"/>
  <c r="BH62" i="5"/>
  <c r="BG62" i="5"/>
  <c r="BB62" i="5"/>
  <c r="BA62" i="5"/>
  <c r="L62" i="5"/>
  <c r="BJ62" i="5" s="1"/>
  <c r="K62" i="5"/>
  <c r="BI62" i="5" s="1"/>
  <c r="DV61" i="5"/>
  <c r="DU61" i="5"/>
  <c r="DT61" i="5"/>
  <c r="DS61" i="5"/>
  <c r="DL61" i="5"/>
  <c r="DK61" i="5"/>
  <c r="DF61" i="5"/>
  <c r="DE61" i="5"/>
  <c r="CZ61" i="5"/>
  <c r="CY61" i="5"/>
  <c r="CT61" i="5"/>
  <c r="CS61" i="5"/>
  <c r="CN61" i="5"/>
  <c r="CM61" i="5"/>
  <c r="CH61" i="5"/>
  <c r="CG61" i="5"/>
  <c r="CB61" i="5"/>
  <c r="CA61" i="5"/>
  <c r="BV61" i="5"/>
  <c r="BU61" i="5"/>
  <c r="BP61" i="5"/>
  <c r="BO61" i="5"/>
  <c r="BH61" i="5"/>
  <c r="BG61" i="5"/>
  <c r="BB61" i="5"/>
  <c r="BA61" i="5"/>
  <c r="L61" i="5"/>
  <c r="BJ61" i="5" s="1"/>
  <c r="K61" i="5"/>
  <c r="BI61" i="5" s="1"/>
  <c r="DV60" i="5"/>
  <c r="DU60" i="5"/>
  <c r="DT60" i="5"/>
  <c r="DS60" i="5"/>
  <c r="BH60" i="5"/>
  <c r="BN60" i="5" s="1"/>
  <c r="BT60" i="5" s="1"/>
  <c r="BZ60" i="5" s="1"/>
  <c r="CF60" i="5" s="1"/>
  <c r="CL60" i="5" s="1"/>
  <c r="CR60" i="5" s="1"/>
  <c r="CX60" i="5" s="1"/>
  <c r="DD60" i="5" s="1"/>
  <c r="DJ60" i="5" s="1"/>
  <c r="BG60" i="5"/>
  <c r="BM60" i="5" s="1"/>
  <c r="BS60" i="5" s="1"/>
  <c r="BY60" i="5" s="1"/>
  <c r="CE60" i="5" s="1"/>
  <c r="CK60" i="5" s="1"/>
  <c r="CQ60" i="5" s="1"/>
  <c r="CW60" i="5" s="1"/>
  <c r="DC60" i="5" s="1"/>
  <c r="DI60" i="5" s="1"/>
  <c r="BA60" i="5"/>
  <c r="AW60" i="5"/>
  <c r="AS60" i="5"/>
  <c r="Y60" i="5"/>
  <c r="U60" i="5"/>
  <c r="Q60" i="5"/>
  <c r="M60" i="5"/>
  <c r="L60" i="5"/>
  <c r="I60" i="5"/>
  <c r="G60" i="5"/>
  <c r="F60" i="5"/>
  <c r="BB60" i="5" s="1"/>
  <c r="D60" i="5"/>
  <c r="C60" i="5"/>
  <c r="DV59" i="5"/>
  <c r="DU59" i="5"/>
  <c r="DT59" i="5"/>
  <c r="DS59" i="5"/>
  <c r="DL59" i="5"/>
  <c r="DK59" i="5"/>
  <c r="DF59" i="5"/>
  <c r="DE59" i="5"/>
  <c r="CZ59" i="5"/>
  <c r="CY59" i="5"/>
  <c r="CT59" i="5"/>
  <c r="CS59" i="5"/>
  <c r="CN59" i="5"/>
  <c r="CM59" i="5"/>
  <c r="CH59" i="5"/>
  <c r="CG59" i="5"/>
  <c r="CB59" i="5"/>
  <c r="CA59" i="5"/>
  <c r="BV59" i="5"/>
  <c r="BU59" i="5"/>
  <c r="BP59" i="5"/>
  <c r="BO59" i="5"/>
  <c r="BH59" i="5"/>
  <c r="BG59" i="5"/>
  <c r="BB59" i="5"/>
  <c r="BA59" i="5"/>
  <c r="L59" i="5"/>
  <c r="BJ59" i="5" s="1"/>
  <c r="K59" i="5"/>
  <c r="BI59" i="5" s="1"/>
  <c r="DV58" i="5"/>
  <c r="DU58" i="5"/>
  <c r="DT58" i="5"/>
  <c r="DS58" i="5"/>
  <c r="DL58" i="5"/>
  <c r="DK58" i="5"/>
  <c r="DF58" i="5"/>
  <c r="DE58" i="5"/>
  <c r="CZ58" i="5"/>
  <c r="CY58" i="5"/>
  <c r="CT58" i="5"/>
  <c r="CS58" i="5"/>
  <c r="CN58" i="5"/>
  <c r="CM58" i="5"/>
  <c r="CH58" i="5"/>
  <c r="CG58" i="5"/>
  <c r="CB58" i="5"/>
  <c r="CA58" i="5"/>
  <c r="BV58" i="5"/>
  <c r="BU58" i="5"/>
  <c r="BP58" i="5"/>
  <c r="BO58" i="5"/>
  <c r="BH58" i="5"/>
  <c r="BG58" i="5"/>
  <c r="BB58" i="5"/>
  <c r="BA58" i="5"/>
  <c r="L58" i="5"/>
  <c r="BJ58" i="5" s="1"/>
  <c r="K58" i="5"/>
  <c r="BI58" i="5" s="1"/>
  <c r="DT57" i="5"/>
  <c r="DS57" i="5"/>
  <c r="BH57" i="5"/>
  <c r="BN57" i="5" s="1"/>
  <c r="BT57" i="5" s="1"/>
  <c r="BZ57" i="5" s="1"/>
  <c r="CF57" i="5" s="1"/>
  <c r="CL57" i="5" s="1"/>
  <c r="CR57" i="5" s="1"/>
  <c r="CX57" i="5" s="1"/>
  <c r="DD57" i="5" s="1"/>
  <c r="DJ57" i="5" s="1"/>
  <c r="BG57" i="5"/>
  <c r="BM57" i="5" s="1"/>
  <c r="BS57" i="5" s="1"/>
  <c r="BY57" i="5" s="1"/>
  <c r="CE57" i="5" s="1"/>
  <c r="CK57" i="5" s="1"/>
  <c r="CQ57" i="5" s="1"/>
  <c r="CW57" i="5" s="1"/>
  <c r="DC57" i="5" s="1"/>
  <c r="DI57" i="5" s="1"/>
  <c r="AW57" i="5"/>
  <c r="Y57" i="5"/>
  <c r="U57" i="5"/>
  <c r="L57" i="5"/>
  <c r="P57" i="5" s="1"/>
  <c r="K57" i="5"/>
  <c r="F57" i="5"/>
  <c r="BB57" i="5" s="1"/>
  <c r="D57" i="5"/>
  <c r="C57" i="5"/>
  <c r="DV56" i="5"/>
  <c r="DU56" i="5"/>
  <c r="DT56" i="5"/>
  <c r="DS56" i="5"/>
  <c r="DL56" i="5"/>
  <c r="DK56" i="5"/>
  <c r="DF56" i="5"/>
  <c r="DE56" i="5"/>
  <c r="CZ56" i="5"/>
  <c r="CY56" i="5"/>
  <c r="CT56" i="5"/>
  <c r="CS56" i="5"/>
  <c r="CN56" i="5"/>
  <c r="CM56" i="5"/>
  <c r="CH56" i="5"/>
  <c r="CG56" i="5"/>
  <c r="CB56" i="5"/>
  <c r="CA56" i="5"/>
  <c r="BV56" i="5"/>
  <c r="BU56" i="5"/>
  <c r="BP56" i="5"/>
  <c r="BO56" i="5"/>
  <c r="BH56" i="5"/>
  <c r="BG56" i="5"/>
  <c r="BB56" i="5"/>
  <c r="BA56" i="5"/>
  <c r="L56" i="5"/>
  <c r="BJ56" i="5" s="1"/>
  <c r="K56" i="5"/>
  <c r="BI56" i="5" s="1"/>
  <c r="DU55" i="5"/>
  <c r="DS55" i="5"/>
  <c r="DR55" i="5"/>
  <c r="DV55" i="5" s="1"/>
  <c r="BH55" i="5"/>
  <c r="BN55" i="5" s="1"/>
  <c r="BT55" i="5" s="1"/>
  <c r="BZ55" i="5" s="1"/>
  <c r="CF55" i="5" s="1"/>
  <c r="CL55" i="5" s="1"/>
  <c r="CR55" i="5" s="1"/>
  <c r="CX55" i="5" s="1"/>
  <c r="DD55" i="5" s="1"/>
  <c r="DJ55" i="5" s="1"/>
  <c r="BG55" i="5"/>
  <c r="BA55" i="5"/>
  <c r="AW55" i="5"/>
  <c r="AS55" i="5"/>
  <c r="AC55" i="5"/>
  <c r="Y55" i="5"/>
  <c r="U55" i="5"/>
  <c r="Q55" i="5"/>
  <c r="M55" i="5"/>
  <c r="L55" i="5"/>
  <c r="I55" i="5"/>
  <c r="G55" i="5"/>
  <c r="F55" i="5"/>
  <c r="BB55" i="5" s="1"/>
  <c r="D55" i="5"/>
  <c r="C55" i="5"/>
  <c r="DU54" i="5"/>
  <c r="DS54" i="5"/>
  <c r="DR54" i="5"/>
  <c r="DV54" i="5" s="1"/>
  <c r="BH54" i="5"/>
  <c r="BN54" i="5" s="1"/>
  <c r="BG54" i="5"/>
  <c r="BM54" i="5" s="1"/>
  <c r="BA54" i="5"/>
  <c r="AW54" i="5"/>
  <c r="AS54" i="5"/>
  <c r="AC54" i="5"/>
  <c r="Y54" i="5"/>
  <c r="U54" i="5"/>
  <c r="Q54" i="5"/>
  <c r="M54" i="5"/>
  <c r="L54" i="5"/>
  <c r="I54" i="5"/>
  <c r="G54" i="5"/>
  <c r="F54" i="5"/>
  <c r="BB54" i="5" s="1"/>
  <c r="D54" i="5"/>
  <c r="C54" i="5"/>
  <c r="DV53" i="5"/>
  <c r="DU53" i="5"/>
  <c r="DT53" i="5"/>
  <c r="DS53" i="5"/>
  <c r="DL53" i="5"/>
  <c r="DK53" i="5"/>
  <c r="DF53" i="5"/>
  <c r="DE53" i="5"/>
  <c r="CZ53" i="5"/>
  <c r="CY53" i="5"/>
  <c r="CT53" i="5"/>
  <c r="CS53" i="5"/>
  <c r="CN53" i="5"/>
  <c r="CM53" i="5"/>
  <c r="CH53" i="5"/>
  <c r="CG53" i="5"/>
  <c r="CB53" i="5"/>
  <c r="CA53" i="5"/>
  <c r="BV53" i="5"/>
  <c r="BU53" i="5"/>
  <c r="BP53" i="5"/>
  <c r="BO53" i="5"/>
  <c r="BH53" i="5"/>
  <c r="BG53" i="5"/>
  <c r="BB53" i="5"/>
  <c r="BA53" i="5"/>
  <c r="L53" i="5"/>
  <c r="BJ53" i="5" s="1"/>
  <c r="K53" i="5"/>
  <c r="BI53" i="5" s="1"/>
  <c r="DR52" i="5"/>
  <c r="DT52" i="5" s="1"/>
  <c r="BH52" i="5"/>
  <c r="BN52" i="5" s="1"/>
  <c r="BT52" i="5" s="1"/>
  <c r="BZ52" i="5" s="1"/>
  <c r="CF52" i="5" s="1"/>
  <c r="CL52" i="5" s="1"/>
  <c r="CR52" i="5" s="1"/>
  <c r="CX52" i="5" s="1"/>
  <c r="DD52" i="5" s="1"/>
  <c r="DJ52" i="5" s="1"/>
  <c r="BG52" i="5"/>
  <c r="BM52" i="5" s="1"/>
  <c r="BS52" i="5" s="1"/>
  <c r="BY52" i="5" s="1"/>
  <c r="CE52" i="5" s="1"/>
  <c r="CK52" i="5" s="1"/>
  <c r="CQ52" i="5" s="1"/>
  <c r="CW52" i="5" s="1"/>
  <c r="DC52" i="5" s="1"/>
  <c r="DI52" i="5" s="1"/>
  <c r="AY52" i="5"/>
  <c r="AW52" i="5"/>
  <c r="AS52" i="5"/>
  <c r="L52" i="5"/>
  <c r="K52" i="5"/>
  <c r="O52" i="5" s="1"/>
  <c r="F52" i="5"/>
  <c r="BB52" i="5" s="1"/>
  <c r="D52" i="5"/>
  <c r="C52" i="5"/>
  <c r="DV51" i="5"/>
  <c r="DU51" i="5"/>
  <c r="DT51" i="5"/>
  <c r="DS51" i="5"/>
  <c r="DL51" i="5"/>
  <c r="DK51" i="5"/>
  <c r="DF51" i="5"/>
  <c r="DE51" i="5"/>
  <c r="CZ51" i="5"/>
  <c r="CY51" i="5"/>
  <c r="CT51" i="5"/>
  <c r="CS51" i="5"/>
  <c r="CN51" i="5"/>
  <c r="CM51" i="5"/>
  <c r="CH51" i="5"/>
  <c r="CG51" i="5"/>
  <c r="CB51" i="5"/>
  <c r="CA51" i="5"/>
  <c r="BV51" i="5"/>
  <c r="BU51" i="5"/>
  <c r="BP51" i="5"/>
  <c r="BO51" i="5"/>
  <c r="BH51" i="5"/>
  <c r="BG51" i="5"/>
  <c r="BB51" i="5"/>
  <c r="BA51" i="5"/>
  <c r="L51" i="5"/>
  <c r="BJ51" i="5" s="1"/>
  <c r="K51" i="5"/>
  <c r="BI51" i="5" s="1"/>
  <c r="DV50" i="5"/>
  <c r="DU50" i="5"/>
  <c r="DT50" i="5"/>
  <c r="DS50" i="5"/>
  <c r="DL50" i="5"/>
  <c r="DK50" i="5"/>
  <c r="DF50" i="5"/>
  <c r="DE50" i="5"/>
  <c r="CZ50" i="5"/>
  <c r="CY50" i="5"/>
  <c r="CT50" i="5"/>
  <c r="CS50" i="5"/>
  <c r="CN50" i="5"/>
  <c r="CM50" i="5"/>
  <c r="CH50" i="5"/>
  <c r="CG50" i="5"/>
  <c r="CB50" i="5"/>
  <c r="CA50" i="5"/>
  <c r="BV50" i="5"/>
  <c r="BU50" i="5"/>
  <c r="BP50" i="5"/>
  <c r="BO50" i="5"/>
  <c r="BH50" i="5"/>
  <c r="BG50" i="5"/>
  <c r="BB50" i="5"/>
  <c r="BA50" i="5"/>
  <c r="L50" i="5"/>
  <c r="BJ50" i="5" s="1"/>
  <c r="K50" i="5"/>
  <c r="BI50" i="5" s="1"/>
  <c r="DV49" i="5"/>
  <c r="DU49" i="5"/>
  <c r="DT49" i="5"/>
  <c r="DS49" i="5"/>
  <c r="DL49" i="5"/>
  <c r="DK49" i="5"/>
  <c r="DF49" i="5"/>
  <c r="DE49" i="5"/>
  <c r="CZ49" i="5"/>
  <c r="CY49" i="5"/>
  <c r="CT49" i="5"/>
  <c r="CS49" i="5"/>
  <c r="CN49" i="5"/>
  <c r="CM49" i="5"/>
  <c r="CH49" i="5"/>
  <c r="CG49" i="5"/>
  <c r="CB49" i="5"/>
  <c r="CA49" i="5"/>
  <c r="BV49" i="5"/>
  <c r="BU49" i="5"/>
  <c r="BP49" i="5"/>
  <c r="BO49" i="5"/>
  <c r="BH49" i="5"/>
  <c r="BG49" i="5"/>
  <c r="BB49" i="5"/>
  <c r="BA49" i="5"/>
  <c r="L49" i="5"/>
  <c r="BJ49" i="5" s="1"/>
  <c r="K49" i="5"/>
  <c r="BI49" i="5" s="1"/>
  <c r="DR48" i="5"/>
  <c r="DQ48" i="5"/>
  <c r="DQ46" i="5" s="1"/>
  <c r="DP48" i="5"/>
  <c r="DP46" i="5" s="1"/>
  <c r="DO48" i="5"/>
  <c r="DO46" i="5" s="1"/>
  <c r="DN48" i="5"/>
  <c r="DN46" i="5" s="1"/>
  <c r="DM48" i="5"/>
  <c r="DM46" i="5" s="1"/>
  <c r="DJ48" i="5"/>
  <c r="DI48" i="5"/>
  <c r="DH48" i="5"/>
  <c r="DH46" i="5" s="1"/>
  <c r="DG48" i="5"/>
  <c r="DG46" i="5" s="1"/>
  <c r="DD48" i="5"/>
  <c r="DC48" i="5"/>
  <c r="DB48" i="5"/>
  <c r="DB46" i="5" s="1"/>
  <c r="DA48" i="5"/>
  <c r="DA46" i="5" s="1"/>
  <c r="CX48" i="5"/>
  <c r="CW48" i="5"/>
  <c r="CV48" i="5"/>
  <c r="CV46" i="5" s="1"/>
  <c r="CU48" i="5"/>
  <c r="CU46" i="5" s="1"/>
  <c r="CR48" i="5"/>
  <c r="CQ48" i="5"/>
  <c r="CP48" i="5"/>
  <c r="CP46" i="5" s="1"/>
  <c r="CO48" i="5"/>
  <c r="CO46" i="5" s="1"/>
  <c r="CL48" i="5"/>
  <c r="CK48" i="5"/>
  <c r="CJ48" i="5"/>
  <c r="CJ46" i="5" s="1"/>
  <c r="CI48" i="5"/>
  <c r="CI46" i="5" s="1"/>
  <c r="CF48" i="5"/>
  <c r="CE48" i="5"/>
  <c r="CD48" i="5"/>
  <c r="CD46" i="5" s="1"/>
  <c r="CC48" i="5"/>
  <c r="CC46" i="5" s="1"/>
  <c r="BZ48" i="5"/>
  <c r="BY48" i="5"/>
  <c r="BX48" i="5"/>
  <c r="BX46" i="5" s="1"/>
  <c r="BW48" i="5"/>
  <c r="BW46" i="5" s="1"/>
  <c r="BT48" i="5"/>
  <c r="BS48" i="5"/>
  <c r="BR48" i="5"/>
  <c r="BR46" i="5" s="1"/>
  <c r="BQ48" i="5"/>
  <c r="BQ46" i="5" s="1"/>
  <c r="BN48" i="5"/>
  <c r="BM48" i="5"/>
  <c r="BH48" i="5"/>
  <c r="BG48" i="5"/>
  <c r="AZ48" i="5"/>
  <c r="DT48" i="5" s="1"/>
  <c r="AY48" i="5"/>
  <c r="DS48" i="5" s="1"/>
  <c r="AX48" i="5"/>
  <c r="AX46" i="5" s="1"/>
  <c r="AW48" i="5"/>
  <c r="AV48" i="5"/>
  <c r="DL48" i="5" s="1"/>
  <c r="AU48" i="5"/>
  <c r="DK48" i="5" s="1"/>
  <c r="AT48" i="5"/>
  <c r="AT46" i="5" s="1"/>
  <c r="AS48" i="5"/>
  <c r="AR48" i="5"/>
  <c r="DF48" i="5" s="1"/>
  <c r="AQ48" i="5"/>
  <c r="DE48" i="5" s="1"/>
  <c r="AP48" i="5"/>
  <c r="AP46" i="5" s="1"/>
  <c r="AO48" i="5"/>
  <c r="AO46" i="5" s="1"/>
  <c r="AN48" i="5"/>
  <c r="CZ48" i="5" s="1"/>
  <c r="AM48" i="5"/>
  <c r="CY48" i="5" s="1"/>
  <c r="AL48" i="5"/>
  <c r="AL46" i="5" s="1"/>
  <c r="AK48" i="5"/>
  <c r="AK46" i="5" s="1"/>
  <c r="AJ48" i="5"/>
  <c r="CT48" i="5" s="1"/>
  <c r="AI48" i="5"/>
  <c r="CS48" i="5" s="1"/>
  <c r="AH48" i="5"/>
  <c r="AH46" i="5" s="1"/>
  <c r="AG48" i="5"/>
  <c r="AG46" i="5" s="1"/>
  <c r="AF48" i="5"/>
  <c r="CN48" i="5" s="1"/>
  <c r="AE48" i="5"/>
  <c r="CM48" i="5" s="1"/>
  <c r="AD48" i="5"/>
  <c r="AD46" i="5" s="1"/>
  <c r="AC48" i="5"/>
  <c r="AB48" i="5"/>
  <c r="CH48" i="5" s="1"/>
  <c r="AA48" i="5"/>
  <c r="CG48" i="5" s="1"/>
  <c r="Z48" i="5"/>
  <c r="Z46" i="5" s="1"/>
  <c r="Y48" i="5"/>
  <c r="X48" i="5"/>
  <c r="CB48" i="5" s="1"/>
  <c r="W48" i="5"/>
  <c r="CA48" i="5" s="1"/>
  <c r="V48" i="5"/>
  <c r="V46" i="5" s="1"/>
  <c r="U48" i="5"/>
  <c r="T48" i="5"/>
  <c r="BV48" i="5" s="1"/>
  <c r="S48" i="5"/>
  <c r="BU48" i="5" s="1"/>
  <c r="R48" i="5"/>
  <c r="R46" i="5" s="1"/>
  <c r="Q48" i="5"/>
  <c r="P48" i="5"/>
  <c r="BP48" i="5" s="1"/>
  <c r="O48" i="5"/>
  <c r="BO48" i="5" s="1"/>
  <c r="N48" i="5"/>
  <c r="N46" i="5" s="1"/>
  <c r="M48" i="5"/>
  <c r="J48" i="5"/>
  <c r="J46" i="5" s="1"/>
  <c r="I48" i="5"/>
  <c r="H48" i="5"/>
  <c r="G48" i="5"/>
  <c r="F48" i="5"/>
  <c r="BB48" i="5" s="1"/>
  <c r="E48" i="5"/>
  <c r="DU48" i="5" s="1"/>
  <c r="D48" i="5"/>
  <c r="C48" i="5"/>
  <c r="DV47" i="5"/>
  <c r="DU47" i="5"/>
  <c r="DT47" i="5"/>
  <c r="DS47" i="5"/>
  <c r="DL47" i="5"/>
  <c r="DK47" i="5"/>
  <c r="DF47" i="5"/>
  <c r="DE47" i="5"/>
  <c r="CZ47" i="5"/>
  <c r="CY47" i="5"/>
  <c r="CT47" i="5"/>
  <c r="CS47" i="5"/>
  <c r="CN47" i="5"/>
  <c r="CM47" i="5"/>
  <c r="CH47" i="5"/>
  <c r="CG47" i="5"/>
  <c r="CB47" i="5"/>
  <c r="CA47" i="5"/>
  <c r="BV47" i="5"/>
  <c r="BU47" i="5"/>
  <c r="BP47" i="5"/>
  <c r="BO47" i="5"/>
  <c r="BH47" i="5"/>
  <c r="BG47" i="5"/>
  <c r="BB47" i="5"/>
  <c r="BA47" i="5"/>
  <c r="L47" i="5"/>
  <c r="BJ47" i="5" s="1"/>
  <c r="K47" i="5"/>
  <c r="BI47" i="5" s="1"/>
  <c r="BL46" i="5"/>
  <c r="BK46" i="5"/>
  <c r="BF46" i="5"/>
  <c r="BE46" i="5"/>
  <c r="BD46" i="5"/>
  <c r="BC46" i="5"/>
  <c r="DV45" i="5"/>
  <c r="DU45" i="5"/>
  <c r="DT45" i="5"/>
  <c r="DS45" i="5"/>
  <c r="DL45" i="5"/>
  <c r="DK45" i="5"/>
  <c r="DF45" i="5"/>
  <c r="DE45" i="5"/>
  <c r="CZ45" i="5"/>
  <c r="CY45" i="5"/>
  <c r="CT45" i="5"/>
  <c r="CS45" i="5"/>
  <c r="CN45" i="5"/>
  <c r="CM45" i="5"/>
  <c r="CH45" i="5"/>
  <c r="CG45" i="5"/>
  <c r="CB45" i="5"/>
  <c r="CA45" i="5"/>
  <c r="BV45" i="5"/>
  <c r="BU45" i="5"/>
  <c r="BP45" i="5"/>
  <c r="BO45" i="5"/>
  <c r="BH45" i="5"/>
  <c r="BG45" i="5"/>
  <c r="BB45" i="5"/>
  <c r="BA45" i="5"/>
  <c r="L45" i="5"/>
  <c r="BJ45" i="5" s="1"/>
  <c r="K45" i="5"/>
  <c r="BI45" i="5" s="1"/>
  <c r="DV44" i="5"/>
  <c r="DU44" i="5"/>
  <c r="DT44" i="5"/>
  <c r="DS44" i="5"/>
  <c r="BH44" i="5"/>
  <c r="BN44" i="5" s="1"/>
  <c r="BT44" i="5" s="1"/>
  <c r="BZ44" i="5" s="1"/>
  <c r="CF44" i="5" s="1"/>
  <c r="CL44" i="5" s="1"/>
  <c r="CR44" i="5" s="1"/>
  <c r="CX44" i="5" s="1"/>
  <c r="DD44" i="5" s="1"/>
  <c r="DJ44" i="5" s="1"/>
  <c r="BG44" i="5"/>
  <c r="BM44" i="5" s="1"/>
  <c r="BS44" i="5" s="1"/>
  <c r="BY44" i="5" s="1"/>
  <c r="CE44" i="5" s="1"/>
  <c r="CK44" i="5" s="1"/>
  <c r="CQ44" i="5" s="1"/>
  <c r="CW44" i="5" s="1"/>
  <c r="DC44" i="5" s="1"/>
  <c r="DI44" i="5" s="1"/>
  <c r="BA44" i="5"/>
  <c r="AW44" i="5"/>
  <c r="AS44" i="5"/>
  <c r="AG44" i="5"/>
  <c r="L44" i="5"/>
  <c r="P44" i="5" s="1"/>
  <c r="K44" i="5"/>
  <c r="BI44" i="5" s="1"/>
  <c r="F44" i="5"/>
  <c r="BB44" i="5" s="1"/>
  <c r="D44" i="5"/>
  <c r="C44" i="5"/>
  <c r="DT43" i="5"/>
  <c r="DS43" i="5"/>
  <c r="BH43" i="5"/>
  <c r="BN43" i="5" s="1"/>
  <c r="BT43" i="5" s="1"/>
  <c r="BZ43" i="5" s="1"/>
  <c r="CF43" i="5" s="1"/>
  <c r="CL43" i="5" s="1"/>
  <c r="CR43" i="5" s="1"/>
  <c r="CX43" i="5" s="1"/>
  <c r="DD43" i="5" s="1"/>
  <c r="DJ43" i="5" s="1"/>
  <c r="BG43" i="5"/>
  <c r="BM43" i="5" s="1"/>
  <c r="BS43" i="5" s="1"/>
  <c r="BY43" i="5" s="1"/>
  <c r="CE43" i="5" s="1"/>
  <c r="CK43" i="5" s="1"/>
  <c r="CQ43" i="5" s="1"/>
  <c r="CW43" i="5" s="1"/>
  <c r="DC43" i="5" s="1"/>
  <c r="DI43" i="5" s="1"/>
  <c r="AW43" i="5"/>
  <c r="AS43" i="5"/>
  <c r="AC43" i="5"/>
  <c r="L43" i="5"/>
  <c r="P43" i="5" s="1"/>
  <c r="K43" i="5"/>
  <c r="F43" i="5"/>
  <c r="BB43" i="5" s="1"/>
  <c r="D43" i="5"/>
  <c r="C43" i="5"/>
  <c r="DT42" i="5"/>
  <c r="DS42" i="5"/>
  <c r="BH42" i="5"/>
  <c r="BN42" i="5" s="1"/>
  <c r="BT42" i="5" s="1"/>
  <c r="BZ42" i="5" s="1"/>
  <c r="CF42" i="5" s="1"/>
  <c r="CL42" i="5" s="1"/>
  <c r="CR42" i="5" s="1"/>
  <c r="CX42" i="5" s="1"/>
  <c r="DD42" i="5" s="1"/>
  <c r="DJ42" i="5" s="1"/>
  <c r="BG42" i="5"/>
  <c r="BM42" i="5" s="1"/>
  <c r="BS42" i="5" s="1"/>
  <c r="BY42" i="5" s="1"/>
  <c r="CE42" i="5" s="1"/>
  <c r="CK42" i="5" s="1"/>
  <c r="CQ42" i="5" s="1"/>
  <c r="CW42" i="5" s="1"/>
  <c r="DC42" i="5" s="1"/>
  <c r="DI42" i="5" s="1"/>
  <c r="L42" i="5"/>
  <c r="K42" i="5"/>
  <c r="F42" i="5"/>
  <c r="BB42" i="5" s="1"/>
  <c r="E42" i="5"/>
  <c r="D42" i="5"/>
  <c r="C42" i="5"/>
  <c r="DT41" i="5"/>
  <c r="DS41" i="5"/>
  <c r="BH41" i="5"/>
  <c r="BN41" i="5" s="1"/>
  <c r="BT41" i="5" s="1"/>
  <c r="BZ41" i="5" s="1"/>
  <c r="CF41" i="5" s="1"/>
  <c r="CL41" i="5" s="1"/>
  <c r="CR41" i="5" s="1"/>
  <c r="CX41" i="5" s="1"/>
  <c r="DD41" i="5" s="1"/>
  <c r="DJ41" i="5" s="1"/>
  <c r="BE41" i="5"/>
  <c r="BG41" i="5" s="1"/>
  <c r="BM41" i="5" s="1"/>
  <c r="BS41" i="5" s="1"/>
  <c r="BY41" i="5" s="1"/>
  <c r="CE41" i="5" s="1"/>
  <c r="CK41" i="5" s="1"/>
  <c r="CQ41" i="5" s="1"/>
  <c r="CW41" i="5" s="1"/>
  <c r="DC41" i="5" s="1"/>
  <c r="DI41" i="5" s="1"/>
  <c r="AW41" i="5"/>
  <c r="AS41" i="5"/>
  <c r="AS37" i="5" s="1"/>
  <c r="L41" i="5"/>
  <c r="P41" i="5" s="1"/>
  <c r="K41" i="5"/>
  <c r="F41" i="5"/>
  <c r="BB41" i="5" s="1"/>
  <c r="D41" i="5"/>
  <c r="C41" i="5"/>
  <c r="DV40" i="5"/>
  <c r="DU40" i="5"/>
  <c r="DT40" i="5"/>
  <c r="DS40" i="5"/>
  <c r="DL40" i="5"/>
  <c r="DK40" i="5"/>
  <c r="DF40" i="5"/>
  <c r="DE40" i="5"/>
  <c r="CZ40" i="5"/>
  <c r="CY40" i="5"/>
  <c r="CT40" i="5"/>
  <c r="CS40" i="5"/>
  <c r="CN40" i="5"/>
  <c r="CM40" i="5"/>
  <c r="CH40" i="5"/>
  <c r="CG40" i="5"/>
  <c r="CB40" i="5"/>
  <c r="CA40" i="5"/>
  <c r="BV40" i="5"/>
  <c r="BU40" i="5"/>
  <c r="BP40" i="5"/>
  <c r="BO40" i="5"/>
  <c r="BH40" i="5"/>
  <c r="BG40" i="5"/>
  <c r="BB40" i="5"/>
  <c r="BA40" i="5"/>
  <c r="L40" i="5"/>
  <c r="BJ40" i="5" s="1"/>
  <c r="K40" i="5"/>
  <c r="BI40" i="5" s="1"/>
  <c r="DS39" i="5"/>
  <c r="DR39" i="5"/>
  <c r="DT39" i="5" s="1"/>
  <c r="BH39" i="5"/>
  <c r="BN39" i="5" s="1"/>
  <c r="BE39" i="5"/>
  <c r="BC39" i="5"/>
  <c r="L39" i="5"/>
  <c r="K39" i="5"/>
  <c r="F39" i="5"/>
  <c r="BB39" i="5" s="1"/>
  <c r="E39" i="5"/>
  <c r="D39" i="5"/>
  <c r="C39" i="5"/>
  <c r="DT38" i="5"/>
  <c r="DS38" i="5"/>
  <c r="BK38" i="5"/>
  <c r="BK37" i="5" s="1"/>
  <c r="BH38" i="5"/>
  <c r="BN38" i="5" s="1"/>
  <c r="BT38" i="5" s="1"/>
  <c r="BE38" i="5"/>
  <c r="BC38" i="5"/>
  <c r="AC38" i="5"/>
  <c r="AC37" i="5" s="1"/>
  <c r="Y38" i="5"/>
  <c r="Y37" i="5" s="1"/>
  <c r="U38" i="5"/>
  <c r="U37" i="5" s="1"/>
  <c r="Q38" i="5"/>
  <c r="Q37" i="5" s="1"/>
  <c r="M38" i="5"/>
  <c r="M37" i="5" s="1"/>
  <c r="L38" i="5"/>
  <c r="I38" i="5"/>
  <c r="G38" i="5"/>
  <c r="G37" i="5" s="1"/>
  <c r="F38" i="5"/>
  <c r="D38" i="5"/>
  <c r="C38" i="5"/>
  <c r="DQ37" i="5"/>
  <c r="DP37" i="5"/>
  <c r="DO37" i="5"/>
  <c r="DN37" i="5"/>
  <c r="DM37" i="5"/>
  <c r="DH37" i="5"/>
  <c r="DG37" i="5"/>
  <c r="DB37" i="5"/>
  <c r="DA37" i="5"/>
  <c r="CV37" i="5"/>
  <c r="CU37" i="5"/>
  <c r="CP37" i="5"/>
  <c r="CO37" i="5"/>
  <c r="CJ37" i="5"/>
  <c r="CI37" i="5"/>
  <c r="CD37" i="5"/>
  <c r="CC37" i="5"/>
  <c r="BX37" i="5"/>
  <c r="BW37" i="5"/>
  <c r="BR37" i="5"/>
  <c r="BQ37" i="5"/>
  <c r="BL37" i="5"/>
  <c r="BF37" i="5"/>
  <c r="BD37" i="5"/>
  <c r="AZ37" i="5"/>
  <c r="AY37" i="5"/>
  <c r="AX37" i="5"/>
  <c r="AT37" i="5"/>
  <c r="AP37" i="5"/>
  <c r="AO37" i="5"/>
  <c r="AL37" i="5"/>
  <c r="AK37" i="5"/>
  <c r="AH37" i="5"/>
  <c r="AG37" i="5"/>
  <c r="AD37" i="5"/>
  <c r="Z37" i="5"/>
  <c r="V37" i="5"/>
  <c r="R37" i="5"/>
  <c r="N37" i="5"/>
  <c r="J37" i="5"/>
  <c r="H37" i="5"/>
  <c r="DT35" i="5"/>
  <c r="DS35" i="5"/>
  <c r="BH35" i="5"/>
  <c r="BN35" i="5" s="1"/>
  <c r="BT35" i="5" s="1"/>
  <c r="BZ35" i="5" s="1"/>
  <c r="CF35" i="5" s="1"/>
  <c r="CL35" i="5" s="1"/>
  <c r="CR35" i="5" s="1"/>
  <c r="CX35" i="5" s="1"/>
  <c r="DD35" i="5" s="1"/>
  <c r="DJ35" i="5" s="1"/>
  <c r="BG35" i="5"/>
  <c r="BM35" i="5" s="1"/>
  <c r="BS35" i="5" s="1"/>
  <c r="BY35" i="5" s="1"/>
  <c r="CE35" i="5" s="1"/>
  <c r="CK35" i="5" s="1"/>
  <c r="CQ35" i="5" s="1"/>
  <c r="CW35" i="5" s="1"/>
  <c r="DC35" i="5" s="1"/>
  <c r="DI35" i="5" s="1"/>
  <c r="AW35" i="5"/>
  <c r="AH35" i="5"/>
  <c r="F35" i="5" s="1"/>
  <c r="BB35" i="5" s="1"/>
  <c r="AG35" i="5"/>
  <c r="L35" i="5"/>
  <c r="P35" i="5" s="1"/>
  <c r="K35" i="5"/>
  <c r="D35" i="5"/>
  <c r="C35" i="5"/>
  <c r="DT34" i="5"/>
  <c r="DS34" i="5"/>
  <c r="DR34" i="5"/>
  <c r="DQ34" i="5"/>
  <c r="BH34" i="5"/>
  <c r="BN34" i="5" s="1"/>
  <c r="BT34" i="5" s="1"/>
  <c r="BZ34" i="5" s="1"/>
  <c r="CF34" i="5" s="1"/>
  <c r="CL34" i="5" s="1"/>
  <c r="CR34" i="5" s="1"/>
  <c r="CX34" i="5" s="1"/>
  <c r="DD34" i="5" s="1"/>
  <c r="DJ34" i="5" s="1"/>
  <c r="BG34" i="5"/>
  <c r="BM34" i="5" s="1"/>
  <c r="BS34" i="5" s="1"/>
  <c r="BY34" i="5" s="1"/>
  <c r="CE34" i="5" s="1"/>
  <c r="CK34" i="5" s="1"/>
  <c r="CQ34" i="5" s="1"/>
  <c r="CW34" i="5" s="1"/>
  <c r="DC34" i="5" s="1"/>
  <c r="DI34" i="5" s="1"/>
  <c r="AL34" i="5"/>
  <c r="AP34" i="5" s="1"/>
  <c r="F34" i="5" s="1"/>
  <c r="BB34" i="5" s="1"/>
  <c r="Y34" i="5"/>
  <c r="AG34" i="5" s="1"/>
  <c r="L34" i="5"/>
  <c r="BJ34" i="5" s="1"/>
  <c r="K34" i="5"/>
  <c r="BI34" i="5" s="1"/>
  <c r="D34" i="5"/>
  <c r="C34" i="5"/>
  <c r="DT33" i="5"/>
  <c r="DS33" i="5"/>
  <c r="BH33" i="5"/>
  <c r="BN33" i="5" s="1"/>
  <c r="BT33" i="5" s="1"/>
  <c r="BZ33" i="5" s="1"/>
  <c r="CF33" i="5" s="1"/>
  <c r="CL33" i="5" s="1"/>
  <c r="CR33" i="5" s="1"/>
  <c r="CX33" i="5" s="1"/>
  <c r="DD33" i="5" s="1"/>
  <c r="DJ33" i="5" s="1"/>
  <c r="BG33" i="5"/>
  <c r="BM33" i="5" s="1"/>
  <c r="BS33" i="5" s="1"/>
  <c r="BY33" i="5" s="1"/>
  <c r="CE33" i="5" s="1"/>
  <c r="CK33" i="5" s="1"/>
  <c r="CQ33" i="5" s="1"/>
  <c r="CW33" i="5" s="1"/>
  <c r="DC33" i="5" s="1"/>
  <c r="DI33" i="5" s="1"/>
  <c r="L33" i="5"/>
  <c r="BJ33" i="5" s="1"/>
  <c r="K33" i="5"/>
  <c r="BI33" i="5" s="1"/>
  <c r="F33" i="5"/>
  <c r="BB33" i="5" s="1"/>
  <c r="E33" i="5"/>
  <c r="DV33" i="5" s="1"/>
  <c r="DR32" i="5"/>
  <c r="DT32" i="5" s="1"/>
  <c r="DQ32" i="5"/>
  <c r="DS32" i="5" s="1"/>
  <c r="BH32" i="5"/>
  <c r="BN32" i="5" s="1"/>
  <c r="BT32" i="5" s="1"/>
  <c r="BZ32" i="5" s="1"/>
  <c r="CF32" i="5" s="1"/>
  <c r="CL32" i="5" s="1"/>
  <c r="CR32" i="5" s="1"/>
  <c r="CX32" i="5" s="1"/>
  <c r="DD32" i="5" s="1"/>
  <c r="DJ32" i="5" s="1"/>
  <c r="BG32" i="5"/>
  <c r="BM32" i="5" s="1"/>
  <c r="BS32" i="5" s="1"/>
  <c r="BY32" i="5" s="1"/>
  <c r="CE32" i="5" s="1"/>
  <c r="CK32" i="5" s="1"/>
  <c r="CQ32" i="5" s="1"/>
  <c r="CW32" i="5" s="1"/>
  <c r="DC32" i="5" s="1"/>
  <c r="DI32" i="5" s="1"/>
  <c r="AW32" i="5"/>
  <c r="AH32" i="5"/>
  <c r="U32" i="5"/>
  <c r="Y32" i="5" s="1"/>
  <c r="L32" i="5"/>
  <c r="K32" i="5"/>
  <c r="O32" i="5" s="1"/>
  <c r="D32" i="5"/>
  <c r="C32" i="5"/>
  <c r="DR31" i="5"/>
  <c r="DQ31" i="5"/>
  <c r="DS31" i="5" s="1"/>
  <c r="BH31" i="5"/>
  <c r="BN31" i="5" s="1"/>
  <c r="BT31" i="5" s="1"/>
  <c r="BZ31" i="5" s="1"/>
  <c r="CF31" i="5" s="1"/>
  <c r="CL31" i="5" s="1"/>
  <c r="CR31" i="5" s="1"/>
  <c r="CX31" i="5" s="1"/>
  <c r="DD31" i="5" s="1"/>
  <c r="DJ31" i="5" s="1"/>
  <c r="BG31" i="5"/>
  <c r="BM31" i="5" s="1"/>
  <c r="BS31" i="5" s="1"/>
  <c r="BY31" i="5" s="1"/>
  <c r="CE31" i="5" s="1"/>
  <c r="CK31" i="5" s="1"/>
  <c r="CQ31" i="5" s="1"/>
  <c r="CW31" i="5" s="1"/>
  <c r="DC31" i="5" s="1"/>
  <c r="DI31" i="5" s="1"/>
  <c r="L31" i="5"/>
  <c r="BJ31" i="5" s="1"/>
  <c r="K31" i="5"/>
  <c r="BI31" i="5" s="1"/>
  <c r="F31" i="5"/>
  <c r="BB31" i="5" s="1"/>
  <c r="E31" i="5"/>
  <c r="D31" i="5"/>
  <c r="C31" i="5"/>
  <c r="DR30" i="5"/>
  <c r="DT30" i="5" s="1"/>
  <c r="DQ30" i="5"/>
  <c r="DS30" i="5" s="1"/>
  <c r="BH30" i="5"/>
  <c r="BN30" i="5" s="1"/>
  <c r="BT30" i="5" s="1"/>
  <c r="BZ30" i="5" s="1"/>
  <c r="CF30" i="5" s="1"/>
  <c r="CL30" i="5" s="1"/>
  <c r="CR30" i="5" s="1"/>
  <c r="CX30" i="5" s="1"/>
  <c r="DD30" i="5" s="1"/>
  <c r="DJ30" i="5" s="1"/>
  <c r="BG30" i="5"/>
  <c r="BM30" i="5" s="1"/>
  <c r="BS30" i="5" s="1"/>
  <c r="BY30" i="5" s="1"/>
  <c r="CE30" i="5" s="1"/>
  <c r="CK30" i="5" s="1"/>
  <c r="CQ30" i="5" s="1"/>
  <c r="CW30" i="5" s="1"/>
  <c r="DC30" i="5" s="1"/>
  <c r="DI30" i="5" s="1"/>
  <c r="AH30" i="5"/>
  <c r="Q30" i="5"/>
  <c r="L30" i="5"/>
  <c r="P30" i="5" s="1"/>
  <c r="K30" i="5"/>
  <c r="BI30" i="5" s="1"/>
  <c r="D30" i="5"/>
  <c r="C30" i="5"/>
  <c r="DR29" i="5"/>
  <c r="DT29" i="5" s="1"/>
  <c r="DQ29" i="5"/>
  <c r="DS29" i="5" s="1"/>
  <c r="BH29" i="5"/>
  <c r="BN29" i="5" s="1"/>
  <c r="BT29" i="5" s="1"/>
  <c r="BZ29" i="5" s="1"/>
  <c r="CF29" i="5" s="1"/>
  <c r="CL29" i="5" s="1"/>
  <c r="CR29" i="5" s="1"/>
  <c r="CX29" i="5" s="1"/>
  <c r="DD29" i="5" s="1"/>
  <c r="DJ29" i="5" s="1"/>
  <c r="BG29" i="5"/>
  <c r="BM29" i="5" s="1"/>
  <c r="BS29" i="5" s="1"/>
  <c r="BY29" i="5" s="1"/>
  <c r="CE29" i="5" s="1"/>
  <c r="CK29" i="5" s="1"/>
  <c r="CQ29" i="5" s="1"/>
  <c r="CW29" i="5" s="1"/>
  <c r="DC29" i="5" s="1"/>
  <c r="DI29" i="5" s="1"/>
  <c r="L29" i="5"/>
  <c r="K29" i="5"/>
  <c r="F29" i="5"/>
  <c r="BB29" i="5" s="1"/>
  <c r="E29" i="5"/>
  <c r="D29" i="5"/>
  <c r="C29" i="5"/>
  <c r="DR28" i="5"/>
  <c r="DT28" i="5" s="1"/>
  <c r="DQ28" i="5"/>
  <c r="BH28" i="5"/>
  <c r="BN28" i="5" s="1"/>
  <c r="BT28" i="5" s="1"/>
  <c r="BZ28" i="5" s="1"/>
  <c r="CF28" i="5" s="1"/>
  <c r="CL28" i="5" s="1"/>
  <c r="CR28" i="5" s="1"/>
  <c r="CX28" i="5" s="1"/>
  <c r="DD28" i="5" s="1"/>
  <c r="DJ28" i="5" s="1"/>
  <c r="BG28" i="5"/>
  <c r="AH28" i="5"/>
  <c r="L28" i="5"/>
  <c r="I28" i="5"/>
  <c r="D28" i="5"/>
  <c r="C28" i="5"/>
  <c r="DR27" i="5"/>
  <c r="DT27" i="5" s="1"/>
  <c r="DQ27" i="5"/>
  <c r="DS27" i="5" s="1"/>
  <c r="BH27" i="5"/>
  <c r="BN27" i="5" s="1"/>
  <c r="BG27" i="5"/>
  <c r="BM27" i="5" s="1"/>
  <c r="L27" i="5"/>
  <c r="BJ27" i="5" s="1"/>
  <c r="K27" i="5"/>
  <c r="BI27" i="5" s="1"/>
  <c r="F27" i="5"/>
  <c r="BB27" i="5" s="1"/>
  <c r="E27" i="5"/>
  <c r="DU27" i="5" s="1"/>
  <c r="D27" i="5"/>
  <c r="C27" i="5"/>
  <c r="DP26" i="5"/>
  <c r="DO26" i="5"/>
  <c r="DN26" i="5"/>
  <c r="DM26" i="5"/>
  <c r="DH26" i="5"/>
  <c r="DG26" i="5"/>
  <c r="DB26" i="5"/>
  <c r="DA26" i="5"/>
  <c r="CV26" i="5"/>
  <c r="CU26" i="5"/>
  <c r="CP26" i="5"/>
  <c r="CO26" i="5"/>
  <c r="CJ26" i="5"/>
  <c r="CI26" i="5"/>
  <c r="CD26" i="5"/>
  <c r="CC26" i="5"/>
  <c r="BX26" i="5"/>
  <c r="BW26" i="5"/>
  <c r="BR26" i="5"/>
  <c r="BQ26" i="5"/>
  <c r="BL26" i="5"/>
  <c r="BK26" i="5"/>
  <c r="BF26" i="5"/>
  <c r="BE26" i="5"/>
  <c r="BD26" i="5"/>
  <c r="BC26" i="5"/>
  <c r="AZ26" i="5"/>
  <c r="AY26" i="5"/>
  <c r="AX26" i="5"/>
  <c r="AT26" i="5"/>
  <c r="AS26" i="5"/>
  <c r="AD26" i="5"/>
  <c r="AC26" i="5"/>
  <c r="Z26" i="5"/>
  <c r="V26" i="5"/>
  <c r="R26" i="5"/>
  <c r="N26" i="5"/>
  <c r="J26" i="5"/>
  <c r="H26" i="5"/>
  <c r="G26" i="5"/>
  <c r="DT25" i="5"/>
  <c r="DS25" i="5"/>
  <c r="BL25" i="5"/>
  <c r="BL9" i="5" s="1"/>
  <c r="BH25" i="5"/>
  <c r="BG25" i="5"/>
  <c r="BM25" i="5" s="1"/>
  <c r="BS25" i="5" s="1"/>
  <c r="BY25" i="5" s="1"/>
  <c r="CE25" i="5" s="1"/>
  <c r="CK25" i="5" s="1"/>
  <c r="CQ25" i="5" s="1"/>
  <c r="CW25" i="5" s="1"/>
  <c r="DC25" i="5" s="1"/>
  <c r="DI25" i="5" s="1"/>
  <c r="AW25" i="5"/>
  <c r="AH25" i="5"/>
  <c r="AC25" i="5"/>
  <c r="L25" i="5"/>
  <c r="I25" i="5"/>
  <c r="D25" i="5"/>
  <c r="C25" i="5"/>
  <c r="DT24" i="5"/>
  <c r="DS24" i="5"/>
  <c r="BH24" i="5"/>
  <c r="BN24" i="5" s="1"/>
  <c r="BT24" i="5" s="1"/>
  <c r="BZ24" i="5" s="1"/>
  <c r="CF24" i="5" s="1"/>
  <c r="CL24" i="5" s="1"/>
  <c r="CR24" i="5" s="1"/>
  <c r="CX24" i="5" s="1"/>
  <c r="DD24" i="5" s="1"/>
  <c r="DJ24" i="5" s="1"/>
  <c r="BG24" i="5"/>
  <c r="BM24" i="5" s="1"/>
  <c r="BS24" i="5" s="1"/>
  <c r="BY24" i="5" s="1"/>
  <c r="CE24" i="5" s="1"/>
  <c r="CK24" i="5" s="1"/>
  <c r="CQ24" i="5" s="1"/>
  <c r="CW24" i="5" s="1"/>
  <c r="DC24" i="5" s="1"/>
  <c r="DI24" i="5" s="1"/>
  <c r="AW24" i="5"/>
  <c r="AH24" i="5"/>
  <c r="L24" i="5"/>
  <c r="P24" i="5" s="1"/>
  <c r="T24" i="5" s="1"/>
  <c r="I24" i="5"/>
  <c r="M24" i="5" s="1"/>
  <c r="D24" i="5"/>
  <c r="C24" i="5"/>
  <c r="DV23" i="5"/>
  <c r="DU23" i="5"/>
  <c r="DT23" i="5"/>
  <c r="DS23" i="5"/>
  <c r="BH23" i="5"/>
  <c r="BN23" i="5" s="1"/>
  <c r="BT23" i="5" s="1"/>
  <c r="BZ23" i="5" s="1"/>
  <c r="CF23" i="5" s="1"/>
  <c r="CL23" i="5" s="1"/>
  <c r="CR23" i="5" s="1"/>
  <c r="CX23" i="5" s="1"/>
  <c r="DD23" i="5" s="1"/>
  <c r="DJ23" i="5" s="1"/>
  <c r="BG23" i="5"/>
  <c r="BM23" i="5" s="1"/>
  <c r="BS23" i="5" s="1"/>
  <c r="BY23" i="5" s="1"/>
  <c r="CE23" i="5" s="1"/>
  <c r="CK23" i="5" s="1"/>
  <c r="CQ23" i="5" s="1"/>
  <c r="CW23" i="5" s="1"/>
  <c r="DC23" i="5" s="1"/>
  <c r="DI23" i="5" s="1"/>
  <c r="BB23" i="5"/>
  <c r="BA23" i="5"/>
  <c r="L23" i="5"/>
  <c r="BJ23" i="5" s="1"/>
  <c r="K23" i="5"/>
  <c r="BI23" i="5" s="1"/>
  <c r="DT22" i="5"/>
  <c r="DS22" i="5"/>
  <c r="BH22" i="5"/>
  <c r="BN22" i="5" s="1"/>
  <c r="BT22" i="5" s="1"/>
  <c r="BZ22" i="5" s="1"/>
  <c r="CF22" i="5" s="1"/>
  <c r="CL22" i="5" s="1"/>
  <c r="CR22" i="5" s="1"/>
  <c r="CX22" i="5" s="1"/>
  <c r="DD22" i="5" s="1"/>
  <c r="DJ22" i="5" s="1"/>
  <c r="BG22" i="5"/>
  <c r="BM22" i="5" s="1"/>
  <c r="BS22" i="5" s="1"/>
  <c r="BY22" i="5" s="1"/>
  <c r="CE22" i="5" s="1"/>
  <c r="CK22" i="5" s="1"/>
  <c r="CQ22" i="5" s="1"/>
  <c r="CW22" i="5" s="1"/>
  <c r="DC22" i="5" s="1"/>
  <c r="DI22" i="5" s="1"/>
  <c r="AW22" i="5"/>
  <c r="AH22" i="5"/>
  <c r="L22" i="5"/>
  <c r="I22" i="5"/>
  <c r="D22" i="5"/>
  <c r="C22" i="5"/>
  <c r="DT21" i="5"/>
  <c r="DS21" i="5"/>
  <c r="BH21" i="5"/>
  <c r="BN21" i="5" s="1"/>
  <c r="BT21" i="5" s="1"/>
  <c r="BZ21" i="5" s="1"/>
  <c r="CF21" i="5" s="1"/>
  <c r="CL21" i="5" s="1"/>
  <c r="CR21" i="5" s="1"/>
  <c r="CX21" i="5" s="1"/>
  <c r="DD21" i="5" s="1"/>
  <c r="DJ21" i="5" s="1"/>
  <c r="BG21" i="5"/>
  <c r="BM21" i="5" s="1"/>
  <c r="BS21" i="5" s="1"/>
  <c r="BY21" i="5" s="1"/>
  <c r="CE21" i="5" s="1"/>
  <c r="CK21" i="5" s="1"/>
  <c r="CQ21" i="5" s="1"/>
  <c r="CW21" i="5" s="1"/>
  <c r="DC21" i="5" s="1"/>
  <c r="DI21" i="5" s="1"/>
  <c r="AW21" i="5"/>
  <c r="AH21" i="5"/>
  <c r="L21" i="5"/>
  <c r="I21" i="5"/>
  <c r="D21" i="5"/>
  <c r="C21" i="5"/>
  <c r="DT20" i="5"/>
  <c r="DS20" i="5"/>
  <c r="BH20" i="5"/>
  <c r="BN20" i="5" s="1"/>
  <c r="BT20" i="5" s="1"/>
  <c r="BZ20" i="5" s="1"/>
  <c r="CF20" i="5" s="1"/>
  <c r="CL20" i="5" s="1"/>
  <c r="CR20" i="5" s="1"/>
  <c r="CX20" i="5" s="1"/>
  <c r="DD20" i="5" s="1"/>
  <c r="DJ20" i="5" s="1"/>
  <c r="BG20" i="5"/>
  <c r="BM20" i="5" s="1"/>
  <c r="BS20" i="5" s="1"/>
  <c r="BY20" i="5" s="1"/>
  <c r="CE20" i="5" s="1"/>
  <c r="CK20" i="5" s="1"/>
  <c r="CQ20" i="5" s="1"/>
  <c r="CW20" i="5" s="1"/>
  <c r="DC20" i="5" s="1"/>
  <c r="DI20" i="5" s="1"/>
  <c r="AW20" i="5"/>
  <c r="AH20" i="5"/>
  <c r="AP20" i="5" s="1"/>
  <c r="F20" i="5" s="1"/>
  <c r="BB20" i="5" s="1"/>
  <c r="L20" i="5"/>
  <c r="P20" i="5" s="1"/>
  <c r="I20" i="5"/>
  <c r="K20" i="5" s="1"/>
  <c r="D20" i="5"/>
  <c r="C20" i="5"/>
  <c r="DT19" i="5"/>
  <c r="BH19" i="5"/>
  <c r="BN19" i="5" s="1"/>
  <c r="BT19" i="5" s="1"/>
  <c r="BZ19" i="5" s="1"/>
  <c r="CF19" i="5" s="1"/>
  <c r="CL19" i="5" s="1"/>
  <c r="CR19" i="5" s="1"/>
  <c r="CX19" i="5" s="1"/>
  <c r="DD19" i="5" s="1"/>
  <c r="DJ19" i="5" s="1"/>
  <c r="BG19" i="5"/>
  <c r="BM19" i="5" s="1"/>
  <c r="BS19" i="5" s="1"/>
  <c r="BY19" i="5" s="1"/>
  <c r="CE19" i="5" s="1"/>
  <c r="CK19" i="5" s="1"/>
  <c r="CQ19" i="5" s="1"/>
  <c r="CW19" i="5" s="1"/>
  <c r="DC19" i="5" s="1"/>
  <c r="DI19" i="5" s="1"/>
  <c r="AY19" i="5"/>
  <c r="AW19" i="5"/>
  <c r="AH19" i="5"/>
  <c r="AC19" i="5"/>
  <c r="L19" i="5"/>
  <c r="I19" i="5"/>
  <c r="K19" i="5" s="1"/>
  <c r="D19" i="5"/>
  <c r="C19" i="5"/>
  <c r="DT18" i="5"/>
  <c r="DS18" i="5"/>
  <c r="BK18" i="5"/>
  <c r="BK81" i="5" s="1"/>
  <c r="BK80" i="5" s="1"/>
  <c r="BH18" i="5"/>
  <c r="BN18" i="5" s="1"/>
  <c r="BT18" i="5" s="1"/>
  <c r="BZ18" i="5" s="1"/>
  <c r="CF18" i="5" s="1"/>
  <c r="CL18" i="5" s="1"/>
  <c r="CR18" i="5" s="1"/>
  <c r="CX18" i="5" s="1"/>
  <c r="DD18" i="5" s="1"/>
  <c r="DJ18" i="5" s="1"/>
  <c r="BG18" i="5"/>
  <c r="AW18" i="5"/>
  <c r="AW81" i="5" s="1"/>
  <c r="AH18" i="5"/>
  <c r="L18" i="5"/>
  <c r="I18" i="5"/>
  <c r="D18" i="5"/>
  <c r="C18" i="5"/>
  <c r="DT17" i="5"/>
  <c r="DS17" i="5"/>
  <c r="BH17" i="5"/>
  <c r="BN17" i="5" s="1"/>
  <c r="BT17" i="5" s="1"/>
  <c r="BZ17" i="5" s="1"/>
  <c r="CF17" i="5" s="1"/>
  <c r="CL17" i="5" s="1"/>
  <c r="CR17" i="5" s="1"/>
  <c r="CX17" i="5" s="1"/>
  <c r="DD17" i="5" s="1"/>
  <c r="DJ17" i="5" s="1"/>
  <c r="BG17" i="5"/>
  <c r="BM17" i="5" s="1"/>
  <c r="BS17" i="5" s="1"/>
  <c r="BY17" i="5" s="1"/>
  <c r="CE17" i="5" s="1"/>
  <c r="CK17" i="5" s="1"/>
  <c r="CQ17" i="5" s="1"/>
  <c r="CW17" i="5" s="1"/>
  <c r="DC17" i="5" s="1"/>
  <c r="DI17" i="5" s="1"/>
  <c r="AW17" i="5"/>
  <c r="AH17" i="5"/>
  <c r="L17" i="5"/>
  <c r="I17" i="5"/>
  <c r="D17" i="5"/>
  <c r="C17" i="5"/>
  <c r="DT16" i="5"/>
  <c r="DS16" i="5"/>
  <c r="BH16" i="5"/>
  <c r="BN16" i="5" s="1"/>
  <c r="BT16" i="5" s="1"/>
  <c r="BZ16" i="5" s="1"/>
  <c r="CF16" i="5" s="1"/>
  <c r="CL16" i="5" s="1"/>
  <c r="CR16" i="5" s="1"/>
  <c r="CX16" i="5" s="1"/>
  <c r="DD16" i="5" s="1"/>
  <c r="DJ16" i="5" s="1"/>
  <c r="BG16" i="5"/>
  <c r="BM16" i="5" s="1"/>
  <c r="BS16" i="5" s="1"/>
  <c r="BY16" i="5" s="1"/>
  <c r="CE16" i="5" s="1"/>
  <c r="CK16" i="5" s="1"/>
  <c r="CQ16" i="5" s="1"/>
  <c r="CW16" i="5" s="1"/>
  <c r="DC16" i="5" s="1"/>
  <c r="DI16" i="5" s="1"/>
  <c r="AW16" i="5"/>
  <c r="AH16" i="5"/>
  <c r="Q16" i="5"/>
  <c r="L16" i="5"/>
  <c r="K16" i="5"/>
  <c r="D16" i="5"/>
  <c r="C16" i="5"/>
  <c r="DS15" i="5"/>
  <c r="BK15" i="5"/>
  <c r="BG15" i="5"/>
  <c r="AW15" i="5"/>
  <c r="AC15" i="5"/>
  <c r="I15" i="5"/>
  <c r="C15" i="5"/>
  <c r="DS14" i="5"/>
  <c r="BK14" i="5"/>
  <c r="BG14" i="5"/>
  <c r="I14" i="5"/>
  <c r="C14" i="5"/>
  <c r="DT13" i="5"/>
  <c r="DS13" i="5"/>
  <c r="BK13" i="5"/>
  <c r="BH13" i="5"/>
  <c r="BN13" i="5" s="1"/>
  <c r="BT13" i="5" s="1"/>
  <c r="BZ13" i="5" s="1"/>
  <c r="CF13" i="5" s="1"/>
  <c r="CL13" i="5" s="1"/>
  <c r="CR13" i="5" s="1"/>
  <c r="CX13" i="5" s="1"/>
  <c r="DD13" i="5" s="1"/>
  <c r="DJ13" i="5" s="1"/>
  <c r="BG13" i="5"/>
  <c r="AH13" i="5"/>
  <c r="L13" i="5"/>
  <c r="I13" i="5"/>
  <c r="K13" i="5" s="1"/>
  <c r="D13" i="5"/>
  <c r="C13" i="5"/>
  <c r="DT12" i="5"/>
  <c r="DS12" i="5"/>
  <c r="BH12" i="5"/>
  <c r="BN12" i="5" s="1"/>
  <c r="BT12" i="5" s="1"/>
  <c r="BZ12" i="5" s="1"/>
  <c r="CF12" i="5" s="1"/>
  <c r="CL12" i="5" s="1"/>
  <c r="CR12" i="5" s="1"/>
  <c r="CX12" i="5" s="1"/>
  <c r="DD12" i="5" s="1"/>
  <c r="DJ12" i="5" s="1"/>
  <c r="BG12" i="5"/>
  <c r="BM12" i="5" s="1"/>
  <c r="BS12" i="5" s="1"/>
  <c r="BY12" i="5" s="1"/>
  <c r="CE12" i="5" s="1"/>
  <c r="CK12" i="5" s="1"/>
  <c r="CQ12" i="5" s="1"/>
  <c r="CW12" i="5" s="1"/>
  <c r="DC12" i="5" s="1"/>
  <c r="DI12" i="5" s="1"/>
  <c r="AH12" i="5"/>
  <c r="L12" i="5"/>
  <c r="I12" i="5"/>
  <c r="D12" i="5"/>
  <c r="C12" i="5"/>
  <c r="DQ11" i="5"/>
  <c r="DR11" i="5" s="1"/>
  <c r="DO11" i="5"/>
  <c r="DP11" i="5" s="1"/>
  <c r="DM11" i="5"/>
  <c r="DN11" i="5" s="1"/>
  <c r="DG11" i="5"/>
  <c r="DH11" i="5" s="1"/>
  <c r="DA11" i="5"/>
  <c r="DB11" i="5" s="1"/>
  <c r="CU11" i="5"/>
  <c r="CV11" i="5" s="1"/>
  <c r="CO11" i="5"/>
  <c r="CP11" i="5" s="1"/>
  <c r="CI11" i="5"/>
  <c r="CJ11" i="5" s="1"/>
  <c r="CC11" i="5"/>
  <c r="CD11" i="5" s="1"/>
  <c r="BW11" i="5"/>
  <c r="BX11" i="5" s="1"/>
  <c r="BQ11" i="5"/>
  <c r="BR11" i="5" s="1"/>
  <c r="BE11" i="5"/>
  <c r="BF11" i="5" s="1"/>
  <c r="BC11" i="5"/>
  <c r="BD11" i="5" s="1"/>
  <c r="AY11" i="5"/>
  <c r="L11" i="5"/>
  <c r="BJ11" i="5" s="1"/>
  <c r="K11" i="5"/>
  <c r="BI11" i="5" s="1"/>
  <c r="F11" i="5"/>
  <c r="BB11" i="5" s="1"/>
  <c r="E11" i="5"/>
  <c r="D11" i="5"/>
  <c r="C11" i="5"/>
  <c r="DT10" i="5"/>
  <c r="DS10" i="5"/>
  <c r="BK10" i="5"/>
  <c r="BK11" i="5" s="1"/>
  <c r="BL11" i="5" s="1"/>
  <c r="BH10" i="5"/>
  <c r="BN10" i="5" s="1"/>
  <c r="BG10" i="5"/>
  <c r="AW10" i="5"/>
  <c r="AH10" i="5"/>
  <c r="L10" i="5"/>
  <c r="I10" i="5"/>
  <c r="D10" i="5"/>
  <c r="C10" i="5"/>
  <c r="DR9" i="5"/>
  <c r="DQ9" i="5"/>
  <c r="DP9" i="5"/>
  <c r="DO9" i="5"/>
  <c r="DO8" i="5" s="1"/>
  <c r="DN9" i="5"/>
  <c r="DM9" i="5"/>
  <c r="DH9" i="5"/>
  <c r="DH8" i="5" s="1"/>
  <c r="DG9" i="5"/>
  <c r="DB9" i="5"/>
  <c r="DA9" i="5"/>
  <c r="CV9" i="5"/>
  <c r="CU9" i="5"/>
  <c r="CP9" i="5"/>
  <c r="CO9" i="5"/>
  <c r="CJ9" i="5"/>
  <c r="CJ8" i="5" s="1"/>
  <c r="CI9" i="5"/>
  <c r="CD9" i="5"/>
  <c r="CC9" i="5"/>
  <c r="BX9" i="5"/>
  <c r="BW9" i="5"/>
  <c r="BR9" i="5"/>
  <c r="BQ9" i="5"/>
  <c r="BF9" i="5"/>
  <c r="BE9" i="5"/>
  <c r="BD9" i="5"/>
  <c r="BD8" i="5" s="1"/>
  <c r="BC9" i="5"/>
  <c r="BC8" i="5" s="1"/>
  <c r="AZ9" i="5"/>
  <c r="AX9" i="5"/>
  <c r="AT9" i="5"/>
  <c r="AS9" i="5"/>
  <c r="AD9" i="5"/>
  <c r="Z9" i="5"/>
  <c r="V9" i="5"/>
  <c r="R9" i="5"/>
  <c r="N9" i="5"/>
  <c r="J9" i="5"/>
  <c r="H9" i="5"/>
  <c r="G9" i="5"/>
  <c r="BN7" i="5"/>
  <c r="BR7" i="5" s="1"/>
  <c r="BT7" i="5" s="1"/>
  <c r="BM7" i="5"/>
  <c r="BQ7" i="5" s="1"/>
  <c r="BS7" i="5" s="1"/>
  <c r="BH7" i="5"/>
  <c r="BJ7" i="5" s="1"/>
  <c r="BG7" i="5"/>
  <c r="BI7" i="5" s="1"/>
  <c r="AY7" i="5"/>
  <c r="BA7" i="5" s="1"/>
  <c r="H7" i="5"/>
  <c r="J7" i="5" s="1"/>
  <c r="L7" i="5" s="1"/>
  <c r="N7" i="5" s="1"/>
  <c r="P7" i="5" s="1"/>
  <c r="R7" i="5" s="1"/>
  <c r="T7" i="5" s="1"/>
  <c r="V7" i="5" s="1"/>
  <c r="X7" i="5" s="1"/>
  <c r="Z7" i="5" s="1"/>
  <c r="AB7" i="5" s="1"/>
  <c r="AD7" i="5" s="1"/>
  <c r="AF7" i="5" s="1"/>
  <c r="AH7" i="5" s="1"/>
  <c r="AJ7" i="5" s="1"/>
  <c r="AL7" i="5" s="1"/>
  <c r="AN7" i="5" s="1"/>
  <c r="AP7" i="5" s="1"/>
  <c r="AR7" i="5" s="1"/>
  <c r="AT7" i="5" s="1"/>
  <c r="AV7" i="5" s="1"/>
  <c r="AX7" i="5" s="1"/>
  <c r="G7" i="5"/>
  <c r="I7" i="5" s="1"/>
  <c r="K7" i="5" s="1"/>
  <c r="M7" i="5" s="1"/>
  <c r="O7" i="5" s="1"/>
  <c r="Q7" i="5" s="1"/>
  <c r="S7" i="5" s="1"/>
  <c r="U7" i="5" s="1"/>
  <c r="W7" i="5" s="1"/>
  <c r="Y7" i="5" s="1"/>
  <c r="AA7" i="5" s="1"/>
  <c r="AC7" i="5" s="1"/>
  <c r="AE7" i="5" s="1"/>
  <c r="AG7" i="5" s="1"/>
  <c r="AI7" i="5" s="1"/>
  <c r="AK7" i="5" s="1"/>
  <c r="AM7" i="5" s="1"/>
  <c r="AO7" i="5" s="1"/>
  <c r="AQ7" i="5" s="1"/>
  <c r="AS7" i="5" s="1"/>
  <c r="AU7" i="5" s="1"/>
  <c r="AW7" i="5" s="1"/>
  <c r="S10" i="11" l="1"/>
  <c r="BJ38" i="5"/>
  <c r="BE8" i="5"/>
  <c r="AD8" i="5"/>
  <c r="W25" i="11"/>
  <c r="CA25" i="11" s="1"/>
  <c r="BU25" i="11"/>
  <c r="DS37" i="11"/>
  <c r="BI20" i="5"/>
  <c r="W24" i="11"/>
  <c r="BL8" i="5"/>
  <c r="AB112" i="11"/>
  <c r="X31" i="11"/>
  <c r="AB104" i="11"/>
  <c r="W34" i="11"/>
  <c r="CA34" i="11" s="1"/>
  <c r="BV99" i="11"/>
  <c r="CO8" i="5"/>
  <c r="T47" i="11"/>
  <c r="BV47" i="11" s="1"/>
  <c r="DU47" i="11"/>
  <c r="AD75" i="11"/>
  <c r="C70" i="5"/>
  <c r="H101" i="1"/>
  <c r="O9" i="11"/>
  <c r="O87" i="11" s="1"/>
  <c r="BO87" i="11" s="1"/>
  <c r="L74" i="11"/>
  <c r="L75" i="11" s="1"/>
  <c r="T10" i="11"/>
  <c r="BB91" i="11"/>
  <c r="BD36" i="5"/>
  <c r="T117" i="8"/>
  <c r="AX117" i="8" s="1"/>
  <c r="AY74" i="11"/>
  <c r="AT80" i="5"/>
  <c r="W97" i="11"/>
  <c r="CA97" i="11" s="1"/>
  <c r="D37" i="5"/>
  <c r="X23" i="11"/>
  <c r="X45" i="11"/>
  <c r="AA108" i="11"/>
  <c r="AA104" i="11"/>
  <c r="AG70" i="5"/>
  <c r="D83" i="5"/>
  <c r="X26" i="11"/>
  <c r="CB26" i="11" s="1"/>
  <c r="N8" i="5"/>
  <c r="BG87" i="11"/>
  <c r="BG77" i="11" s="1"/>
  <c r="BX8" i="5"/>
  <c r="CV8" i="5"/>
  <c r="DP8" i="5"/>
  <c r="BP10" i="11"/>
  <c r="BC98" i="5"/>
  <c r="BC99" i="5" s="1"/>
  <c r="X61" i="11"/>
  <c r="CB61" i="11" s="1"/>
  <c r="BA91" i="11"/>
  <c r="C37" i="5"/>
  <c r="P117" i="8"/>
  <c r="BV117" i="8" s="1"/>
  <c r="BH67" i="5"/>
  <c r="BJ69" i="5"/>
  <c r="F72" i="5"/>
  <c r="BB72" i="5" s="1"/>
  <c r="BH37" i="5"/>
  <c r="BJ37" i="5" s="1"/>
  <c r="CF67" i="5"/>
  <c r="L9" i="9"/>
  <c r="AA9" i="9"/>
  <c r="AS8" i="5"/>
  <c r="AH26" i="5"/>
  <c r="BA126" i="1"/>
  <c r="DU126" i="1" s="1"/>
  <c r="BX36" i="5"/>
  <c r="BX63" i="5" s="1"/>
  <c r="P37" i="11"/>
  <c r="BP37" i="11" s="1"/>
  <c r="F74" i="11"/>
  <c r="F75" i="11" s="1"/>
  <c r="BH73" i="5"/>
  <c r="BB125" i="1"/>
  <c r="DV125" i="1" s="1"/>
  <c r="AT8" i="5"/>
  <c r="CI8" i="5"/>
  <c r="DG8" i="5"/>
  <c r="BB126" i="1"/>
  <c r="DV126" i="1" s="1"/>
  <c r="AC9" i="5"/>
  <c r="AC8" i="5" s="1"/>
  <c r="BN74" i="11"/>
  <c r="M13" i="5"/>
  <c r="BJ17" i="5"/>
  <c r="BK36" i="5"/>
  <c r="L37" i="5"/>
  <c r="E41" i="5"/>
  <c r="DU41" i="5" s="1"/>
  <c r="I87" i="5"/>
  <c r="K87" i="5" s="1"/>
  <c r="BI87" i="5" s="1"/>
  <c r="AC114" i="8"/>
  <c r="BF114" i="1" s="1"/>
  <c r="BM10" i="5"/>
  <c r="BS10" i="5" s="1"/>
  <c r="CU8" i="5"/>
  <c r="BO92" i="5"/>
  <c r="BI93" i="5"/>
  <c r="BA125" i="1"/>
  <c r="DU125" i="1" s="1"/>
  <c r="J8" i="5"/>
  <c r="BQ8" i="5"/>
  <c r="DM8" i="5"/>
  <c r="DM76" i="5" s="1"/>
  <c r="DM66" i="5" s="1"/>
  <c r="AO71" i="5"/>
  <c r="AO70" i="5" s="1"/>
  <c r="D70" i="5"/>
  <c r="BL80" i="5"/>
  <c r="I80" i="5"/>
  <c r="BJ90" i="5"/>
  <c r="DV95" i="5"/>
  <c r="P9" i="9"/>
  <c r="AD9" i="9"/>
  <c r="BB37" i="11"/>
  <c r="R8" i="5"/>
  <c r="BW8" i="5"/>
  <c r="BI35" i="5"/>
  <c r="BF36" i="5"/>
  <c r="DR37" i="5"/>
  <c r="DT37" i="5" s="1"/>
  <c r="BI42" i="5"/>
  <c r="BN67" i="5"/>
  <c r="M80" i="5"/>
  <c r="AS80" i="5"/>
  <c r="E9" i="9"/>
  <c r="T9" i="9"/>
  <c r="R9" i="9"/>
  <c r="K87" i="11"/>
  <c r="BI87" i="11" s="1"/>
  <c r="G101" i="8"/>
  <c r="AF101" i="8" s="1"/>
  <c r="T27" i="11"/>
  <c r="BV27" i="11" s="1"/>
  <c r="BD63" i="5"/>
  <c r="BD64" i="5" s="1"/>
  <c r="DA8" i="5"/>
  <c r="BN25" i="5"/>
  <c r="BT25" i="5" s="1"/>
  <c r="BZ25" i="5" s="1"/>
  <c r="CF25" i="5" s="1"/>
  <c r="CL25" i="5" s="1"/>
  <c r="CR25" i="5" s="1"/>
  <c r="CX25" i="5" s="1"/>
  <c r="DD25" i="5" s="1"/>
  <c r="DJ25" i="5" s="1"/>
  <c r="CL67" i="5"/>
  <c r="X35" i="11"/>
  <c r="BJ18" i="5"/>
  <c r="BJ21" i="5"/>
  <c r="DT70" i="5"/>
  <c r="D73" i="5"/>
  <c r="C83" i="5"/>
  <c r="C80" i="5" s="1"/>
  <c r="D81" i="8"/>
  <c r="BL81" i="8" s="1"/>
  <c r="G8" i="5"/>
  <c r="BJ25" i="5"/>
  <c r="L70" i="5"/>
  <c r="BJ70" i="5" s="1"/>
  <c r="D80" i="5"/>
  <c r="AC80" i="5"/>
  <c r="H9" i="8"/>
  <c r="X9" i="8"/>
  <c r="AP9" i="8"/>
  <c r="BJ9" i="8"/>
  <c r="AA47" i="8"/>
  <c r="BK47" i="8" s="1"/>
  <c r="AC37" i="8"/>
  <c r="DT11" i="1"/>
  <c r="BB11" i="1"/>
  <c r="BB118" i="1"/>
  <c r="DG36" i="5"/>
  <c r="D26" i="5"/>
  <c r="BW36" i="5"/>
  <c r="CU36" i="5"/>
  <c r="L67" i="5"/>
  <c r="BJ67" i="5" s="1"/>
  <c r="C67" i="5"/>
  <c r="DJ67" i="5"/>
  <c r="BG73" i="5"/>
  <c r="BI91" i="5"/>
  <c r="H9" i="9"/>
  <c r="X9" i="9"/>
  <c r="AK36" i="5"/>
  <c r="L73" i="5"/>
  <c r="BJ73" i="5" s="1"/>
  <c r="AW9" i="5"/>
  <c r="AH9" i="5"/>
  <c r="AH8" i="5" s="1"/>
  <c r="CX67" i="5"/>
  <c r="Q80" i="5"/>
  <c r="AG80" i="5"/>
  <c r="BO91" i="5"/>
  <c r="AC114" i="9"/>
  <c r="BG114" i="9" s="1"/>
  <c r="C75" i="11"/>
  <c r="C76" i="11"/>
  <c r="Z8" i="5"/>
  <c r="BJ32" i="5"/>
  <c r="AO36" i="5"/>
  <c r="BG39" i="5"/>
  <c r="BM39" i="5" s="1"/>
  <c r="BS39" i="5" s="1"/>
  <c r="BY39" i="5" s="1"/>
  <c r="CE39" i="5" s="1"/>
  <c r="CK39" i="5" s="1"/>
  <c r="CQ39" i="5" s="1"/>
  <c r="CW39" i="5" s="1"/>
  <c r="DC39" i="5" s="1"/>
  <c r="DI39" i="5" s="1"/>
  <c r="BL36" i="5"/>
  <c r="BL63" i="5" s="1"/>
  <c r="CJ36" i="5"/>
  <c r="CJ63" i="5" s="1"/>
  <c r="DH36" i="5"/>
  <c r="DH63" i="5" s="1"/>
  <c r="DP36" i="5"/>
  <c r="X117" i="8"/>
  <c r="D117" i="8" s="1"/>
  <c r="AA47" i="9"/>
  <c r="BK47" i="9" s="1"/>
  <c r="D75" i="11"/>
  <c r="D76" i="11"/>
  <c r="CI36" i="5"/>
  <c r="AT36" i="5"/>
  <c r="AT63" i="5" s="1"/>
  <c r="AT64" i="5" s="1"/>
  <c r="DD67" i="5"/>
  <c r="BJ72" i="5"/>
  <c r="P9" i="8"/>
  <c r="AD9" i="8"/>
  <c r="BB9" i="8"/>
  <c r="L117" i="8"/>
  <c r="E114" i="9"/>
  <c r="AI114" i="9" s="1"/>
  <c r="F87" i="11"/>
  <c r="F77" i="11" s="1"/>
  <c r="D9" i="5"/>
  <c r="D99" i="5" s="1"/>
  <c r="I9" i="5"/>
  <c r="BI16" i="5"/>
  <c r="BI19" i="5"/>
  <c r="BJ22" i="5"/>
  <c r="BJ52" i="5"/>
  <c r="AC46" i="5"/>
  <c r="AC36" i="5" s="1"/>
  <c r="BP91" i="5"/>
  <c r="AG9" i="8"/>
  <c r="AG74" i="8" s="1"/>
  <c r="H74" i="11"/>
  <c r="H76" i="11" s="1"/>
  <c r="BI13" i="5"/>
  <c r="CC8" i="5"/>
  <c r="DV31" i="5"/>
  <c r="CV36" i="5"/>
  <c r="CV63" i="5" s="1"/>
  <c r="DR46" i="5"/>
  <c r="L87" i="5"/>
  <c r="BZ101" i="1"/>
  <c r="CF12" i="1"/>
  <c r="CF11" i="1" s="1"/>
  <c r="DP11" i="1"/>
  <c r="AN101" i="1"/>
  <c r="X101" i="1"/>
  <c r="DD101" i="1"/>
  <c r="T101" i="1"/>
  <c r="AV101" i="1"/>
  <c r="CR101" i="1"/>
  <c r="DD12" i="1"/>
  <c r="DD11" i="1" s="1"/>
  <c r="Z36" i="5"/>
  <c r="E38" i="5"/>
  <c r="DV73" i="5"/>
  <c r="DT81" i="5"/>
  <c r="AJ9" i="8"/>
  <c r="T37" i="8"/>
  <c r="K24" i="5"/>
  <c r="BI24" i="5" s="1"/>
  <c r="BJ28" i="5"/>
  <c r="DV29" i="5"/>
  <c r="DR98" i="5"/>
  <c r="DV70" i="5"/>
  <c r="DU73" i="5"/>
  <c r="E9" i="8"/>
  <c r="T9" i="8"/>
  <c r="BH9" i="8"/>
  <c r="BI37" i="8"/>
  <c r="BR8" i="5"/>
  <c r="CD8" i="5"/>
  <c r="CP8" i="5"/>
  <c r="DB8" i="5"/>
  <c r="DN8" i="5"/>
  <c r="C9" i="5"/>
  <c r="C99" i="5" s="1"/>
  <c r="BM13" i="5"/>
  <c r="BS13" i="5" s="1"/>
  <c r="BY13" i="5" s="1"/>
  <c r="CE13" i="5" s="1"/>
  <c r="CK13" i="5" s="1"/>
  <c r="CQ13" i="5" s="1"/>
  <c r="CW13" i="5" s="1"/>
  <c r="DC13" i="5" s="1"/>
  <c r="DI13" i="5" s="1"/>
  <c r="BJ19" i="5"/>
  <c r="BJ24" i="5"/>
  <c r="DU31" i="5"/>
  <c r="BH46" i="5"/>
  <c r="BR36" i="5"/>
  <c r="CD36" i="5"/>
  <c r="CP36" i="5"/>
  <c r="DB36" i="5"/>
  <c r="DN36" i="5"/>
  <c r="E52" i="5"/>
  <c r="DV52" i="5" s="1"/>
  <c r="Q46" i="5"/>
  <c r="Q36" i="5" s="1"/>
  <c r="AW46" i="5"/>
  <c r="F67" i="5"/>
  <c r="BB67" i="5" s="1"/>
  <c r="J98" i="5"/>
  <c r="L98" i="5" s="1"/>
  <c r="BZ67" i="5"/>
  <c r="AK69" i="5"/>
  <c r="E69" i="5" s="1"/>
  <c r="BH70" i="5"/>
  <c r="F73" i="5"/>
  <c r="BB73" i="5" s="1"/>
  <c r="AZ80" i="5"/>
  <c r="DT80" i="5" s="1"/>
  <c r="BG87" i="5"/>
  <c r="BM87" i="5" s="1"/>
  <c r="BS87" i="5" s="1"/>
  <c r="BY87" i="5" s="1"/>
  <c r="CE87" i="5" s="1"/>
  <c r="CK87" i="5" s="1"/>
  <c r="CQ87" i="5" s="1"/>
  <c r="CW87" i="5" s="1"/>
  <c r="DC87" i="5" s="1"/>
  <c r="DI87" i="5" s="1"/>
  <c r="C37" i="10"/>
  <c r="P101" i="1"/>
  <c r="AY101" i="1"/>
  <c r="BZ12" i="1"/>
  <c r="BZ11" i="1" s="1"/>
  <c r="DR78" i="1"/>
  <c r="DR94" i="1"/>
  <c r="DR91" i="1" s="1"/>
  <c r="BN87" i="11"/>
  <c r="BN77" i="11" s="1"/>
  <c r="AS75" i="11"/>
  <c r="AS76" i="11"/>
  <c r="BK9" i="5"/>
  <c r="BK8" i="5" s="1"/>
  <c r="BK63" i="5" s="1"/>
  <c r="BJ30" i="5"/>
  <c r="DO36" i="5"/>
  <c r="DO63" i="5" s="1"/>
  <c r="DO64" i="5" s="1"/>
  <c r="BI41" i="5"/>
  <c r="AY46" i="5"/>
  <c r="DS46" i="5" s="1"/>
  <c r="K73" i="5"/>
  <c r="DT87" i="5"/>
  <c r="L9" i="8"/>
  <c r="AA9" i="8"/>
  <c r="AA118" i="8" s="1"/>
  <c r="AV9" i="8"/>
  <c r="H8" i="5"/>
  <c r="V8" i="5"/>
  <c r="V76" i="5" s="1"/>
  <c r="V66" i="5" s="1"/>
  <c r="AZ8" i="5"/>
  <c r="BF8" i="5"/>
  <c r="BF63" i="5" s="1"/>
  <c r="BF64" i="5" s="1"/>
  <c r="AX8" i="5"/>
  <c r="E35" i="5"/>
  <c r="DU35" i="5" s="1"/>
  <c r="AG36" i="5"/>
  <c r="AW37" i="5"/>
  <c r="BQ36" i="5"/>
  <c r="CC36" i="5"/>
  <c r="CO36" i="5"/>
  <c r="DA36" i="5"/>
  <c r="DA76" i="5" s="1"/>
  <c r="DA66" i="5" s="1"/>
  <c r="DM36" i="5"/>
  <c r="DQ36" i="5"/>
  <c r="D46" i="5"/>
  <c r="N36" i="5"/>
  <c r="AD36" i="5"/>
  <c r="AD63" i="5" s="1"/>
  <c r="AD64" i="5" s="1"/>
  <c r="AH36" i="5"/>
  <c r="AH76" i="5" s="1"/>
  <c r="AH66" i="5" s="1"/>
  <c r="AL36" i="5"/>
  <c r="AP36" i="5"/>
  <c r="AX36" i="5"/>
  <c r="BJ55" i="5"/>
  <c r="E57" i="5"/>
  <c r="E46" i="5" s="1"/>
  <c r="K67" i="5"/>
  <c r="BT67" i="5"/>
  <c r="D67" i="5"/>
  <c r="DS73" i="5"/>
  <c r="U80" i="5"/>
  <c r="AK80" i="5"/>
  <c r="AX80" i="5"/>
  <c r="BH81" i="5"/>
  <c r="Y80" i="5"/>
  <c r="AO80" i="5"/>
  <c r="J9" i="8"/>
  <c r="R9" i="8"/>
  <c r="Z9" i="8"/>
  <c r="D94" i="8"/>
  <c r="BL94" i="8" s="1"/>
  <c r="BI9" i="10"/>
  <c r="L101" i="1"/>
  <c r="AZ101" i="1"/>
  <c r="CX12" i="1"/>
  <c r="CX11" i="1" s="1"/>
  <c r="BM87" i="11"/>
  <c r="BM77" i="11" s="1"/>
  <c r="DP84" i="1"/>
  <c r="AF10" i="1"/>
  <c r="P10" i="1"/>
  <c r="L10" i="1"/>
  <c r="L87" i="1" s="1"/>
  <c r="L77" i="1" s="1"/>
  <c r="AN10" i="1"/>
  <c r="AR10" i="1"/>
  <c r="AB10" i="1"/>
  <c r="AB74" i="1" s="1"/>
  <c r="AJ10" i="1"/>
  <c r="AI101" i="1"/>
  <c r="AM101" i="1"/>
  <c r="AZ10" i="1"/>
  <c r="BN12" i="1"/>
  <c r="BN11" i="1" s="1"/>
  <c r="CR12" i="1"/>
  <c r="CQ101" i="1"/>
  <c r="DO78" i="1"/>
  <c r="DO81" i="1"/>
  <c r="DO84" i="1"/>
  <c r="DQ44" i="1"/>
  <c r="J10" i="1"/>
  <c r="AV10" i="1"/>
  <c r="T10" i="1"/>
  <c r="K101" i="1"/>
  <c r="X10" i="1"/>
  <c r="AB101" i="1"/>
  <c r="AJ101" i="1"/>
  <c r="DR12" i="1"/>
  <c r="DQ101" i="1"/>
  <c r="AA101" i="1"/>
  <c r="CL12" i="1"/>
  <c r="DP44" i="1"/>
  <c r="DP78" i="1"/>
  <c r="DP81" i="1"/>
  <c r="DO94" i="1"/>
  <c r="DO91" i="1" s="1"/>
  <c r="DO101" i="1"/>
  <c r="DR55" i="1"/>
  <c r="DQ78" i="1"/>
  <c r="DQ81" i="1"/>
  <c r="DQ84" i="1"/>
  <c r="CW101" i="1"/>
  <c r="AE101" i="1"/>
  <c r="AU101" i="1"/>
  <c r="BA101" i="1"/>
  <c r="BF101" i="1"/>
  <c r="BG101" i="1"/>
  <c r="BS101" i="1"/>
  <c r="CF101" i="1"/>
  <c r="CK101" i="1"/>
  <c r="DP12" i="1"/>
  <c r="DQ14" i="1"/>
  <c r="DR14" i="1" s="1"/>
  <c r="BI12" i="8" s="1"/>
  <c r="DQ11" i="1"/>
  <c r="BM101" i="1"/>
  <c r="CE101" i="1"/>
  <c r="DO14" i="1"/>
  <c r="DP14" i="1" s="1"/>
  <c r="BH12" i="8" s="1"/>
  <c r="DO11" i="1"/>
  <c r="DR11" i="1"/>
  <c r="BI110" i="1"/>
  <c r="BO110" i="1" s="1"/>
  <c r="BU110" i="1" s="1"/>
  <c r="CA110" i="1" s="1"/>
  <c r="CG110" i="1" s="1"/>
  <c r="CM110" i="1" s="1"/>
  <c r="CS110" i="1" s="1"/>
  <c r="CY110" i="1" s="1"/>
  <c r="DE110" i="1" s="1"/>
  <c r="DK110" i="1" s="1"/>
  <c r="BI112" i="1"/>
  <c r="BO112" i="1" s="1"/>
  <c r="BU112" i="1" s="1"/>
  <c r="CA112" i="1" s="1"/>
  <c r="CG112" i="1" s="1"/>
  <c r="CM112" i="1" s="1"/>
  <c r="CS112" i="1" s="1"/>
  <c r="CY112" i="1" s="1"/>
  <c r="DE112" i="1" s="1"/>
  <c r="DK112" i="1" s="1"/>
  <c r="BT101" i="1"/>
  <c r="DJ12" i="1"/>
  <c r="DJ11" i="1" s="1"/>
  <c r="S101" i="1"/>
  <c r="W101" i="1"/>
  <c r="AF101" i="1"/>
  <c r="BH12" i="1"/>
  <c r="BH11" i="1" s="1"/>
  <c r="BN101" i="1"/>
  <c r="CX101" i="1"/>
  <c r="DC101" i="1"/>
  <c r="DP94" i="1"/>
  <c r="DP91" i="1" s="1"/>
  <c r="DP101" i="1"/>
  <c r="DQ56" i="1"/>
  <c r="DR81" i="1"/>
  <c r="DR84" i="1"/>
  <c r="DQ94" i="1"/>
  <c r="DQ91" i="1" s="1"/>
  <c r="AQ101" i="1"/>
  <c r="BI109" i="1"/>
  <c r="BO109" i="1" s="1"/>
  <c r="BU109" i="1" s="1"/>
  <c r="CA109" i="1" s="1"/>
  <c r="CG109" i="1" s="1"/>
  <c r="CM109" i="1" s="1"/>
  <c r="CS109" i="1" s="1"/>
  <c r="CY109" i="1" s="1"/>
  <c r="DE109" i="1" s="1"/>
  <c r="DK109" i="1" s="1"/>
  <c r="BI111" i="1"/>
  <c r="BO111" i="1" s="1"/>
  <c r="BU111" i="1" s="1"/>
  <c r="CA111" i="1" s="1"/>
  <c r="CG111" i="1" s="1"/>
  <c r="CM111" i="1" s="1"/>
  <c r="CS111" i="1" s="1"/>
  <c r="CY111" i="1" s="1"/>
  <c r="DE111" i="1" s="1"/>
  <c r="DK111" i="1" s="1"/>
  <c r="DI101" i="1"/>
  <c r="O101" i="1"/>
  <c r="BJ109" i="1"/>
  <c r="BP109" i="1" s="1"/>
  <c r="BV109" i="1" s="1"/>
  <c r="CB109" i="1" s="1"/>
  <c r="CH109" i="1" s="1"/>
  <c r="CN109" i="1" s="1"/>
  <c r="CT109" i="1" s="1"/>
  <c r="CZ109" i="1" s="1"/>
  <c r="DF109" i="1" s="1"/>
  <c r="DL109" i="1" s="1"/>
  <c r="BT12" i="1"/>
  <c r="BT11" i="1" s="1"/>
  <c r="BY101" i="1"/>
  <c r="CL101" i="1"/>
  <c r="DO44" i="1"/>
  <c r="DP56" i="1"/>
  <c r="DR44" i="1"/>
  <c r="DR101" i="1"/>
  <c r="AR101" i="1"/>
  <c r="DJ101" i="1"/>
  <c r="BJ10" i="5"/>
  <c r="L9" i="5"/>
  <c r="L26" i="5"/>
  <c r="DR26" i="5"/>
  <c r="DT26" i="5" s="1"/>
  <c r="V36" i="5"/>
  <c r="BB38" i="5"/>
  <c r="F37" i="5"/>
  <c r="F46" i="5"/>
  <c r="L48" i="5"/>
  <c r="BJ48" i="5" s="1"/>
  <c r="DU57" i="5"/>
  <c r="BD80" i="5"/>
  <c r="F81" i="5"/>
  <c r="K83" i="5"/>
  <c r="BI83" i="5" s="1"/>
  <c r="DS83" i="5"/>
  <c r="AY80" i="5"/>
  <c r="DS80" i="5" s="1"/>
  <c r="BH87" i="5"/>
  <c r="DV89" i="5"/>
  <c r="BA89" i="5"/>
  <c r="BP92" i="5"/>
  <c r="T92" i="5"/>
  <c r="BV92" i="5" s="1"/>
  <c r="DV93" i="5"/>
  <c r="BP96" i="5"/>
  <c r="T96" i="5"/>
  <c r="BV96" i="5" s="1"/>
  <c r="BE101" i="1"/>
  <c r="BM14" i="5"/>
  <c r="BS14" i="5" s="1"/>
  <c r="BY14" i="5" s="1"/>
  <c r="CE14" i="5" s="1"/>
  <c r="CK14" i="5" s="1"/>
  <c r="CQ14" i="5" s="1"/>
  <c r="CW14" i="5" s="1"/>
  <c r="DC14" i="5" s="1"/>
  <c r="DI14" i="5" s="1"/>
  <c r="BG9" i="5"/>
  <c r="K25" i="5"/>
  <c r="M25" i="5"/>
  <c r="Q25" i="5" s="1"/>
  <c r="BH26" i="5"/>
  <c r="M28" i="5"/>
  <c r="M26" i="5" s="1"/>
  <c r="I26" i="5"/>
  <c r="K28" i="5"/>
  <c r="BI28" i="5" s="1"/>
  <c r="BM28" i="5"/>
  <c r="BS28" i="5" s="1"/>
  <c r="BY28" i="5" s="1"/>
  <c r="CE28" i="5" s="1"/>
  <c r="CK28" i="5" s="1"/>
  <c r="CQ28" i="5" s="1"/>
  <c r="CW28" i="5" s="1"/>
  <c r="DC28" i="5" s="1"/>
  <c r="DI28" i="5" s="1"/>
  <c r="BG26" i="5"/>
  <c r="BI29" i="5"/>
  <c r="DV39" i="5"/>
  <c r="DU39" i="5"/>
  <c r="H46" i="5"/>
  <c r="AZ46" i="5"/>
  <c r="BJ54" i="5"/>
  <c r="Y46" i="5"/>
  <c r="Y36" i="5" s="1"/>
  <c r="M46" i="5"/>
  <c r="M36" i="5" s="1"/>
  <c r="BM55" i="5"/>
  <c r="BS55" i="5" s="1"/>
  <c r="BY55" i="5" s="1"/>
  <c r="CE55" i="5" s="1"/>
  <c r="CK55" i="5" s="1"/>
  <c r="CQ55" i="5" s="1"/>
  <c r="CW55" i="5" s="1"/>
  <c r="DC55" i="5" s="1"/>
  <c r="DI55" i="5" s="1"/>
  <c r="BG46" i="5"/>
  <c r="BJ68" i="5"/>
  <c r="P68" i="5"/>
  <c r="BP68" i="5" s="1"/>
  <c r="AK70" i="5"/>
  <c r="BM71" i="5"/>
  <c r="BS71" i="5" s="1"/>
  <c r="BG70" i="5"/>
  <c r="BI72" i="5"/>
  <c r="K70" i="5"/>
  <c r="DS72" i="5"/>
  <c r="AY70" i="5"/>
  <c r="DS70" i="5" s="1"/>
  <c r="P87" i="5"/>
  <c r="BJ37" i="8"/>
  <c r="BJ87" i="8" s="1"/>
  <c r="BJ77" i="8" s="1"/>
  <c r="DS19" i="5"/>
  <c r="AY9" i="5"/>
  <c r="AY8" i="5" s="1"/>
  <c r="DS37" i="5"/>
  <c r="E68" i="5"/>
  <c r="F87" i="5"/>
  <c r="BB87" i="5" s="1"/>
  <c r="BB90" i="5"/>
  <c r="E90" i="5"/>
  <c r="BA90" i="5" s="1"/>
  <c r="Y87" i="5"/>
  <c r="BP94" i="5"/>
  <c r="T94" i="5"/>
  <c r="BV94" i="5" s="1"/>
  <c r="BL42" i="8"/>
  <c r="D38" i="8"/>
  <c r="BL38" i="8" s="1"/>
  <c r="BH9" i="5"/>
  <c r="P25" i="5"/>
  <c r="T25" i="5" s="1"/>
  <c r="X25" i="5" s="1"/>
  <c r="C26" i="5"/>
  <c r="P28" i="5"/>
  <c r="T28" i="5" s="1"/>
  <c r="DS28" i="5"/>
  <c r="DQ26" i="5"/>
  <c r="DQ8" i="5" s="1"/>
  <c r="AW26" i="5"/>
  <c r="J36" i="5"/>
  <c r="R36" i="5"/>
  <c r="R76" i="5" s="1"/>
  <c r="R66" i="5" s="1"/>
  <c r="K54" i="5"/>
  <c r="O54" i="5" s="1"/>
  <c r="G46" i="5"/>
  <c r="AS46" i="5"/>
  <c r="AS36" i="5" s="1"/>
  <c r="C46" i="5"/>
  <c r="C36" i="5" s="1"/>
  <c r="I46" i="5"/>
  <c r="U46" i="5"/>
  <c r="U36" i="5" s="1"/>
  <c r="BG67" i="5"/>
  <c r="G80" i="5"/>
  <c r="AJ37" i="8"/>
  <c r="AP37" i="8"/>
  <c r="AP87" i="8" s="1"/>
  <c r="AP77" i="8" s="1"/>
  <c r="AV37" i="8"/>
  <c r="BB37" i="8"/>
  <c r="BH37" i="8"/>
  <c r="M117" i="8"/>
  <c r="AC37" i="9"/>
  <c r="BH101" i="1"/>
  <c r="BG74" i="11"/>
  <c r="CO63" i="5"/>
  <c r="CO64" i="5" s="1"/>
  <c r="BJ13" i="5"/>
  <c r="BJ16" i="5"/>
  <c r="BM18" i="5"/>
  <c r="BS18" i="5" s="1"/>
  <c r="BY18" i="5" s="1"/>
  <c r="CE18" i="5" s="1"/>
  <c r="CK18" i="5" s="1"/>
  <c r="CQ18" i="5" s="1"/>
  <c r="CW18" i="5" s="1"/>
  <c r="DC18" i="5" s="1"/>
  <c r="DI18" i="5" s="1"/>
  <c r="DV27" i="5"/>
  <c r="K38" i="5"/>
  <c r="K37" i="5" s="1"/>
  <c r="BC37" i="5"/>
  <c r="BC36" i="5" s="1"/>
  <c r="BC76" i="5" s="1"/>
  <c r="BC66" i="5" s="1"/>
  <c r="BJ39" i="5"/>
  <c r="BJ42" i="5"/>
  <c r="BI43" i="5"/>
  <c r="K48" i="5"/>
  <c r="BI48" i="5" s="1"/>
  <c r="K55" i="5"/>
  <c r="BI55" i="5" s="1"/>
  <c r="BI57" i="5"/>
  <c r="K60" i="5"/>
  <c r="I98" i="5"/>
  <c r="K98" i="5" s="1"/>
  <c r="DT67" i="5"/>
  <c r="CR67" i="5"/>
  <c r="K81" i="5"/>
  <c r="BG81" i="5"/>
  <c r="BG80" i="5" s="1"/>
  <c r="L83" i="5"/>
  <c r="P83" i="5" s="1"/>
  <c r="BI90" i="5"/>
  <c r="BI92" i="5"/>
  <c r="F37" i="8"/>
  <c r="AM37" i="8"/>
  <c r="AY37" i="8"/>
  <c r="C9" i="9"/>
  <c r="J9" i="9"/>
  <c r="Z9" i="9"/>
  <c r="AG9" i="9"/>
  <c r="H9" i="10"/>
  <c r="P9" i="10"/>
  <c r="X9" i="10"/>
  <c r="AD9" i="10"/>
  <c r="AP9" i="10"/>
  <c r="Q110" i="1"/>
  <c r="U110" i="1" s="1"/>
  <c r="BW110" i="1" s="1"/>
  <c r="E37" i="11"/>
  <c r="E87" i="11" s="1"/>
  <c r="DO56" i="1"/>
  <c r="DR56" i="1"/>
  <c r="BI9" i="11"/>
  <c r="CI63" i="5"/>
  <c r="CI64" i="5" s="1"/>
  <c r="CU63" i="5"/>
  <c r="CU64" i="5" s="1"/>
  <c r="BJ12" i="5"/>
  <c r="P13" i="5"/>
  <c r="BP13" i="5" s="1"/>
  <c r="BM15" i="5"/>
  <c r="BS15" i="5" s="1"/>
  <c r="BY15" i="5" s="1"/>
  <c r="CE15" i="5" s="1"/>
  <c r="CK15" i="5" s="1"/>
  <c r="CQ15" i="5" s="1"/>
  <c r="CW15" i="5" s="1"/>
  <c r="DC15" i="5" s="1"/>
  <c r="DI15" i="5" s="1"/>
  <c r="BJ29" i="5"/>
  <c r="BI32" i="5"/>
  <c r="BE37" i="5"/>
  <c r="BE36" i="5" s="1"/>
  <c r="BE63" i="5" s="1"/>
  <c r="BJ60" i="5"/>
  <c r="BD98" i="5"/>
  <c r="BD99" i="5" s="1"/>
  <c r="DQ98" i="5"/>
  <c r="BJ74" i="5"/>
  <c r="C73" i="5"/>
  <c r="DS81" i="5"/>
  <c r="DV92" i="5"/>
  <c r="DV94" i="5"/>
  <c r="DV96" i="5"/>
  <c r="AG37" i="8"/>
  <c r="AS37" i="8"/>
  <c r="BE37" i="8"/>
  <c r="E114" i="8"/>
  <c r="F114" i="8" s="1"/>
  <c r="F9" i="9"/>
  <c r="N9" i="9"/>
  <c r="V9" i="9"/>
  <c r="E9" i="10"/>
  <c r="L9" i="10"/>
  <c r="T9" i="10"/>
  <c r="AA9" i="10"/>
  <c r="AJ9" i="10"/>
  <c r="AV9" i="10"/>
  <c r="R37" i="10"/>
  <c r="G111" i="1"/>
  <c r="DW111" i="1" s="1"/>
  <c r="DT87" i="11"/>
  <c r="AZ77" i="11"/>
  <c r="DT114" i="11"/>
  <c r="BJ37" i="11"/>
  <c r="L87" i="11"/>
  <c r="Z75" i="11"/>
  <c r="Z76" i="11"/>
  <c r="BB47" i="11"/>
  <c r="DV47" i="11"/>
  <c r="T94" i="11"/>
  <c r="P91" i="11"/>
  <c r="BP91" i="11" s="1"/>
  <c r="BP94" i="11"/>
  <c r="AW75" i="11"/>
  <c r="AW76" i="11"/>
  <c r="J101" i="1"/>
  <c r="R112" i="1"/>
  <c r="BR112" i="1" s="1"/>
  <c r="M109" i="1"/>
  <c r="BK109" i="1" s="1"/>
  <c r="I101" i="1"/>
  <c r="H112" i="1"/>
  <c r="DX112" i="1" s="1"/>
  <c r="BB101" i="1"/>
  <c r="DT10" i="1"/>
  <c r="N112" i="1"/>
  <c r="BL112" i="1" s="1"/>
  <c r="G110" i="1"/>
  <c r="DW110" i="1" s="1"/>
  <c r="Q111" i="1"/>
  <c r="U111" i="1" s="1"/>
  <c r="Y111" i="1" s="1"/>
  <c r="AC111" i="1" s="1"/>
  <c r="G109" i="1"/>
  <c r="M110" i="1"/>
  <c r="BK110" i="1" s="1"/>
  <c r="M111" i="1"/>
  <c r="BK111" i="1" s="1"/>
  <c r="G112" i="1"/>
  <c r="BF10" i="1"/>
  <c r="BJ112" i="1"/>
  <c r="BP112" i="1" s="1"/>
  <c r="BV112" i="1" s="1"/>
  <c r="CB112" i="1" s="1"/>
  <c r="CH112" i="1" s="1"/>
  <c r="CN112" i="1" s="1"/>
  <c r="CT112" i="1" s="1"/>
  <c r="CZ112" i="1" s="1"/>
  <c r="DF112" i="1" s="1"/>
  <c r="DL112" i="1" s="1"/>
  <c r="Q112" i="1"/>
  <c r="M112" i="1"/>
  <c r="BK112" i="1" s="1"/>
  <c r="Q109" i="1"/>
  <c r="U109" i="1" s="1"/>
  <c r="Y109" i="1" s="1"/>
  <c r="I12" i="1"/>
  <c r="I11" i="1" s="1"/>
  <c r="H109" i="1"/>
  <c r="BD109" i="1" s="1"/>
  <c r="H110" i="1"/>
  <c r="DX110" i="1" s="1"/>
  <c r="H111" i="1"/>
  <c r="DX111" i="1" s="1"/>
  <c r="CE12" i="1"/>
  <c r="CE11" i="1" s="1"/>
  <c r="O12" i="1"/>
  <c r="O11" i="1" s="1"/>
  <c r="W12" i="1"/>
  <c r="W11" i="1" s="1"/>
  <c r="AE12" i="1"/>
  <c r="AE11" i="1" s="1"/>
  <c r="AO75" i="11"/>
  <c r="AO76" i="11"/>
  <c r="I75" i="11"/>
  <c r="I76" i="11"/>
  <c r="AG75" i="11"/>
  <c r="AG76" i="11"/>
  <c r="Q75" i="11"/>
  <c r="Q76" i="11"/>
  <c r="AM12" i="1"/>
  <c r="AM11" i="1" s="1"/>
  <c r="AU12" i="1"/>
  <c r="AU11" i="1" s="1"/>
  <c r="BJ110" i="1"/>
  <c r="BP110" i="1" s="1"/>
  <c r="BV110" i="1" s="1"/>
  <c r="CB110" i="1" s="1"/>
  <c r="CH110" i="1" s="1"/>
  <c r="CN110" i="1" s="1"/>
  <c r="CT110" i="1" s="1"/>
  <c r="CZ110" i="1" s="1"/>
  <c r="DF110" i="1" s="1"/>
  <c r="DL110" i="1" s="1"/>
  <c r="BJ111" i="1"/>
  <c r="BP111" i="1" s="1"/>
  <c r="BV111" i="1" s="1"/>
  <c r="CB111" i="1" s="1"/>
  <c r="CH111" i="1" s="1"/>
  <c r="CN111" i="1" s="1"/>
  <c r="CT111" i="1" s="1"/>
  <c r="CZ111" i="1" s="1"/>
  <c r="DF111" i="1" s="1"/>
  <c r="DL111" i="1" s="1"/>
  <c r="CK12" i="1"/>
  <c r="CK11" i="1" s="1"/>
  <c r="CQ12" i="1"/>
  <c r="CQ11" i="1" s="1"/>
  <c r="CW12" i="1"/>
  <c r="CW11" i="1" s="1"/>
  <c r="DC12" i="1"/>
  <c r="DC11" i="1" s="1"/>
  <c r="DI12" i="1"/>
  <c r="DI11" i="1" s="1"/>
  <c r="DO12" i="1"/>
  <c r="DQ12" i="1"/>
  <c r="DS118" i="1"/>
  <c r="K12" i="1"/>
  <c r="K11" i="1" s="1"/>
  <c r="R109" i="1"/>
  <c r="V109" i="1" s="1"/>
  <c r="S12" i="1"/>
  <c r="S11" i="1" s="1"/>
  <c r="AA12" i="1"/>
  <c r="AA11" i="1" s="1"/>
  <c r="AI12" i="1"/>
  <c r="AI11" i="1" s="1"/>
  <c r="AQ12" i="1"/>
  <c r="AQ11" i="1" s="1"/>
  <c r="AY12" i="1"/>
  <c r="AY11" i="1" s="1"/>
  <c r="N109" i="1"/>
  <c r="BL109" i="1" s="1"/>
  <c r="BB10" i="1"/>
  <c r="CE84" i="1"/>
  <c r="DV109" i="1"/>
  <c r="R110" i="1"/>
  <c r="V110" i="1" s="1"/>
  <c r="R111" i="1"/>
  <c r="BR111" i="1" s="1"/>
  <c r="BT14" i="1"/>
  <c r="AJ12" i="8"/>
  <c r="BR12" i="11" s="1"/>
  <c r="N111" i="1"/>
  <c r="BL111" i="1" s="1"/>
  <c r="DV110" i="1"/>
  <c r="N110" i="1"/>
  <c r="BL110" i="1" s="1"/>
  <c r="G47" i="8"/>
  <c r="AF47" i="8" s="1"/>
  <c r="E37" i="8"/>
  <c r="C9" i="8"/>
  <c r="F9" i="8"/>
  <c r="N9" i="8"/>
  <c r="V9" i="8"/>
  <c r="AC9" i="8"/>
  <c r="AM9" i="8"/>
  <c r="AM87" i="8" s="1"/>
  <c r="AM77" i="8" s="1"/>
  <c r="AS9" i="8"/>
  <c r="AS87" i="8" s="1"/>
  <c r="AS77" i="8" s="1"/>
  <c r="AY9" i="8"/>
  <c r="BE9" i="8"/>
  <c r="BE74" i="8" s="1"/>
  <c r="BE75" i="8" s="1"/>
  <c r="BI9" i="8"/>
  <c r="H37" i="8"/>
  <c r="L37" i="8"/>
  <c r="P37" i="8"/>
  <c r="X37" i="8"/>
  <c r="X74" i="8" s="1"/>
  <c r="D78" i="8"/>
  <c r="BL78" i="8" s="1"/>
  <c r="AE78" i="8"/>
  <c r="BJ114" i="8"/>
  <c r="BJ118" i="8" s="1"/>
  <c r="T74" i="8"/>
  <c r="T75" i="8" s="1"/>
  <c r="F9" i="10"/>
  <c r="Q117" i="8"/>
  <c r="AU117" i="8" s="1"/>
  <c r="AV117" i="8" s="1"/>
  <c r="Q116" i="8"/>
  <c r="Q115" i="8"/>
  <c r="BS12" i="1"/>
  <c r="BS11" i="1" s="1"/>
  <c r="AG37" i="9"/>
  <c r="S94" i="11"/>
  <c r="O91" i="11"/>
  <c r="BO91" i="11" s="1"/>
  <c r="BO94" i="11"/>
  <c r="BT94" i="11"/>
  <c r="BN91" i="11"/>
  <c r="H37" i="9"/>
  <c r="P37" i="9"/>
  <c r="X37" i="9"/>
  <c r="X74" i="9" s="1"/>
  <c r="D49" i="9"/>
  <c r="BL49" i="9" s="1"/>
  <c r="AE84" i="9"/>
  <c r="AE101" i="10"/>
  <c r="C37" i="9"/>
  <c r="BS94" i="11"/>
  <c r="BM91" i="11"/>
  <c r="AC75" i="11"/>
  <c r="AC76" i="11"/>
  <c r="U75" i="11"/>
  <c r="U76" i="11"/>
  <c r="AE78" i="9"/>
  <c r="AE101" i="9"/>
  <c r="AH101" i="9" s="1"/>
  <c r="AK101" i="9" s="1"/>
  <c r="AN101" i="9" s="1"/>
  <c r="AQ101" i="9" s="1"/>
  <c r="AT101" i="9" s="1"/>
  <c r="AW101" i="9" s="1"/>
  <c r="AZ101" i="9" s="1"/>
  <c r="BC101" i="9" s="1"/>
  <c r="BF101" i="9" s="1"/>
  <c r="AC9" i="10"/>
  <c r="AG9" i="10"/>
  <c r="AM9" i="10"/>
  <c r="AS9" i="10"/>
  <c r="AY9" i="10"/>
  <c r="DS87" i="11"/>
  <c r="DS114" i="11"/>
  <c r="AY77" i="11"/>
  <c r="E37" i="9"/>
  <c r="G38" i="9"/>
  <c r="AF38" i="9" s="1"/>
  <c r="J37" i="9"/>
  <c r="N37" i="9"/>
  <c r="R37" i="9"/>
  <c r="R74" i="9" s="1"/>
  <c r="V37" i="9"/>
  <c r="Z37" i="9"/>
  <c r="Z87" i="9" s="1"/>
  <c r="Z77" i="9" s="1"/>
  <c r="AD37" i="9"/>
  <c r="G10" i="10"/>
  <c r="AF10" i="10" s="1"/>
  <c r="J9" i="10"/>
  <c r="N9" i="10"/>
  <c r="R9" i="10"/>
  <c r="V9" i="10"/>
  <c r="Z9" i="10"/>
  <c r="AE10" i="9"/>
  <c r="AE27" i="9"/>
  <c r="BB9" i="10"/>
  <c r="BE9" i="10"/>
  <c r="BH9" i="10"/>
  <c r="BJ9" i="10"/>
  <c r="J37" i="10"/>
  <c r="Z37" i="10"/>
  <c r="D27" i="9"/>
  <c r="BL27" i="9" s="1"/>
  <c r="BJ114" i="9"/>
  <c r="BJ118" i="9" s="1"/>
  <c r="D81" i="9"/>
  <c r="BL81" i="9" s="1"/>
  <c r="D94" i="9"/>
  <c r="BL94" i="9" s="1"/>
  <c r="D94" i="10"/>
  <c r="BL94" i="10" s="1"/>
  <c r="G101" i="10"/>
  <c r="AF101" i="10" s="1"/>
  <c r="BE12" i="1"/>
  <c r="BE11" i="1" s="1"/>
  <c r="AE78" i="10"/>
  <c r="D81" i="10"/>
  <c r="BL81" i="10" s="1"/>
  <c r="AE84" i="10"/>
  <c r="G84" i="9"/>
  <c r="AF84" i="9" s="1"/>
  <c r="E37" i="10"/>
  <c r="H37" i="10"/>
  <c r="H74" i="10" s="1"/>
  <c r="BM12" i="1"/>
  <c r="BM11" i="1" s="1"/>
  <c r="AE49" i="9"/>
  <c r="AE47" i="9" s="1"/>
  <c r="AJ37" i="9"/>
  <c r="AM37" i="9"/>
  <c r="D78" i="9"/>
  <c r="BL78" i="9" s="1"/>
  <c r="AE81" i="9"/>
  <c r="D84" i="9"/>
  <c r="BL84" i="9" s="1"/>
  <c r="G27" i="10"/>
  <c r="AF27" i="10" s="1"/>
  <c r="G38" i="10"/>
  <c r="AF38" i="10" s="1"/>
  <c r="N37" i="10"/>
  <c r="V37" i="10"/>
  <c r="AD37" i="10"/>
  <c r="AE49" i="10"/>
  <c r="AE47" i="10" s="1"/>
  <c r="D78" i="10"/>
  <c r="BL78" i="10" s="1"/>
  <c r="AE81" i="10"/>
  <c r="D84" i="10"/>
  <c r="BL84" i="10" s="1"/>
  <c r="I15" i="9"/>
  <c r="AI15" i="9" s="1"/>
  <c r="L37" i="9"/>
  <c r="L74" i="9" s="1"/>
  <c r="T37" i="9"/>
  <c r="T74" i="9" s="1"/>
  <c r="AP37" i="9"/>
  <c r="AS37" i="9"/>
  <c r="AV37" i="9"/>
  <c r="AY37" i="9"/>
  <c r="AY87" i="9" s="1"/>
  <c r="AY77" i="9" s="1"/>
  <c r="BB37" i="9"/>
  <c r="BE37" i="9"/>
  <c r="BH37" i="9"/>
  <c r="BI37" i="9"/>
  <c r="BJ37" i="9"/>
  <c r="F37" i="10"/>
  <c r="D10" i="9"/>
  <c r="BL10" i="9" s="1"/>
  <c r="AC9" i="9"/>
  <c r="AC74" i="9" s="1"/>
  <c r="AC75" i="9" s="1"/>
  <c r="AJ9" i="9"/>
  <c r="AM9" i="9"/>
  <c r="AP9" i="9"/>
  <c r="AS9" i="9"/>
  <c r="AV9" i="9"/>
  <c r="AY9" i="9"/>
  <c r="BB9" i="9"/>
  <c r="BE9" i="9"/>
  <c r="BH9" i="9"/>
  <c r="BI9" i="9"/>
  <c r="BJ9" i="9"/>
  <c r="G27" i="9"/>
  <c r="AF27" i="9" s="1"/>
  <c r="D38" i="9"/>
  <c r="AB38" i="9" s="1"/>
  <c r="F37" i="9"/>
  <c r="AE38" i="9"/>
  <c r="D47" i="9"/>
  <c r="BL47" i="9" s="1"/>
  <c r="G49" i="9"/>
  <c r="AF49" i="9" s="1"/>
  <c r="F114" i="9"/>
  <c r="G114" i="9" s="1"/>
  <c r="H114" i="9" s="1"/>
  <c r="G78" i="9"/>
  <c r="AF78" i="9" s="1"/>
  <c r="G81" i="9"/>
  <c r="AF81" i="9" s="1"/>
  <c r="G94" i="9"/>
  <c r="AF94" i="9" s="1"/>
  <c r="AE94" i="9"/>
  <c r="AE91" i="9" s="1"/>
  <c r="G101" i="9"/>
  <c r="AF101" i="9" s="1"/>
  <c r="C9" i="10"/>
  <c r="D27" i="10"/>
  <c r="BL27" i="10" s="1"/>
  <c r="AE27" i="10"/>
  <c r="D38" i="10"/>
  <c r="BL38" i="10" s="1"/>
  <c r="L37" i="10"/>
  <c r="L87" i="10" s="1"/>
  <c r="L77" i="10" s="1"/>
  <c r="P37" i="10"/>
  <c r="T37" i="10"/>
  <c r="X37" i="10"/>
  <c r="X74" i="10" s="1"/>
  <c r="AE38" i="10"/>
  <c r="AJ37" i="10"/>
  <c r="AM37" i="10"/>
  <c r="AM87" i="10" s="1"/>
  <c r="AM77" i="10" s="1"/>
  <c r="AP37" i="10"/>
  <c r="AP87" i="10" s="1"/>
  <c r="AP77" i="10" s="1"/>
  <c r="AS37" i="10"/>
  <c r="AS87" i="10" s="1"/>
  <c r="AS77" i="10" s="1"/>
  <c r="AV37" i="10"/>
  <c r="AY37" i="10"/>
  <c r="BB37" i="10"/>
  <c r="BE37" i="10"/>
  <c r="BE87" i="10" s="1"/>
  <c r="BE77" i="10" s="1"/>
  <c r="BH37" i="10"/>
  <c r="BI37" i="10"/>
  <c r="BI87" i="10" s="1"/>
  <c r="BI77" i="10" s="1"/>
  <c r="BJ37" i="10"/>
  <c r="G47" i="10"/>
  <c r="AF47" i="10" s="1"/>
  <c r="AA47" i="10"/>
  <c r="BK47" i="10" s="1"/>
  <c r="AC47" i="10"/>
  <c r="AC37" i="10" s="1"/>
  <c r="G49" i="10"/>
  <c r="AF49" i="10" s="1"/>
  <c r="G78" i="10"/>
  <c r="AF78" i="10" s="1"/>
  <c r="G81" i="10"/>
  <c r="AF81" i="10" s="1"/>
  <c r="G84" i="10"/>
  <c r="AF84" i="10" s="1"/>
  <c r="AE94" i="10"/>
  <c r="AE91" i="10" s="1"/>
  <c r="D101" i="10"/>
  <c r="BL101" i="10" s="1"/>
  <c r="I101" i="10"/>
  <c r="AI101" i="10" s="1"/>
  <c r="AH101" i="10"/>
  <c r="AK101" i="10" s="1"/>
  <c r="AN101" i="10" s="1"/>
  <c r="AQ101" i="10" s="1"/>
  <c r="AT101" i="10" s="1"/>
  <c r="AW101" i="10" s="1"/>
  <c r="AZ101" i="10" s="1"/>
  <c r="BC101" i="10" s="1"/>
  <c r="BF101" i="10" s="1"/>
  <c r="G47" i="9"/>
  <c r="AF47" i="9" s="1"/>
  <c r="AG37" i="10"/>
  <c r="AE101" i="8"/>
  <c r="AH101" i="8" s="1"/>
  <c r="AK101" i="8" s="1"/>
  <c r="AN101" i="8" s="1"/>
  <c r="AQ101" i="8" s="1"/>
  <c r="AT101" i="8" s="1"/>
  <c r="AW101" i="8" s="1"/>
  <c r="AZ101" i="8" s="1"/>
  <c r="BC101" i="8" s="1"/>
  <c r="BF101" i="8" s="1"/>
  <c r="AA37" i="8"/>
  <c r="AA74" i="8" s="1"/>
  <c r="AA76" i="8" s="1"/>
  <c r="C37" i="8"/>
  <c r="G38" i="8"/>
  <c r="AF38" i="8" s="1"/>
  <c r="J37" i="8"/>
  <c r="N37" i="8"/>
  <c r="R37" i="8"/>
  <c r="V37" i="8"/>
  <c r="Z37" i="8"/>
  <c r="AD37" i="8"/>
  <c r="AD74" i="8" s="1"/>
  <c r="D49" i="8"/>
  <c r="BL49" i="8" s="1"/>
  <c r="AE49" i="8"/>
  <c r="AE47" i="8" s="1"/>
  <c r="G78" i="8"/>
  <c r="AF78" i="8" s="1"/>
  <c r="G81" i="8"/>
  <c r="AF81" i="8" s="1"/>
  <c r="D84" i="8"/>
  <c r="BL84" i="8" s="1"/>
  <c r="AE81" i="8"/>
  <c r="G84" i="8"/>
  <c r="AF84" i="8" s="1"/>
  <c r="D10" i="8"/>
  <c r="AB10" i="8" s="1"/>
  <c r="D27" i="8"/>
  <c r="BL27" i="8" s="1"/>
  <c r="AE38" i="8"/>
  <c r="G27" i="8"/>
  <c r="AF27" i="8" s="1"/>
  <c r="BG12" i="1"/>
  <c r="BG11" i="1" s="1"/>
  <c r="AE27" i="8"/>
  <c r="G94" i="8"/>
  <c r="AF94" i="8" s="1"/>
  <c r="AE94" i="8"/>
  <c r="AH94" i="8" s="1"/>
  <c r="AK94" i="8" s="1"/>
  <c r="AN94" i="8" s="1"/>
  <c r="AQ94" i="8" s="1"/>
  <c r="AT94" i="8" s="1"/>
  <c r="AW94" i="8" s="1"/>
  <c r="AZ94" i="8" s="1"/>
  <c r="BC94" i="8" s="1"/>
  <c r="BF94" i="8" s="1"/>
  <c r="G49" i="8"/>
  <c r="AF49" i="8" s="1"/>
  <c r="AE84" i="8"/>
  <c r="AE10" i="8"/>
  <c r="AF11" i="8"/>
  <c r="G10" i="8"/>
  <c r="BK12" i="8"/>
  <c r="AZ12" i="11"/>
  <c r="AY12" i="11"/>
  <c r="BF12" i="11"/>
  <c r="BE12" i="11"/>
  <c r="CD12" i="11"/>
  <c r="CC12" i="11"/>
  <c r="CP12" i="11"/>
  <c r="CO12" i="11"/>
  <c r="DB12" i="11"/>
  <c r="DA12" i="11"/>
  <c r="DR12" i="11"/>
  <c r="DQ12" i="11"/>
  <c r="AE12" i="8"/>
  <c r="AH12" i="8" s="1"/>
  <c r="BC12" i="11"/>
  <c r="BD12" i="11"/>
  <c r="BK12" i="11"/>
  <c r="BL12" i="11"/>
  <c r="BW12" i="11"/>
  <c r="BX12" i="11"/>
  <c r="CI12" i="11"/>
  <c r="CJ12" i="11"/>
  <c r="CU12" i="11"/>
  <c r="CV12" i="11"/>
  <c r="DG12" i="11"/>
  <c r="DH12" i="11"/>
  <c r="BL73" i="8"/>
  <c r="BL63" i="8"/>
  <c r="BL121" i="8"/>
  <c r="BF121" i="8"/>
  <c r="BC121" i="8"/>
  <c r="AZ121" i="8"/>
  <c r="AW121" i="8"/>
  <c r="AT121" i="8"/>
  <c r="AQ121" i="8"/>
  <c r="AN121" i="8"/>
  <c r="AK121" i="8"/>
  <c r="AH121" i="8"/>
  <c r="AE121" i="8"/>
  <c r="BL123" i="8"/>
  <c r="BF123" i="8"/>
  <c r="BC123" i="8"/>
  <c r="AZ123" i="8"/>
  <c r="AW123" i="8"/>
  <c r="AT123" i="8"/>
  <c r="AQ123" i="8"/>
  <c r="AN123" i="8"/>
  <c r="AK123" i="8"/>
  <c r="AH123" i="8"/>
  <c r="AE123" i="8"/>
  <c r="BL125" i="8"/>
  <c r="BF125" i="8"/>
  <c r="BC125" i="8"/>
  <c r="AZ125" i="8"/>
  <c r="AW125" i="8"/>
  <c r="AT125" i="8"/>
  <c r="AQ125" i="8"/>
  <c r="AN125" i="8"/>
  <c r="AK125" i="8"/>
  <c r="AH125" i="8"/>
  <c r="AE125" i="8"/>
  <c r="BL127" i="8"/>
  <c r="BF127" i="8"/>
  <c r="BC127" i="8"/>
  <c r="AZ127" i="8"/>
  <c r="AW127" i="8"/>
  <c r="AT127" i="8"/>
  <c r="AQ127" i="8"/>
  <c r="AN127" i="8"/>
  <c r="AK127" i="8"/>
  <c r="AH127" i="8"/>
  <c r="AE127" i="8"/>
  <c r="BL129" i="8"/>
  <c r="BF129" i="8"/>
  <c r="BC129" i="8"/>
  <c r="AZ129" i="8"/>
  <c r="AW129" i="8"/>
  <c r="AT129" i="8"/>
  <c r="AQ129" i="8"/>
  <c r="AN129" i="8"/>
  <c r="AK129" i="8"/>
  <c r="AH129" i="8"/>
  <c r="AE129" i="8"/>
  <c r="BL131" i="8"/>
  <c r="BF131" i="8"/>
  <c r="BC131" i="8"/>
  <c r="AZ131" i="8"/>
  <c r="AW131" i="8"/>
  <c r="AT131" i="8"/>
  <c r="AQ131" i="8"/>
  <c r="AN131" i="8"/>
  <c r="AK131" i="8"/>
  <c r="AH131" i="8"/>
  <c r="AE131" i="8"/>
  <c r="BL73" i="9"/>
  <c r="BL63" i="9"/>
  <c r="BL120" i="9"/>
  <c r="BF120" i="9"/>
  <c r="BC120" i="9"/>
  <c r="AZ120" i="9"/>
  <c r="AW120" i="9"/>
  <c r="AT120" i="9"/>
  <c r="AQ120" i="9"/>
  <c r="AN120" i="9"/>
  <c r="AK120" i="9"/>
  <c r="AH120" i="9"/>
  <c r="AE120" i="9"/>
  <c r="BL122" i="9"/>
  <c r="BF122" i="9"/>
  <c r="BC122" i="9"/>
  <c r="AZ122" i="9"/>
  <c r="AW122" i="9"/>
  <c r="AT122" i="9"/>
  <c r="AQ122" i="9"/>
  <c r="AN122" i="9"/>
  <c r="AK122" i="9"/>
  <c r="AH122" i="9"/>
  <c r="AE122" i="9"/>
  <c r="BL124" i="9"/>
  <c r="BF124" i="9"/>
  <c r="BC124" i="9"/>
  <c r="AZ124" i="9"/>
  <c r="AW124" i="9"/>
  <c r="AT124" i="9"/>
  <c r="AQ124" i="9"/>
  <c r="AN124" i="9"/>
  <c r="AK124" i="9"/>
  <c r="AH124" i="9"/>
  <c r="AE124" i="9"/>
  <c r="BL126" i="9"/>
  <c r="BF126" i="9"/>
  <c r="BC126" i="9"/>
  <c r="AZ126" i="9"/>
  <c r="AW126" i="9"/>
  <c r="AT126" i="9"/>
  <c r="AQ126" i="9"/>
  <c r="AN126" i="9"/>
  <c r="AK126" i="9"/>
  <c r="AH126" i="9"/>
  <c r="AE126" i="9"/>
  <c r="BL128" i="9"/>
  <c r="BF128" i="9"/>
  <c r="BC128" i="9"/>
  <c r="AZ128" i="9"/>
  <c r="AW128" i="9"/>
  <c r="AT128" i="9"/>
  <c r="AQ128" i="9"/>
  <c r="AN128" i="9"/>
  <c r="AK128" i="9"/>
  <c r="AH128" i="9"/>
  <c r="AE128" i="9"/>
  <c r="BL130" i="9"/>
  <c r="BF130" i="9"/>
  <c r="BC130" i="9"/>
  <c r="AZ130" i="9"/>
  <c r="AW130" i="9"/>
  <c r="AT130" i="9"/>
  <c r="AQ130" i="9"/>
  <c r="AN130" i="9"/>
  <c r="AK130" i="9"/>
  <c r="AH130" i="9"/>
  <c r="AE130" i="9"/>
  <c r="AB97" i="10"/>
  <c r="BL97" i="10"/>
  <c r="AB98" i="10"/>
  <c r="BL98" i="10"/>
  <c r="AB99" i="10"/>
  <c r="BL99" i="10"/>
  <c r="AB100" i="10"/>
  <c r="BL100" i="10"/>
  <c r="AB106" i="10"/>
  <c r="BL106" i="10"/>
  <c r="AB107" i="10"/>
  <c r="BL107" i="10"/>
  <c r="AB108" i="10"/>
  <c r="BL108" i="10"/>
  <c r="AB109" i="10"/>
  <c r="BL109" i="10"/>
  <c r="AB110" i="10"/>
  <c r="BL110" i="10"/>
  <c r="AB111" i="10"/>
  <c r="BL111" i="10"/>
  <c r="AB112" i="10"/>
  <c r="BL112" i="10"/>
  <c r="BL120" i="10"/>
  <c r="BF120" i="10"/>
  <c r="BC120" i="10"/>
  <c r="AZ120" i="10"/>
  <c r="AW120" i="10"/>
  <c r="AT120" i="10"/>
  <c r="AQ120" i="10"/>
  <c r="AN120" i="10"/>
  <c r="AK120" i="10"/>
  <c r="AH120" i="10"/>
  <c r="AE120" i="10"/>
  <c r="BL122" i="10"/>
  <c r="BF122" i="10"/>
  <c r="BC122" i="10"/>
  <c r="AZ122" i="10"/>
  <c r="AW122" i="10"/>
  <c r="AT122" i="10"/>
  <c r="AQ122" i="10"/>
  <c r="AN122" i="10"/>
  <c r="AK122" i="10"/>
  <c r="AH122" i="10"/>
  <c r="AE122" i="10"/>
  <c r="BL124" i="10"/>
  <c r="BF124" i="10"/>
  <c r="BC124" i="10"/>
  <c r="AZ124" i="10"/>
  <c r="AW124" i="10"/>
  <c r="AT124" i="10"/>
  <c r="AQ124" i="10"/>
  <c r="AN124" i="10"/>
  <c r="AK124" i="10"/>
  <c r="AH124" i="10"/>
  <c r="AE124" i="10"/>
  <c r="BL126" i="10"/>
  <c r="BF126" i="10"/>
  <c r="BC126" i="10"/>
  <c r="AZ126" i="10"/>
  <c r="AW126" i="10"/>
  <c r="AT126" i="10"/>
  <c r="AQ126" i="10"/>
  <c r="AN126" i="10"/>
  <c r="AK126" i="10"/>
  <c r="AH126" i="10"/>
  <c r="AE126" i="10"/>
  <c r="BL128" i="10"/>
  <c r="BF128" i="10"/>
  <c r="BC128" i="10"/>
  <c r="AZ128" i="10"/>
  <c r="AW128" i="10"/>
  <c r="AT128" i="10"/>
  <c r="AQ128" i="10"/>
  <c r="AN128" i="10"/>
  <c r="AK128" i="10"/>
  <c r="AH128" i="10"/>
  <c r="AE128" i="10"/>
  <c r="E91" i="8"/>
  <c r="AC91" i="8"/>
  <c r="D101" i="8"/>
  <c r="BL101" i="8" s="1"/>
  <c r="I101" i="8"/>
  <c r="AI101" i="8" s="1"/>
  <c r="G10" i="9"/>
  <c r="AF10" i="9" s="1"/>
  <c r="I16" i="9"/>
  <c r="AI16" i="9" s="1"/>
  <c r="E91" i="9"/>
  <c r="AC91" i="9"/>
  <c r="D101" i="9"/>
  <c r="BL101" i="9" s="1"/>
  <c r="I101" i="9"/>
  <c r="AI101" i="9" s="1"/>
  <c r="D10" i="10"/>
  <c r="AE10" i="10"/>
  <c r="D49" i="10"/>
  <c r="BL49" i="10" s="1"/>
  <c r="E114" i="10"/>
  <c r="AC114" i="10"/>
  <c r="BG114" i="10" s="1"/>
  <c r="BJ114" i="10"/>
  <c r="G94" i="10"/>
  <c r="AF94" i="10" s="1"/>
  <c r="N124" i="1"/>
  <c r="N125" i="1"/>
  <c r="N126" i="1"/>
  <c r="N127" i="1"/>
  <c r="N128" i="1"/>
  <c r="N129" i="1"/>
  <c r="N130" i="1"/>
  <c r="R124" i="1"/>
  <c r="R125" i="1"/>
  <c r="R126" i="1"/>
  <c r="R127" i="1"/>
  <c r="R128" i="1"/>
  <c r="R129" i="1"/>
  <c r="R130" i="1"/>
  <c r="V124" i="1"/>
  <c r="V125" i="1"/>
  <c r="V126" i="1"/>
  <c r="V127" i="1"/>
  <c r="V128" i="1"/>
  <c r="V129" i="1"/>
  <c r="V130" i="1"/>
  <c r="Z124" i="1"/>
  <c r="Z125" i="1"/>
  <c r="Z126" i="1"/>
  <c r="Z127" i="1"/>
  <c r="Z128" i="1"/>
  <c r="Z129" i="1"/>
  <c r="Z130" i="1"/>
  <c r="AD124" i="1"/>
  <c r="AD125" i="1"/>
  <c r="AD126" i="1"/>
  <c r="AD127" i="1"/>
  <c r="AD128" i="1"/>
  <c r="AD129" i="1"/>
  <c r="AD130" i="1"/>
  <c r="AH124" i="1"/>
  <c r="AH125" i="1"/>
  <c r="AH126" i="1"/>
  <c r="AH127" i="1"/>
  <c r="AH128" i="1"/>
  <c r="AH129" i="1"/>
  <c r="AH130" i="1"/>
  <c r="AL124" i="1"/>
  <c r="AL125" i="1"/>
  <c r="AL126" i="1"/>
  <c r="AL127" i="1"/>
  <c r="AL128" i="1"/>
  <c r="AL129" i="1"/>
  <c r="AL130" i="1"/>
  <c r="AP124" i="1"/>
  <c r="AP125" i="1"/>
  <c r="AP126" i="1"/>
  <c r="AP127" i="1"/>
  <c r="AP128" i="1"/>
  <c r="AP129" i="1"/>
  <c r="AP130" i="1"/>
  <c r="AT124" i="1"/>
  <c r="AT125" i="1"/>
  <c r="AT126" i="1"/>
  <c r="AT127" i="1"/>
  <c r="AT128" i="1"/>
  <c r="AT129" i="1"/>
  <c r="AT130" i="1"/>
  <c r="BJ120" i="1"/>
  <c r="BJ121" i="1"/>
  <c r="BJ122" i="1"/>
  <c r="BJ123" i="1"/>
  <c r="BJ124" i="1"/>
  <c r="BJ125" i="1"/>
  <c r="BJ126" i="1"/>
  <c r="BJ127" i="1"/>
  <c r="BJ128" i="1"/>
  <c r="BJ129" i="1"/>
  <c r="BJ130" i="1"/>
  <c r="BP120" i="1"/>
  <c r="BP121" i="1"/>
  <c r="BP122" i="1"/>
  <c r="BP123" i="1"/>
  <c r="BP124" i="1"/>
  <c r="BP125" i="1"/>
  <c r="BP126" i="1"/>
  <c r="BP127" i="1"/>
  <c r="BP128" i="1"/>
  <c r="BP129" i="1"/>
  <c r="BP130" i="1"/>
  <c r="BV120" i="1"/>
  <c r="BV121" i="1"/>
  <c r="BV122" i="1"/>
  <c r="BV123" i="1"/>
  <c r="BV124" i="1"/>
  <c r="BV125" i="1"/>
  <c r="BV126" i="1"/>
  <c r="BV127" i="1"/>
  <c r="BV128" i="1"/>
  <c r="BV129" i="1"/>
  <c r="BV130" i="1"/>
  <c r="BY12" i="1"/>
  <c r="BY11" i="1" s="1"/>
  <c r="CB120" i="1"/>
  <c r="CB121" i="1"/>
  <c r="CB122" i="1"/>
  <c r="CB123" i="1"/>
  <c r="CB124" i="1"/>
  <c r="CB125" i="1"/>
  <c r="CB126" i="1"/>
  <c r="CB127" i="1"/>
  <c r="CB128" i="1"/>
  <c r="CB129" i="1"/>
  <c r="CB130" i="1"/>
  <c r="CH120" i="1"/>
  <c r="CH121" i="1"/>
  <c r="CH122" i="1"/>
  <c r="CH123" i="1"/>
  <c r="CH124" i="1"/>
  <c r="CH125" i="1"/>
  <c r="CH126" i="1"/>
  <c r="CH127" i="1"/>
  <c r="CH128" i="1"/>
  <c r="CH129" i="1"/>
  <c r="CH130" i="1"/>
  <c r="CN120" i="1"/>
  <c r="CN121" i="1"/>
  <c r="CN122" i="1"/>
  <c r="CN123" i="1"/>
  <c r="CN124" i="1"/>
  <c r="CN125" i="1"/>
  <c r="CN126" i="1"/>
  <c r="CN127" i="1"/>
  <c r="CN128" i="1"/>
  <c r="CN129" i="1"/>
  <c r="CN130" i="1"/>
  <c r="CT120" i="1"/>
  <c r="CT121" i="1"/>
  <c r="CT122" i="1"/>
  <c r="CT123" i="1"/>
  <c r="CT124" i="1"/>
  <c r="CT125" i="1"/>
  <c r="CT126" i="1"/>
  <c r="CT127" i="1"/>
  <c r="CT128" i="1"/>
  <c r="CT129" i="1"/>
  <c r="CT130" i="1"/>
  <c r="CZ120" i="1"/>
  <c r="CZ121" i="1"/>
  <c r="CZ122" i="1"/>
  <c r="CZ123" i="1"/>
  <c r="CZ124" i="1"/>
  <c r="CZ125" i="1"/>
  <c r="CZ126" i="1"/>
  <c r="CZ127" i="1"/>
  <c r="CZ128" i="1"/>
  <c r="CZ129" i="1"/>
  <c r="CZ130" i="1"/>
  <c r="DF120" i="1"/>
  <c r="DF121" i="1"/>
  <c r="DF122" i="1"/>
  <c r="DF123" i="1"/>
  <c r="DF124" i="1"/>
  <c r="DF125" i="1"/>
  <c r="DF126" i="1"/>
  <c r="DF127" i="1"/>
  <c r="DF128" i="1"/>
  <c r="DF129" i="1"/>
  <c r="DF130" i="1"/>
  <c r="AB97" i="8"/>
  <c r="BL97" i="8"/>
  <c r="AB98" i="8"/>
  <c r="BL98" i="8"/>
  <c r="AB99" i="8"/>
  <c r="BL99" i="8"/>
  <c r="AB100" i="8"/>
  <c r="BL100" i="8"/>
  <c r="AB106" i="8"/>
  <c r="BL106" i="8"/>
  <c r="AB107" i="8"/>
  <c r="BL107" i="8"/>
  <c r="AB108" i="8"/>
  <c r="BL108" i="8"/>
  <c r="AB109" i="8"/>
  <c r="BL109" i="8"/>
  <c r="AB110" i="8"/>
  <c r="BL110" i="8"/>
  <c r="AB111" i="8"/>
  <c r="BL111" i="8"/>
  <c r="AB112" i="8"/>
  <c r="BL112" i="8"/>
  <c r="BL120" i="8"/>
  <c r="BF120" i="8"/>
  <c r="BC120" i="8"/>
  <c r="AZ120" i="8"/>
  <c r="AW120" i="8"/>
  <c r="AT120" i="8"/>
  <c r="AQ120" i="8"/>
  <c r="AN120" i="8"/>
  <c r="AK120" i="8"/>
  <c r="AH120" i="8"/>
  <c r="AE120" i="8"/>
  <c r="BL122" i="8"/>
  <c r="BF122" i="8"/>
  <c r="BC122" i="8"/>
  <c r="AZ122" i="8"/>
  <c r="AW122" i="8"/>
  <c r="AT122" i="8"/>
  <c r="AQ122" i="8"/>
  <c r="AN122" i="8"/>
  <c r="AK122" i="8"/>
  <c r="AH122" i="8"/>
  <c r="AE122" i="8"/>
  <c r="BL124" i="8"/>
  <c r="BF124" i="8"/>
  <c r="BC124" i="8"/>
  <c r="AZ124" i="8"/>
  <c r="AW124" i="8"/>
  <c r="AT124" i="8"/>
  <c r="AQ124" i="8"/>
  <c r="AN124" i="8"/>
  <c r="AK124" i="8"/>
  <c r="AH124" i="8"/>
  <c r="AE124" i="8"/>
  <c r="BL126" i="8"/>
  <c r="BF126" i="8"/>
  <c r="BC126" i="8"/>
  <c r="AZ126" i="8"/>
  <c r="AW126" i="8"/>
  <c r="AT126" i="8"/>
  <c r="AQ126" i="8"/>
  <c r="AN126" i="8"/>
  <c r="AK126" i="8"/>
  <c r="AH126" i="8"/>
  <c r="AE126" i="8"/>
  <c r="BL128" i="8"/>
  <c r="BF128" i="8"/>
  <c r="BC128" i="8"/>
  <c r="AZ128" i="8"/>
  <c r="AW128" i="8"/>
  <c r="AT128" i="8"/>
  <c r="AQ128" i="8"/>
  <c r="AN128" i="8"/>
  <c r="AK128" i="8"/>
  <c r="AH128" i="8"/>
  <c r="AE128" i="8"/>
  <c r="BL130" i="8"/>
  <c r="BF130" i="8"/>
  <c r="BC130" i="8"/>
  <c r="AZ130" i="8"/>
  <c r="AW130" i="8"/>
  <c r="AT130" i="8"/>
  <c r="AQ130" i="8"/>
  <c r="AN130" i="8"/>
  <c r="AK130" i="8"/>
  <c r="AH130" i="8"/>
  <c r="AE130" i="8"/>
  <c r="AB97" i="9"/>
  <c r="BL97" i="9"/>
  <c r="AB98" i="9"/>
  <c r="BL98" i="9"/>
  <c r="AB99" i="9"/>
  <c r="BL99" i="9"/>
  <c r="AB100" i="9"/>
  <c r="BL100" i="9"/>
  <c r="AB106" i="9"/>
  <c r="BL106" i="9"/>
  <c r="AB107" i="9"/>
  <c r="BL107" i="9"/>
  <c r="AB108" i="9"/>
  <c r="BL108" i="9"/>
  <c r="AB109" i="9"/>
  <c r="BL109" i="9"/>
  <c r="AB110" i="9"/>
  <c r="BL110" i="9"/>
  <c r="AB111" i="9"/>
  <c r="BL111" i="9"/>
  <c r="AB112" i="9"/>
  <c r="BL112" i="9"/>
  <c r="BL121" i="9"/>
  <c r="BF121" i="9"/>
  <c r="BC121" i="9"/>
  <c r="AZ121" i="9"/>
  <c r="AW121" i="9"/>
  <c r="AT121" i="9"/>
  <c r="AQ121" i="9"/>
  <c r="AN121" i="9"/>
  <c r="AK121" i="9"/>
  <c r="AH121" i="9"/>
  <c r="AE121" i="9"/>
  <c r="BL123" i="9"/>
  <c r="BF123" i="9"/>
  <c r="BC123" i="9"/>
  <c r="AZ123" i="9"/>
  <c r="AW123" i="9"/>
  <c r="AT123" i="9"/>
  <c r="AQ123" i="9"/>
  <c r="AN123" i="9"/>
  <c r="AK123" i="9"/>
  <c r="AH123" i="9"/>
  <c r="AE123" i="9"/>
  <c r="BL125" i="9"/>
  <c r="BF125" i="9"/>
  <c r="BC125" i="9"/>
  <c r="AZ125" i="9"/>
  <c r="AW125" i="9"/>
  <c r="AT125" i="9"/>
  <c r="AQ125" i="9"/>
  <c r="AN125" i="9"/>
  <c r="AK125" i="9"/>
  <c r="AH125" i="9"/>
  <c r="AE125" i="9"/>
  <c r="BL127" i="9"/>
  <c r="BF127" i="9"/>
  <c r="BC127" i="9"/>
  <c r="AZ127" i="9"/>
  <c r="AW127" i="9"/>
  <c r="AT127" i="9"/>
  <c r="AQ127" i="9"/>
  <c r="AN127" i="9"/>
  <c r="AK127" i="9"/>
  <c r="AH127" i="9"/>
  <c r="AE127" i="9"/>
  <c r="BL129" i="9"/>
  <c r="BF129" i="9"/>
  <c r="BC129" i="9"/>
  <c r="AZ129" i="9"/>
  <c r="AW129" i="9"/>
  <c r="AT129" i="9"/>
  <c r="AQ129" i="9"/>
  <c r="AN129" i="9"/>
  <c r="AK129" i="9"/>
  <c r="AH129" i="9"/>
  <c r="AE129" i="9"/>
  <c r="BL131" i="9"/>
  <c r="BF131" i="9"/>
  <c r="BC131" i="9"/>
  <c r="AZ131" i="9"/>
  <c r="AW131" i="9"/>
  <c r="AT131" i="9"/>
  <c r="AQ131" i="9"/>
  <c r="AN131" i="9"/>
  <c r="AK131" i="9"/>
  <c r="AH131" i="9"/>
  <c r="AE131" i="9"/>
  <c r="BL73" i="10"/>
  <c r="BL63" i="10"/>
  <c r="BL118" i="10"/>
  <c r="BF118" i="10"/>
  <c r="BC118" i="10"/>
  <c r="AZ118" i="10"/>
  <c r="AW118" i="10"/>
  <c r="AT118" i="10"/>
  <c r="AQ118" i="10"/>
  <c r="AN118" i="10"/>
  <c r="AK118" i="10"/>
  <c r="AH118" i="10"/>
  <c r="AE118" i="10"/>
  <c r="BL121" i="10"/>
  <c r="BF121" i="10"/>
  <c r="BC121" i="10"/>
  <c r="AZ121" i="10"/>
  <c r="AW121" i="10"/>
  <c r="AT121" i="10"/>
  <c r="AQ121" i="10"/>
  <c r="AN121" i="10"/>
  <c r="AK121" i="10"/>
  <c r="AH121" i="10"/>
  <c r="AE121" i="10"/>
  <c r="BL123" i="10"/>
  <c r="BF123" i="10"/>
  <c r="BC123" i="10"/>
  <c r="AZ123" i="10"/>
  <c r="AW123" i="10"/>
  <c r="AT123" i="10"/>
  <c r="AQ123" i="10"/>
  <c r="AN123" i="10"/>
  <c r="AK123" i="10"/>
  <c r="AH123" i="10"/>
  <c r="AE123" i="10"/>
  <c r="BL125" i="10"/>
  <c r="BF125" i="10"/>
  <c r="BC125" i="10"/>
  <c r="AZ125" i="10"/>
  <c r="AW125" i="10"/>
  <c r="AT125" i="10"/>
  <c r="AQ125" i="10"/>
  <c r="AN125" i="10"/>
  <c r="AK125" i="10"/>
  <c r="AH125" i="10"/>
  <c r="AE125" i="10"/>
  <c r="BL127" i="10"/>
  <c r="BF127" i="10"/>
  <c r="BC127" i="10"/>
  <c r="AZ127" i="10"/>
  <c r="AW127" i="10"/>
  <c r="AT127" i="10"/>
  <c r="AQ127" i="10"/>
  <c r="AN127" i="10"/>
  <c r="AK127" i="10"/>
  <c r="AH127" i="10"/>
  <c r="AE127" i="10"/>
  <c r="M124" i="1"/>
  <c r="M125" i="1"/>
  <c r="M126" i="1"/>
  <c r="M127" i="1"/>
  <c r="M128" i="1"/>
  <c r="M129" i="1"/>
  <c r="M130" i="1"/>
  <c r="Q124" i="1"/>
  <c r="Q125" i="1"/>
  <c r="Q126" i="1"/>
  <c r="Q127" i="1"/>
  <c r="Q128" i="1"/>
  <c r="Q129" i="1"/>
  <c r="Q130" i="1"/>
  <c r="U124" i="1"/>
  <c r="U125" i="1"/>
  <c r="U126" i="1"/>
  <c r="U127" i="1"/>
  <c r="U128" i="1"/>
  <c r="U129" i="1"/>
  <c r="U130" i="1"/>
  <c r="Y124" i="1"/>
  <c r="Y125" i="1"/>
  <c r="Y126" i="1"/>
  <c r="Y127" i="1"/>
  <c r="Y128" i="1"/>
  <c r="Y129" i="1"/>
  <c r="Y130" i="1"/>
  <c r="AC124" i="1"/>
  <c r="AC125" i="1"/>
  <c r="AC126" i="1"/>
  <c r="AC127" i="1"/>
  <c r="AC128" i="1"/>
  <c r="AC129" i="1"/>
  <c r="AC130" i="1"/>
  <c r="AG124" i="1"/>
  <c r="AG125" i="1"/>
  <c r="AG126" i="1"/>
  <c r="AG127" i="1"/>
  <c r="AG128" i="1"/>
  <c r="AG129" i="1"/>
  <c r="AG130" i="1"/>
  <c r="AK124" i="1"/>
  <c r="AK125" i="1"/>
  <c r="AK126" i="1"/>
  <c r="AK127" i="1"/>
  <c r="AK128" i="1"/>
  <c r="AK129" i="1"/>
  <c r="AK130" i="1"/>
  <c r="AO124" i="1"/>
  <c r="AO125" i="1"/>
  <c r="AO126" i="1"/>
  <c r="AO127" i="1"/>
  <c r="AO128" i="1"/>
  <c r="AO129" i="1"/>
  <c r="AO130" i="1"/>
  <c r="AS124" i="1"/>
  <c r="AS125" i="1"/>
  <c r="AS126" i="1"/>
  <c r="AS127" i="1"/>
  <c r="AS128" i="1"/>
  <c r="AS129" i="1"/>
  <c r="AS130" i="1"/>
  <c r="BI120" i="1"/>
  <c r="BI121" i="1"/>
  <c r="BI122" i="1"/>
  <c r="BI123" i="1"/>
  <c r="BI124" i="1"/>
  <c r="BI125" i="1"/>
  <c r="BI126" i="1"/>
  <c r="BI127" i="1"/>
  <c r="BI128" i="1"/>
  <c r="BI129" i="1"/>
  <c r="BI130" i="1"/>
  <c r="BO120" i="1"/>
  <c r="BO121" i="1"/>
  <c r="BO122" i="1"/>
  <c r="BO123" i="1"/>
  <c r="BO124" i="1"/>
  <c r="BO125" i="1"/>
  <c r="BO126" i="1"/>
  <c r="BO127" i="1"/>
  <c r="BO128" i="1"/>
  <c r="BO129" i="1"/>
  <c r="BO130" i="1"/>
  <c r="BU120" i="1"/>
  <c r="BU121" i="1"/>
  <c r="BU122" i="1"/>
  <c r="BU123" i="1"/>
  <c r="BU124" i="1"/>
  <c r="BU125" i="1"/>
  <c r="BU126" i="1"/>
  <c r="BU127" i="1"/>
  <c r="BU128" i="1"/>
  <c r="BU129" i="1"/>
  <c r="BU130" i="1"/>
  <c r="CA120" i="1"/>
  <c r="CA121" i="1"/>
  <c r="CA122" i="1"/>
  <c r="CA123" i="1"/>
  <c r="CA124" i="1"/>
  <c r="CA125" i="1"/>
  <c r="CA126" i="1"/>
  <c r="CA127" i="1"/>
  <c r="CA128" i="1"/>
  <c r="CA129" i="1"/>
  <c r="CA130" i="1"/>
  <c r="CG120" i="1"/>
  <c r="CG121" i="1"/>
  <c r="CG122" i="1"/>
  <c r="CG123" i="1"/>
  <c r="CG124" i="1"/>
  <c r="CG125" i="1"/>
  <c r="CG126" i="1"/>
  <c r="CG127" i="1"/>
  <c r="CG128" i="1"/>
  <c r="CG129" i="1"/>
  <c r="CG130" i="1"/>
  <c r="CM120" i="1"/>
  <c r="CM121" i="1"/>
  <c r="CM122" i="1"/>
  <c r="CM123" i="1"/>
  <c r="CM124" i="1"/>
  <c r="CM125" i="1"/>
  <c r="CM126" i="1"/>
  <c r="CM127" i="1"/>
  <c r="CM128" i="1"/>
  <c r="CM129" i="1"/>
  <c r="CM130" i="1"/>
  <c r="CS120" i="1"/>
  <c r="CS121" i="1"/>
  <c r="CS122" i="1"/>
  <c r="CS123" i="1"/>
  <c r="CS124" i="1"/>
  <c r="CS125" i="1"/>
  <c r="CS126" i="1"/>
  <c r="CS127" i="1"/>
  <c r="CS128" i="1"/>
  <c r="CS129" i="1"/>
  <c r="CS130" i="1"/>
  <c r="CY120" i="1"/>
  <c r="CY121" i="1"/>
  <c r="CY122" i="1"/>
  <c r="CY123" i="1"/>
  <c r="CY124" i="1"/>
  <c r="CY125" i="1"/>
  <c r="CY126" i="1"/>
  <c r="CY127" i="1"/>
  <c r="CY128" i="1"/>
  <c r="CY129" i="1"/>
  <c r="CY130" i="1"/>
  <c r="DE120" i="1"/>
  <c r="DE121" i="1"/>
  <c r="DE122" i="1"/>
  <c r="DE123" i="1"/>
  <c r="DE124" i="1"/>
  <c r="DE125" i="1"/>
  <c r="DE126" i="1"/>
  <c r="DE127" i="1"/>
  <c r="DE128" i="1"/>
  <c r="DE129" i="1"/>
  <c r="DE130" i="1"/>
  <c r="CB108" i="11"/>
  <c r="AB108" i="11"/>
  <c r="CG112" i="11"/>
  <c r="AE112" i="11"/>
  <c r="CG111" i="11"/>
  <c r="AE111" i="11"/>
  <c r="CG110" i="11"/>
  <c r="AE110" i="11"/>
  <c r="CG109" i="11"/>
  <c r="AE109" i="11"/>
  <c r="CH112" i="11"/>
  <c r="AF112" i="11"/>
  <c r="CH111" i="11"/>
  <c r="AF111" i="11"/>
  <c r="CH110" i="11"/>
  <c r="AF110" i="11"/>
  <c r="CH109" i="11"/>
  <c r="AF109" i="11"/>
  <c r="BY86" i="11"/>
  <c r="BY84" i="11" s="1"/>
  <c r="CA83" i="11"/>
  <c r="AA83" i="11"/>
  <c r="BU78" i="11"/>
  <c r="CB92" i="11"/>
  <c r="AB92" i="11"/>
  <c r="CB80" i="11"/>
  <c r="AB80" i="11"/>
  <c r="BU38" i="11"/>
  <c r="S37" i="11"/>
  <c r="BU37" i="11" s="1"/>
  <c r="CB58" i="11"/>
  <c r="AB58" i="11"/>
  <c r="CB56" i="11"/>
  <c r="AB56" i="11"/>
  <c r="CE28" i="11"/>
  <c r="BY27" i="11"/>
  <c r="CO8" i="11"/>
  <c r="CQ8" i="11" s="1"/>
  <c r="CM8" i="11"/>
  <c r="CF28" i="11"/>
  <c r="BZ27" i="11"/>
  <c r="CP8" i="11"/>
  <c r="CR8" i="11" s="1"/>
  <c r="CN8" i="11"/>
  <c r="CH102" i="11"/>
  <c r="AF102" i="11"/>
  <c r="CB100" i="11"/>
  <c r="AB100" i="11"/>
  <c r="CB99" i="11"/>
  <c r="AB99" i="11"/>
  <c r="CB98" i="11"/>
  <c r="AB98" i="11"/>
  <c r="CB97" i="11"/>
  <c r="AB97" i="11"/>
  <c r="CB96" i="11"/>
  <c r="AB96" i="11"/>
  <c r="CB95" i="11"/>
  <c r="AB95" i="11"/>
  <c r="CB85" i="11"/>
  <c r="AB85" i="11"/>
  <c r="CA61" i="11"/>
  <c r="AA61" i="11"/>
  <c r="CA58" i="11"/>
  <c r="AA58" i="11"/>
  <c r="CA56" i="11"/>
  <c r="AA56" i="11"/>
  <c r="CL55" i="11"/>
  <c r="CF47" i="11"/>
  <c r="CF39" i="11"/>
  <c r="BZ38" i="11"/>
  <c r="BZ37" i="11" s="1"/>
  <c r="CA11" i="11"/>
  <c r="AA11" i="11"/>
  <c r="W10" i="11"/>
  <c r="BT9" i="11"/>
  <c r="BT74" i="11" s="1"/>
  <c r="BP9" i="11"/>
  <c r="CG102" i="11"/>
  <c r="AE102" i="11"/>
  <c r="CA100" i="11"/>
  <c r="AA100" i="11"/>
  <c r="CA99" i="11"/>
  <c r="AA99" i="11"/>
  <c r="CA98" i="11"/>
  <c r="AA98" i="11"/>
  <c r="CA96" i="11"/>
  <c r="AA96" i="11"/>
  <c r="CA95" i="11"/>
  <c r="AA95" i="11"/>
  <c r="CH107" i="11"/>
  <c r="AF107" i="11"/>
  <c r="CH106" i="11"/>
  <c r="AF106" i="11"/>
  <c r="CH105" i="11"/>
  <c r="AF105" i="11"/>
  <c r="CH104" i="11"/>
  <c r="AF104" i="11"/>
  <c r="CH103" i="11"/>
  <c r="AF103" i="11"/>
  <c r="CA93" i="11"/>
  <c r="AA93" i="11"/>
  <c r="CE79" i="11"/>
  <c r="BY78" i="11"/>
  <c r="CF92" i="11"/>
  <c r="CB82" i="11"/>
  <c r="AB82" i="11"/>
  <c r="X81" i="11"/>
  <c r="CB81" i="11" s="1"/>
  <c r="CA36" i="11"/>
  <c r="AA36" i="11"/>
  <c r="CA35" i="11"/>
  <c r="AA35" i="11"/>
  <c r="AA34" i="11"/>
  <c r="CA33" i="11"/>
  <c r="AA33" i="11"/>
  <c r="CA32" i="11"/>
  <c r="AA32" i="11"/>
  <c r="CA31" i="11"/>
  <c r="AA31" i="11"/>
  <c r="CA30" i="11"/>
  <c r="AA30" i="11"/>
  <c r="CB53" i="11"/>
  <c r="AB53" i="11"/>
  <c r="CB45" i="11"/>
  <c r="AB45" i="11"/>
  <c r="CB44" i="11"/>
  <c r="AB44" i="11"/>
  <c r="CB43" i="11"/>
  <c r="AB43" i="11"/>
  <c r="CB42" i="11"/>
  <c r="AB42" i="11"/>
  <c r="CB40" i="11"/>
  <c r="AB40" i="11"/>
  <c r="K75" i="11"/>
  <c r="K76" i="11"/>
  <c r="CB28" i="11"/>
  <c r="AB28" i="11"/>
  <c r="X27" i="11"/>
  <c r="CB27" i="11" s="1"/>
  <c r="CG108" i="11"/>
  <c r="AE108" i="11"/>
  <c r="CG107" i="11"/>
  <c r="AE107" i="11"/>
  <c r="CG106" i="11"/>
  <c r="AE106" i="11"/>
  <c r="CG105" i="11"/>
  <c r="AE105" i="11"/>
  <c r="CG104" i="11"/>
  <c r="AE104" i="11"/>
  <c r="CG103" i="11"/>
  <c r="AE103" i="11"/>
  <c r="CA101" i="11"/>
  <c r="AA101" i="11"/>
  <c r="BZ86" i="11"/>
  <c r="BZ84" i="11" s="1"/>
  <c r="CE82" i="11"/>
  <c r="BY81" i="11"/>
  <c r="CF85" i="11"/>
  <c r="CB79" i="11"/>
  <c r="AB79" i="11"/>
  <c r="X78" i="11"/>
  <c r="CA53" i="11"/>
  <c r="AA53" i="11"/>
  <c r="CA45" i="11"/>
  <c r="AA45" i="11"/>
  <c r="CA44" i="11"/>
  <c r="AA44" i="11"/>
  <c r="CA43" i="11"/>
  <c r="AA43" i="11"/>
  <c r="CA42" i="11"/>
  <c r="AA42" i="11"/>
  <c r="CA40" i="11"/>
  <c r="AA40" i="11"/>
  <c r="BV38" i="11"/>
  <c r="T37" i="11"/>
  <c r="BV37" i="11" s="1"/>
  <c r="CE11" i="11"/>
  <c r="BY10" i="11"/>
  <c r="CB29" i="11"/>
  <c r="AB29" i="11"/>
  <c r="BV10" i="11"/>
  <c r="BS84" i="11"/>
  <c r="CE85" i="11"/>
  <c r="CA79" i="11"/>
  <c r="AA79" i="11"/>
  <c r="W78" i="11"/>
  <c r="CF82" i="11"/>
  <c r="BZ81" i="11"/>
  <c r="CA39" i="11"/>
  <c r="AA39" i="11"/>
  <c r="W38" i="11"/>
  <c r="DU9" i="11"/>
  <c r="BA9" i="11"/>
  <c r="CB55" i="11"/>
  <c r="AB55" i="11"/>
  <c r="CA26" i="11"/>
  <c r="AA26" i="11"/>
  <c r="CA24" i="11"/>
  <c r="AA24" i="11"/>
  <c r="CA23" i="11"/>
  <c r="AA23" i="11"/>
  <c r="CA22" i="11"/>
  <c r="AA22" i="11"/>
  <c r="CA21" i="11"/>
  <c r="AA21" i="11"/>
  <c r="CA20" i="11"/>
  <c r="AA20" i="11"/>
  <c r="CA19" i="11"/>
  <c r="AA19" i="11"/>
  <c r="CA18" i="11"/>
  <c r="AA18" i="11"/>
  <c r="CA17" i="11"/>
  <c r="AA17" i="11"/>
  <c r="CA14" i="11"/>
  <c r="AA14" i="11"/>
  <c r="CA13" i="11"/>
  <c r="AA13" i="11"/>
  <c r="CA12" i="11"/>
  <c r="AA12" i="11"/>
  <c r="CB25" i="11"/>
  <c r="AB25" i="11"/>
  <c r="CB24" i="11"/>
  <c r="AB24" i="11"/>
  <c r="CB23" i="11"/>
  <c r="AB23" i="11"/>
  <c r="CB22" i="11"/>
  <c r="AB22" i="11"/>
  <c r="CB21" i="11"/>
  <c r="AB21" i="11"/>
  <c r="CB20" i="11"/>
  <c r="AB20" i="11"/>
  <c r="CB19" i="11"/>
  <c r="AB19" i="11"/>
  <c r="CB18" i="11"/>
  <c r="AB18" i="11"/>
  <c r="CB17" i="11"/>
  <c r="AB17" i="11"/>
  <c r="CB14" i="11"/>
  <c r="AB14" i="11"/>
  <c r="CB13" i="11"/>
  <c r="AB13" i="11"/>
  <c r="CB12" i="11"/>
  <c r="AB12" i="11"/>
  <c r="BV101" i="11"/>
  <c r="X101" i="11"/>
  <c r="BV86" i="11"/>
  <c r="X86" i="11"/>
  <c r="CE92" i="11"/>
  <c r="CA82" i="11"/>
  <c r="AA82" i="11"/>
  <c r="W81" i="11"/>
  <c r="CA81" i="11" s="1"/>
  <c r="CB93" i="11"/>
  <c r="AB93" i="11"/>
  <c r="CF79" i="11"/>
  <c r="BZ78" i="11"/>
  <c r="CA55" i="11"/>
  <c r="AA55" i="11"/>
  <c r="W47" i="11"/>
  <c r="CA47" i="11" s="1"/>
  <c r="CB36" i="11"/>
  <c r="AB36" i="11"/>
  <c r="CB35" i="11"/>
  <c r="AB35" i="11"/>
  <c r="CB34" i="11"/>
  <c r="AB34" i="11"/>
  <c r="CB33" i="11"/>
  <c r="AB33" i="11"/>
  <c r="CB32" i="11"/>
  <c r="AB32" i="11"/>
  <c r="CB31" i="11"/>
  <c r="AB31" i="11"/>
  <c r="CB30" i="11"/>
  <c r="AB30" i="11"/>
  <c r="CA29" i="11"/>
  <c r="AA29" i="11"/>
  <c r="BU10" i="11"/>
  <c r="S9" i="11"/>
  <c r="CF11" i="11"/>
  <c r="BZ10" i="11"/>
  <c r="BU86" i="11"/>
  <c r="W86" i="11"/>
  <c r="W84" i="11" s="1"/>
  <c r="CA84" i="11" s="1"/>
  <c r="CA85" i="11"/>
  <c r="AA85" i="11"/>
  <c r="CK55" i="11"/>
  <c r="CE47" i="11"/>
  <c r="CE39" i="11"/>
  <c r="BY38" i="11"/>
  <c r="BY37" i="11" s="1"/>
  <c r="CA28" i="11"/>
  <c r="AA28" i="11"/>
  <c r="W27" i="11"/>
  <c r="CA27" i="11" s="1"/>
  <c r="CA92" i="11"/>
  <c r="AA92" i="11"/>
  <c r="CA80" i="11"/>
  <c r="AA80" i="11"/>
  <c r="CB83" i="11"/>
  <c r="AB83" i="11"/>
  <c r="BV78" i="11"/>
  <c r="CB39" i="11"/>
  <c r="AB39" i="11"/>
  <c r="X38" i="11"/>
  <c r="BS9" i="11"/>
  <c r="BS74" i="11" s="1"/>
  <c r="CA16" i="11"/>
  <c r="AA16" i="11"/>
  <c r="CA15" i="11"/>
  <c r="AA15" i="11"/>
  <c r="CB11" i="11"/>
  <c r="AB11" i="11"/>
  <c r="T84" i="11"/>
  <c r="BV84" i="11" s="1"/>
  <c r="AF131" i="9"/>
  <c r="AF131" i="8"/>
  <c r="AF128" i="10"/>
  <c r="AK28" i="10"/>
  <c r="AH27" i="10"/>
  <c r="AM8" i="10"/>
  <c r="AN8" i="10" s="1"/>
  <c r="AL8" i="10"/>
  <c r="AK11" i="10"/>
  <c r="AH10" i="10"/>
  <c r="AK39" i="10"/>
  <c r="AH38" i="10"/>
  <c r="AK55" i="10"/>
  <c r="AH47" i="10"/>
  <c r="AK79" i="10"/>
  <c r="AH78" i="10"/>
  <c r="AK82" i="10"/>
  <c r="AH81" i="10"/>
  <c r="AK85" i="10"/>
  <c r="AI8" i="10"/>
  <c r="BK9" i="10"/>
  <c r="AB10" i="10"/>
  <c r="BK10" i="10"/>
  <c r="I11" i="10"/>
  <c r="AB11" i="10"/>
  <c r="I12" i="10"/>
  <c r="AB12" i="10"/>
  <c r="AE12" i="10"/>
  <c r="AH12" i="10" s="1"/>
  <c r="AK12" i="10" s="1"/>
  <c r="AN12" i="10" s="1"/>
  <c r="AQ12" i="10" s="1"/>
  <c r="AT12" i="10" s="1"/>
  <c r="AW12" i="10" s="1"/>
  <c r="AZ12" i="10" s="1"/>
  <c r="BC12" i="10" s="1"/>
  <c r="BF12" i="10" s="1"/>
  <c r="BK12" i="10"/>
  <c r="I13" i="10"/>
  <c r="AB13" i="10"/>
  <c r="I14" i="10"/>
  <c r="AB14" i="10"/>
  <c r="I15" i="10"/>
  <c r="I16" i="10"/>
  <c r="I17" i="10"/>
  <c r="AB17" i="10"/>
  <c r="I18" i="10"/>
  <c r="AB18" i="10"/>
  <c r="I19" i="10"/>
  <c r="AB19" i="10"/>
  <c r="I20" i="10"/>
  <c r="AB20" i="10"/>
  <c r="I21" i="10"/>
  <c r="AB21" i="10"/>
  <c r="I22" i="10"/>
  <c r="AB22" i="10"/>
  <c r="I23" i="10"/>
  <c r="AB23" i="10"/>
  <c r="I24" i="10"/>
  <c r="AB24" i="10"/>
  <c r="I25" i="10"/>
  <c r="AB25" i="10"/>
  <c r="I26" i="10"/>
  <c r="AB26" i="10"/>
  <c r="AB27" i="10"/>
  <c r="I28" i="10"/>
  <c r="AB28" i="10"/>
  <c r="I29" i="10"/>
  <c r="AB29" i="10"/>
  <c r="I30" i="10"/>
  <c r="AB30" i="10"/>
  <c r="I31" i="10"/>
  <c r="AB31" i="10"/>
  <c r="I32" i="10"/>
  <c r="AB32" i="10"/>
  <c r="I33" i="10"/>
  <c r="AB33" i="10"/>
  <c r="I34" i="10"/>
  <c r="AB34" i="10"/>
  <c r="I35" i="10"/>
  <c r="AB35" i="10"/>
  <c r="I36" i="10"/>
  <c r="AB36" i="10"/>
  <c r="AB15" i="10"/>
  <c r="AB16" i="10"/>
  <c r="AK92" i="10"/>
  <c r="I39" i="10"/>
  <c r="AB39" i="10"/>
  <c r="I40" i="10"/>
  <c r="AB40" i="10"/>
  <c r="AB41" i="10"/>
  <c r="I42" i="10"/>
  <c r="AB42" i="10"/>
  <c r="I43" i="10"/>
  <c r="AB43" i="10"/>
  <c r="I44" i="10"/>
  <c r="AB44" i="10"/>
  <c r="I45" i="10"/>
  <c r="AB45" i="10"/>
  <c r="AB46" i="10"/>
  <c r="AB48" i="10"/>
  <c r="AB49" i="10"/>
  <c r="AB50" i="10"/>
  <c r="AB51" i="10"/>
  <c r="AB52" i="10"/>
  <c r="I53" i="10"/>
  <c r="AB53" i="10"/>
  <c r="AB54" i="10"/>
  <c r="I55" i="10"/>
  <c r="AB55" i="10"/>
  <c r="I56" i="10"/>
  <c r="AB56" i="10"/>
  <c r="AB57" i="10"/>
  <c r="I58" i="10"/>
  <c r="AB58" i="10"/>
  <c r="AB59" i="10"/>
  <c r="AB60" i="10"/>
  <c r="I61" i="10"/>
  <c r="AB61" i="10"/>
  <c r="AB62" i="10"/>
  <c r="AB63" i="10"/>
  <c r="BL64" i="10"/>
  <c r="BL65" i="10"/>
  <c r="BL66" i="10"/>
  <c r="BL67" i="10"/>
  <c r="BL68" i="10"/>
  <c r="BL69" i="10"/>
  <c r="BL70" i="10"/>
  <c r="BL71" i="10"/>
  <c r="BL72" i="10"/>
  <c r="I79" i="10"/>
  <c r="AB79" i="10"/>
  <c r="I80" i="10"/>
  <c r="AB80" i="10"/>
  <c r="I82" i="10"/>
  <c r="AB82" i="10"/>
  <c r="I83" i="10"/>
  <c r="AB83" i="10"/>
  <c r="I85" i="10"/>
  <c r="AB85" i="10"/>
  <c r="I86" i="10"/>
  <c r="AB86" i="10"/>
  <c r="AF86" i="10"/>
  <c r="AH86" i="10"/>
  <c r="I92" i="10"/>
  <c r="AB92" i="10"/>
  <c r="I93" i="10"/>
  <c r="AB93" i="10"/>
  <c r="AB94" i="10"/>
  <c r="I95" i="10"/>
  <c r="AB95" i="10"/>
  <c r="I96" i="10"/>
  <c r="AB96" i="10"/>
  <c r="I97" i="10"/>
  <c r="I98" i="10"/>
  <c r="I99" i="10"/>
  <c r="I100" i="10"/>
  <c r="K101" i="10"/>
  <c r="AB101" i="10"/>
  <c r="K102" i="10"/>
  <c r="AB102" i="10"/>
  <c r="K103" i="10"/>
  <c r="AB103" i="10"/>
  <c r="K104" i="10"/>
  <c r="AB104" i="10"/>
  <c r="K105" i="10"/>
  <c r="AB105" i="10"/>
  <c r="K106" i="10"/>
  <c r="K107" i="10"/>
  <c r="K108" i="10"/>
  <c r="K109" i="10"/>
  <c r="K110" i="10"/>
  <c r="K111" i="10"/>
  <c r="K112" i="10"/>
  <c r="AK28" i="9"/>
  <c r="AH27" i="9"/>
  <c r="AM8" i="9"/>
  <c r="AN8" i="9" s="1"/>
  <c r="AL8" i="9"/>
  <c r="AK11" i="9"/>
  <c r="AH10" i="9"/>
  <c r="AA118" i="9"/>
  <c r="C118" i="9"/>
  <c r="BI118" i="9"/>
  <c r="AK39" i="9"/>
  <c r="AH38" i="9"/>
  <c r="AK55" i="9"/>
  <c r="AH47" i="9"/>
  <c r="AK79" i="9"/>
  <c r="AH78" i="9"/>
  <c r="AK82" i="9"/>
  <c r="AH81" i="9"/>
  <c r="AK85" i="9"/>
  <c r="AI8" i="9"/>
  <c r="BK9" i="9"/>
  <c r="BK10" i="9"/>
  <c r="I11" i="9"/>
  <c r="AB11" i="9"/>
  <c r="I12" i="9"/>
  <c r="AB12" i="9"/>
  <c r="AE12" i="9"/>
  <c r="AH12" i="9" s="1"/>
  <c r="AK12" i="9" s="1"/>
  <c r="AN12" i="9" s="1"/>
  <c r="AQ12" i="9" s="1"/>
  <c r="AT12" i="9" s="1"/>
  <c r="AW12" i="9" s="1"/>
  <c r="AZ12" i="9" s="1"/>
  <c r="BC12" i="9" s="1"/>
  <c r="BF12" i="9" s="1"/>
  <c r="BK12" i="9"/>
  <c r="I13" i="9"/>
  <c r="AB13" i="9"/>
  <c r="I14" i="9"/>
  <c r="AB14" i="9"/>
  <c r="I17" i="9"/>
  <c r="AB17" i="9"/>
  <c r="I18" i="9"/>
  <c r="AB18" i="9"/>
  <c r="I19" i="9"/>
  <c r="AB19" i="9"/>
  <c r="I20" i="9"/>
  <c r="AB20" i="9"/>
  <c r="I21" i="9"/>
  <c r="AB21" i="9"/>
  <c r="I22" i="9"/>
  <c r="AB22" i="9"/>
  <c r="I23" i="9"/>
  <c r="AB23" i="9"/>
  <c r="I24" i="9"/>
  <c r="AB24" i="9"/>
  <c r="I25" i="9"/>
  <c r="AB25" i="9"/>
  <c r="I26" i="9"/>
  <c r="AB26" i="9"/>
  <c r="I28" i="9"/>
  <c r="AB28" i="9"/>
  <c r="I29" i="9"/>
  <c r="AB29" i="9"/>
  <c r="I30" i="9"/>
  <c r="AB30" i="9"/>
  <c r="I31" i="9"/>
  <c r="AB31" i="9"/>
  <c r="I32" i="9"/>
  <c r="AB32" i="9"/>
  <c r="I33" i="9"/>
  <c r="AB33" i="9"/>
  <c r="I34" i="9"/>
  <c r="AB34" i="9"/>
  <c r="I35" i="9"/>
  <c r="AB35" i="9"/>
  <c r="I36" i="9"/>
  <c r="AB36" i="9"/>
  <c r="T87" i="9"/>
  <c r="T77" i="9" s="1"/>
  <c r="AB15" i="9"/>
  <c r="K16" i="9"/>
  <c r="AB16" i="9"/>
  <c r="AK92" i="9"/>
  <c r="AC118" i="9"/>
  <c r="AD114" i="9"/>
  <c r="AE114" i="9" s="1"/>
  <c r="I39" i="9"/>
  <c r="AB39" i="9"/>
  <c r="I40" i="9"/>
  <c r="AB40" i="9"/>
  <c r="AB41" i="9"/>
  <c r="I42" i="9"/>
  <c r="AB42" i="9"/>
  <c r="I43" i="9"/>
  <c r="AB43" i="9"/>
  <c r="I44" i="9"/>
  <c r="AB44" i="9"/>
  <c r="I45" i="9"/>
  <c r="AB45" i="9"/>
  <c r="AB46" i="9"/>
  <c r="AB48" i="9"/>
  <c r="AB49" i="9"/>
  <c r="AB50" i="9"/>
  <c r="AB51" i="9"/>
  <c r="AB52" i="9"/>
  <c r="I53" i="9"/>
  <c r="AB53" i="9"/>
  <c r="AB54" i="9"/>
  <c r="I55" i="9"/>
  <c r="AB55" i="9"/>
  <c r="I56" i="9"/>
  <c r="AB56" i="9"/>
  <c r="AB57" i="9"/>
  <c r="I58" i="9"/>
  <c r="AB58" i="9"/>
  <c r="AB59" i="9"/>
  <c r="AB60" i="9"/>
  <c r="I61" i="9"/>
  <c r="AB61" i="9"/>
  <c r="AB62" i="9"/>
  <c r="AB63" i="9"/>
  <c r="BL64" i="9"/>
  <c r="BL65" i="9"/>
  <c r="BL66" i="9"/>
  <c r="BL67" i="9"/>
  <c r="BL68" i="9"/>
  <c r="BL69" i="9"/>
  <c r="BL70" i="9"/>
  <c r="BL71" i="9"/>
  <c r="BL72" i="9"/>
  <c r="I79" i="9"/>
  <c r="AB79" i="9"/>
  <c r="I80" i="9"/>
  <c r="AB80" i="9"/>
  <c r="I82" i="9"/>
  <c r="AB82" i="9"/>
  <c r="I83" i="9"/>
  <c r="AB83" i="9"/>
  <c r="I85" i="9"/>
  <c r="AB85" i="9"/>
  <c r="I86" i="9"/>
  <c r="AB86" i="9"/>
  <c r="AF86" i="9"/>
  <c r="AH86" i="9"/>
  <c r="AH84" i="9" s="1"/>
  <c r="I92" i="9"/>
  <c r="AB92" i="9"/>
  <c r="I93" i="9"/>
  <c r="AB93" i="9"/>
  <c r="I95" i="9"/>
  <c r="AB95" i="9"/>
  <c r="I96" i="9"/>
  <c r="AB96" i="9"/>
  <c r="I97" i="9"/>
  <c r="I98" i="9"/>
  <c r="I99" i="9"/>
  <c r="I100" i="9"/>
  <c r="AB101" i="9"/>
  <c r="K102" i="9"/>
  <c r="AB102" i="9"/>
  <c r="K103" i="9"/>
  <c r="AB103" i="9"/>
  <c r="K104" i="9"/>
  <c r="AB104" i="9"/>
  <c r="K105" i="9"/>
  <c r="AB105" i="9"/>
  <c r="K106" i="9"/>
  <c r="K107" i="9"/>
  <c r="K108" i="9"/>
  <c r="K109" i="9"/>
  <c r="K110" i="9"/>
  <c r="K111" i="9"/>
  <c r="K112" i="9"/>
  <c r="AK11" i="8"/>
  <c r="AH10" i="8"/>
  <c r="AI15" i="8"/>
  <c r="K15" i="8"/>
  <c r="AI16" i="8"/>
  <c r="K16" i="8"/>
  <c r="AM8" i="8"/>
  <c r="AN8" i="8" s="1"/>
  <c r="AL8" i="8"/>
  <c r="AK28" i="8"/>
  <c r="AH27" i="8"/>
  <c r="AB15" i="8"/>
  <c r="AF15" i="8"/>
  <c r="AB16" i="8"/>
  <c r="AF16" i="8"/>
  <c r="C118" i="8"/>
  <c r="D118" i="8"/>
  <c r="BL118" i="8" s="1"/>
  <c r="BI118" i="8"/>
  <c r="AK39" i="8"/>
  <c r="AH38" i="8"/>
  <c r="AK55" i="8"/>
  <c r="AH47" i="8"/>
  <c r="AK79" i="8"/>
  <c r="AH78" i="8"/>
  <c r="AK82" i="8"/>
  <c r="AH81" i="8"/>
  <c r="AK85" i="8"/>
  <c r="AI8" i="8"/>
  <c r="BK10" i="8"/>
  <c r="I11" i="8"/>
  <c r="AB11" i="8"/>
  <c r="I12" i="8"/>
  <c r="AB12" i="8"/>
  <c r="I13" i="8"/>
  <c r="AB13" i="8"/>
  <c r="I14" i="8"/>
  <c r="AB14" i="8"/>
  <c r="I17" i="8"/>
  <c r="AB17" i="8"/>
  <c r="I18" i="8"/>
  <c r="AB18" i="8"/>
  <c r="I19" i="8"/>
  <c r="AB19" i="8"/>
  <c r="I20" i="8"/>
  <c r="AB20" i="8"/>
  <c r="I21" i="8"/>
  <c r="AB21" i="8"/>
  <c r="I22" i="8"/>
  <c r="AB22" i="8"/>
  <c r="I23" i="8"/>
  <c r="AB23" i="8"/>
  <c r="I24" i="8"/>
  <c r="AB24" i="8"/>
  <c r="I25" i="8"/>
  <c r="AB25" i="8"/>
  <c r="I26" i="8"/>
  <c r="AB26" i="8"/>
  <c r="I28" i="8"/>
  <c r="AB28" i="8"/>
  <c r="I29" i="8"/>
  <c r="AB29" i="8"/>
  <c r="I30" i="8"/>
  <c r="AB30" i="8"/>
  <c r="I31" i="8"/>
  <c r="AB31" i="8"/>
  <c r="I32" i="8"/>
  <c r="AB32" i="8"/>
  <c r="I33" i="8"/>
  <c r="AB33" i="8"/>
  <c r="I34" i="8"/>
  <c r="AB34" i="8"/>
  <c r="I35" i="8"/>
  <c r="AB35" i="8"/>
  <c r="I36" i="8"/>
  <c r="AB36" i="8"/>
  <c r="R87" i="8"/>
  <c r="R77" i="8" s="1"/>
  <c r="T87" i="8"/>
  <c r="T77" i="8" s="1"/>
  <c r="BB87" i="8"/>
  <c r="BB77" i="8" s="1"/>
  <c r="AK92" i="8"/>
  <c r="AB38" i="8"/>
  <c r="I39" i="8"/>
  <c r="AB39" i="8"/>
  <c r="I40" i="8"/>
  <c r="AB40" i="8"/>
  <c r="AB41" i="8"/>
  <c r="I42" i="8"/>
  <c r="AB42" i="8"/>
  <c r="I43" i="8"/>
  <c r="AB43" i="8"/>
  <c r="I44" i="8"/>
  <c r="AB44" i="8"/>
  <c r="I45" i="8"/>
  <c r="AB45" i="8"/>
  <c r="AB46" i="8"/>
  <c r="AB48" i="8"/>
  <c r="AB49" i="8"/>
  <c r="AB50" i="8"/>
  <c r="AB51" i="8"/>
  <c r="AB52" i="8"/>
  <c r="I53" i="8"/>
  <c r="AB53" i="8"/>
  <c r="AB54" i="8"/>
  <c r="I55" i="8"/>
  <c r="AB55" i="8"/>
  <c r="I56" i="8"/>
  <c r="AB56" i="8"/>
  <c r="AB57" i="8"/>
  <c r="I58" i="8"/>
  <c r="AB58" i="8"/>
  <c r="AB59" i="8"/>
  <c r="AB60" i="8"/>
  <c r="I61" i="8"/>
  <c r="AB61" i="8"/>
  <c r="AB62" i="8"/>
  <c r="AB63" i="8"/>
  <c r="BL64" i="8"/>
  <c r="BL65" i="8"/>
  <c r="BL66" i="8"/>
  <c r="BL67" i="8"/>
  <c r="BL68" i="8"/>
  <c r="BL69" i="8"/>
  <c r="BL70" i="8"/>
  <c r="BL71" i="8"/>
  <c r="BL72" i="8"/>
  <c r="I79" i="8"/>
  <c r="AB79" i="8"/>
  <c r="I80" i="8"/>
  <c r="AB80" i="8"/>
  <c r="AB81" i="8"/>
  <c r="I82" i="8"/>
  <c r="AB82" i="8"/>
  <c r="I83" i="8"/>
  <c r="AB83" i="8"/>
  <c r="I85" i="8"/>
  <c r="AB85" i="8"/>
  <c r="I86" i="8"/>
  <c r="AB86" i="8"/>
  <c r="AF86" i="8"/>
  <c r="AH86" i="8"/>
  <c r="I92" i="8"/>
  <c r="AB92" i="8"/>
  <c r="I93" i="8"/>
  <c r="AB93" i="8"/>
  <c r="I95" i="8"/>
  <c r="AB95" i="8"/>
  <c r="I96" i="8"/>
  <c r="AB96" i="8"/>
  <c r="I97" i="8"/>
  <c r="I98" i="8"/>
  <c r="I99" i="8"/>
  <c r="I100" i="8"/>
  <c r="K102" i="8"/>
  <c r="AB102" i="8"/>
  <c r="K103" i="8"/>
  <c r="AB103" i="8"/>
  <c r="K104" i="8"/>
  <c r="AB104" i="8"/>
  <c r="K105" i="8"/>
  <c r="AB105" i="8"/>
  <c r="K106" i="8"/>
  <c r="K107" i="8"/>
  <c r="K108" i="8"/>
  <c r="K109" i="8"/>
  <c r="K110" i="8"/>
  <c r="K111" i="8"/>
  <c r="K112" i="8"/>
  <c r="BX7" i="5"/>
  <c r="BZ7" i="5" s="1"/>
  <c r="BV7" i="5"/>
  <c r="BN9" i="5"/>
  <c r="BT10" i="5"/>
  <c r="BW7" i="5"/>
  <c r="BY7" i="5" s="1"/>
  <c r="BU7" i="5"/>
  <c r="AY99" i="5"/>
  <c r="DO99" i="5"/>
  <c r="DS11" i="5"/>
  <c r="AZ11" i="5"/>
  <c r="DT11" i="5" s="1"/>
  <c r="BP20" i="5"/>
  <c r="T20" i="5"/>
  <c r="BT27" i="5"/>
  <c r="BN26" i="5"/>
  <c r="DU38" i="5"/>
  <c r="DV38" i="5"/>
  <c r="BA38" i="5"/>
  <c r="BT39" i="5"/>
  <c r="BZ39" i="5" s="1"/>
  <c r="CF39" i="5" s="1"/>
  <c r="CL39" i="5" s="1"/>
  <c r="CR39" i="5" s="1"/>
  <c r="CX39" i="5" s="1"/>
  <c r="DD39" i="5" s="1"/>
  <c r="DJ39" i="5" s="1"/>
  <c r="BN37" i="5"/>
  <c r="BO7" i="5"/>
  <c r="DS8" i="5"/>
  <c r="DS9" i="5"/>
  <c r="AL10" i="5"/>
  <c r="P11" i="5"/>
  <c r="BH11" i="5"/>
  <c r="BN11" i="5" s="1"/>
  <c r="BT11" i="5" s="1"/>
  <c r="BZ11" i="5" s="1"/>
  <c r="CF11" i="5" s="1"/>
  <c r="CL11" i="5" s="1"/>
  <c r="CR11" i="5" s="1"/>
  <c r="CX11" i="5" s="1"/>
  <c r="DD11" i="5" s="1"/>
  <c r="DJ11" i="5" s="1"/>
  <c r="BG11" i="5"/>
  <c r="BM11" i="5" s="1"/>
  <c r="BS11" i="5" s="1"/>
  <c r="BY11" i="5" s="1"/>
  <c r="CE11" i="5" s="1"/>
  <c r="CK11" i="5" s="1"/>
  <c r="CQ11" i="5" s="1"/>
  <c r="CW11" i="5" s="1"/>
  <c r="DC11" i="5" s="1"/>
  <c r="DI11" i="5" s="1"/>
  <c r="BP28" i="5"/>
  <c r="BK76" i="5"/>
  <c r="BK66" i="5" s="1"/>
  <c r="DU11" i="5"/>
  <c r="DV11" i="5"/>
  <c r="BV24" i="5"/>
  <c r="X24" i="5"/>
  <c r="BS27" i="5"/>
  <c r="BM26" i="5"/>
  <c r="BP30" i="5"/>
  <c r="T30" i="5"/>
  <c r="S32" i="5"/>
  <c r="BO32" i="5"/>
  <c r="T35" i="5"/>
  <c r="BP35" i="5"/>
  <c r="O38" i="5"/>
  <c r="BZ38" i="5"/>
  <c r="T41" i="5"/>
  <c r="BP41" i="5"/>
  <c r="BP7" i="5"/>
  <c r="DT9" i="5"/>
  <c r="K10" i="5"/>
  <c r="M10" i="5"/>
  <c r="P10" i="5"/>
  <c r="O11" i="5"/>
  <c r="BA11" i="5"/>
  <c r="E81" i="5"/>
  <c r="AW80" i="5"/>
  <c r="T43" i="5"/>
  <c r="BP43" i="5"/>
  <c r="T44" i="5"/>
  <c r="BP44" i="5"/>
  <c r="BT54" i="5"/>
  <c r="BN46" i="5"/>
  <c r="T57" i="5"/>
  <c r="BP57" i="5"/>
  <c r="K12" i="5"/>
  <c r="M12" i="5"/>
  <c r="Q12" i="5" s="1"/>
  <c r="P12" i="5"/>
  <c r="O13" i="5"/>
  <c r="Q13" i="5"/>
  <c r="T13" i="5"/>
  <c r="K14" i="5"/>
  <c r="K15" i="5"/>
  <c r="P16" i="5"/>
  <c r="U16" i="5"/>
  <c r="Y16" i="5" s="1"/>
  <c r="K17" i="5"/>
  <c r="M17" i="5"/>
  <c r="Q17" i="5" s="1"/>
  <c r="P17" i="5"/>
  <c r="K18" i="5"/>
  <c r="M18" i="5"/>
  <c r="Q18" i="5" s="1"/>
  <c r="U18" i="5" s="1"/>
  <c r="P18" i="5"/>
  <c r="BJ20" i="5"/>
  <c r="K21" i="5"/>
  <c r="M21" i="5"/>
  <c r="Q21" i="5" s="1"/>
  <c r="U21" i="5" s="1"/>
  <c r="P21" i="5"/>
  <c r="K22" i="5"/>
  <c r="M22" i="5"/>
  <c r="Q22" i="5" s="1"/>
  <c r="P22" i="5"/>
  <c r="P23" i="5"/>
  <c r="BP24" i="5"/>
  <c r="AL25" i="5"/>
  <c r="BI25" i="5"/>
  <c r="P27" i="5"/>
  <c r="O29" i="5"/>
  <c r="BA29" i="5"/>
  <c r="DU29" i="5"/>
  <c r="O30" i="5"/>
  <c r="AL30" i="5"/>
  <c r="P31" i="5"/>
  <c r="DT31" i="5"/>
  <c r="P32" i="5"/>
  <c r="AL32" i="5"/>
  <c r="O33" i="5"/>
  <c r="BA33" i="5"/>
  <c r="DU33" i="5"/>
  <c r="O34" i="5"/>
  <c r="AK34" i="5"/>
  <c r="O35" i="5"/>
  <c r="BJ35" i="5"/>
  <c r="AT76" i="5"/>
  <c r="AT66" i="5" s="1"/>
  <c r="AX76" i="5"/>
  <c r="AX66" i="5" s="1"/>
  <c r="BD76" i="5"/>
  <c r="BD66" i="5" s="1"/>
  <c r="BL76" i="5"/>
  <c r="BL66" i="5" s="1"/>
  <c r="BX76" i="5"/>
  <c r="BX66" i="5" s="1"/>
  <c r="CJ76" i="5"/>
  <c r="CJ66" i="5" s="1"/>
  <c r="CP76" i="5"/>
  <c r="CP66" i="5" s="1"/>
  <c r="CV76" i="5"/>
  <c r="CV66" i="5" s="1"/>
  <c r="BG38" i="5"/>
  <c r="P39" i="5"/>
  <c r="O41" i="5"/>
  <c r="BJ41" i="5"/>
  <c r="DV41" i="5"/>
  <c r="P42" i="5"/>
  <c r="DV42" i="5"/>
  <c r="DU42" i="5"/>
  <c r="S52" i="5"/>
  <c r="BO52" i="5"/>
  <c r="BM46" i="5"/>
  <c r="BS54" i="5"/>
  <c r="O60" i="5"/>
  <c r="BI60" i="5"/>
  <c r="AL12" i="5"/>
  <c r="AL13" i="5"/>
  <c r="M14" i="5"/>
  <c r="M15" i="5"/>
  <c r="Q15" i="5" s="1"/>
  <c r="U15" i="5" s="1"/>
  <c r="O16" i="5"/>
  <c r="AL16" i="5"/>
  <c r="AL17" i="5"/>
  <c r="AL18" i="5"/>
  <c r="M19" i="5"/>
  <c r="P19" i="5"/>
  <c r="AL19" i="5"/>
  <c r="M20" i="5"/>
  <c r="Q20" i="5" s="1"/>
  <c r="AL21" i="5"/>
  <c r="AL22" i="5"/>
  <c r="O23" i="5"/>
  <c r="O24" i="5"/>
  <c r="Q24" i="5"/>
  <c r="U24" i="5" s="1"/>
  <c r="AL24" i="5"/>
  <c r="O27" i="5"/>
  <c r="BA27" i="5"/>
  <c r="AL28" i="5"/>
  <c r="P29" i="5"/>
  <c r="U30" i="5"/>
  <c r="O31" i="5"/>
  <c r="BA31" i="5"/>
  <c r="AG32" i="5"/>
  <c r="P33" i="5"/>
  <c r="P34" i="5"/>
  <c r="BW76" i="5"/>
  <c r="BW66" i="5" s="1"/>
  <c r="CI76" i="5"/>
  <c r="CI66" i="5" s="1"/>
  <c r="CO76" i="5"/>
  <c r="CO66" i="5" s="1"/>
  <c r="CU76" i="5"/>
  <c r="CU66" i="5" s="1"/>
  <c r="I37" i="5"/>
  <c r="P38" i="5"/>
  <c r="O39" i="5"/>
  <c r="BA39" i="5"/>
  <c r="O42" i="5"/>
  <c r="BA42" i="5"/>
  <c r="DR99" i="5"/>
  <c r="DV98" i="5"/>
  <c r="DT98" i="5"/>
  <c r="BS68" i="5"/>
  <c r="BM67" i="5"/>
  <c r="DV69" i="5"/>
  <c r="DU69" i="5"/>
  <c r="BA69" i="5"/>
  <c r="BM70" i="5"/>
  <c r="BT74" i="5"/>
  <c r="BN81" i="5"/>
  <c r="BH80" i="5"/>
  <c r="E43" i="5"/>
  <c r="O43" i="5"/>
  <c r="BJ43" i="5"/>
  <c r="O44" i="5"/>
  <c r="BJ44" i="5"/>
  <c r="DV48" i="5"/>
  <c r="P52" i="5"/>
  <c r="BA52" i="5"/>
  <c r="BI52" i="5"/>
  <c r="DQ52" i="5"/>
  <c r="DS52" i="5" s="1"/>
  <c r="DT54" i="5"/>
  <c r="P55" i="5"/>
  <c r="O57" i="5"/>
  <c r="BJ57" i="5"/>
  <c r="DV57" i="5"/>
  <c r="P60" i="5"/>
  <c r="DS68" i="5"/>
  <c r="AY67" i="5"/>
  <c r="S69" i="5"/>
  <c r="BO69" i="5"/>
  <c r="T72" i="5"/>
  <c r="BP72" i="5"/>
  <c r="O81" i="5"/>
  <c r="BI81" i="5"/>
  <c r="BM81" i="5"/>
  <c r="BA48" i="5"/>
  <c r="P54" i="5"/>
  <c r="DT55" i="5"/>
  <c r="BA57" i="5"/>
  <c r="BJ81" i="5"/>
  <c r="X91" i="5"/>
  <c r="BV91" i="5"/>
  <c r="P69" i="5"/>
  <c r="BI69" i="5"/>
  <c r="DU70" i="5"/>
  <c r="P71" i="5"/>
  <c r="BB71" i="5"/>
  <c r="BJ71" i="5"/>
  <c r="BN71" i="5"/>
  <c r="O72" i="5"/>
  <c r="O74" i="5"/>
  <c r="BI74" i="5"/>
  <c r="BM74" i="5"/>
  <c r="O75" i="5"/>
  <c r="BI75" i="5"/>
  <c r="BM75" i="5"/>
  <c r="P81" i="5"/>
  <c r="O82" i="5"/>
  <c r="BA83" i="5"/>
  <c r="DU83" i="5"/>
  <c r="O84" i="5"/>
  <c r="O85" i="5"/>
  <c r="BN87" i="5"/>
  <c r="BT87" i="5" s="1"/>
  <c r="BZ87" i="5" s="1"/>
  <c r="CF87" i="5" s="1"/>
  <c r="CL87" i="5" s="1"/>
  <c r="CR87" i="5" s="1"/>
  <c r="CX87" i="5" s="1"/>
  <c r="DD87" i="5" s="1"/>
  <c r="DJ87" i="5" s="1"/>
  <c r="DQ99" i="5"/>
  <c r="DU98" i="5"/>
  <c r="DS98" i="5"/>
  <c r="BV93" i="5"/>
  <c r="X93" i="5"/>
  <c r="BV95" i="5"/>
  <c r="X95" i="5"/>
  <c r="O68" i="5"/>
  <c r="BA68" i="5"/>
  <c r="O71" i="5"/>
  <c r="BA71" i="5"/>
  <c r="BA72" i="5"/>
  <c r="BA73" i="5"/>
  <c r="P74" i="5"/>
  <c r="P75" i="5"/>
  <c r="BJ75" i="5"/>
  <c r="BN75" i="5"/>
  <c r="P82" i="5"/>
  <c r="P84" i="5"/>
  <c r="P85" i="5"/>
  <c r="BJ87" i="5"/>
  <c r="BN90" i="5"/>
  <c r="BT90" i="5" s="1"/>
  <c r="BZ90" i="5" s="1"/>
  <c r="CF90" i="5" s="1"/>
  <c r="CL90" i="5" s="1"/>
  <c r="CR90" i="5" s="1"/>
  <c r="CX90" i="5" s="1"/>
  <c r="DD90" i="5" s="1"/>
  <c r="DJ90" i="5" s="1"/>
  <c r="DU91" i="5"/>
  <c r="BA91" i="5"/>
  <c r="P86" i="5"/>
  <c r="X88" i="5"/>
  <c r="S89" i="5"/>
  <c r="DU89" i="5"/>
  <c r="O90" i="5"/>
  <c r="S91" i="5"/>
  <c r="BP93" i="5"/>
  <c r="BP95" i="5"/>
  <c r="O86" i="5"/>
  <c r="W88" i="5"/>
  <c r="T89" i="5"/>
  <c r="X90" i="5"/>
  <c r="DV91" i="5"/>
  <c r="BO93" i="5"/>
  <c r="X94" i="5"/>
  <c r="S92" i="5"/>
  <c r="BA92" i="5"/>
  <c r="S93" i="5"/>
  <c r="BA93" i="5"/>
  <c r="S94" i="5"/>
  <c r="BA94" i="5"/>
  <c r="S95" i="5"/>
  <c r="BA95" i="5"/>
  <c r="S96" i="5"/>
  <c r="BA96" i="5"/>
  <c r="P111" i="5"/>
  <c r="O111" i="5"/>
  <c r="BB87" i="1" l="1"/>
  <c r="BB74" i="1"/>
  <c r="DT87" i="1"/>
  <c r="DT74" i="1"/>
  <c r="AG75" i="8"/>
  <c r="AG76" i="8"/>
  <c r="CI65" i="5"/>
  <c r="AC118" i="8"/>
  <c r="D118" i="9"/>
  <c r="BL118" i="9" s="1"/>
  <c r="X10" i="11"/>
  <c r="O74" i="11"/>
  <c r="O75" i="11" s="1"/>
  <c r="BC114" i="11"/>
  <c r="BC118" i="11" s="1"/>
  <c r="D91" i="9"/>
  <c r="P74" i="8"/>
  <c r="F87" i="9"/>
  <c r="F77" i="9" s="1"/>
  <c r="BO9" i="11"/>
  <c r="BD114" i="11"/>
  <c r="AE37" i="8"/>
  <c r="AE74" i="8" s="1"/>
  <c r="DR36" i="5"/>
  <c r="BE98" i="5"/>
  <c r="AB26" i="11"/>
  <c r="AA25" i="11"/>
  <c r="AA97" i="11"/>
  <c r="CG97" i="11" s="1"/>
  <c r="BE114" i="1"/>
  <c r="DO76" i="5"/>
  <c r="DO66" i="5" s="1"/>
  <c r="DO77" i="5" s="1"/>
  <c r="AG87" i="8"/>
  <c r="AG77" i="8" s="1"/>
  <c r="AB10" i="9"/>
  <c r="BH36" i="5"/>
  <c r="AD114" i="8"/>
  <c r="AE114" i="8" s="1"/>
  <c r="X87" i="8"/>
  <c r="X77" i="8" s="1"/>
  <c r="T9" i="11"/>
  <c r="T87" i="11" s="1"/>
  <c r="BV87" i="11" s="1"/>
  <c r="AM74" i="8"/>
  <c r="AM75" i="8" s="1"/>
  <c r="R87" i="10"/>
  <c r="R77" i="10" s="1"/>
  <c r="N87" i="9"/>
  <c r="N77" i="9" s="1"/>
  <c r="P87" i="11"/>
  <c r="BP87" i="11" s="1"/>
  <c r="AB84" i="8"/>
  <c r="AB84" i="9"/>
  <c r="X87" i="10"/>
  <c r="X77" i="10" s="1"/>
  <c r="P74" i="11"/>
  <c r="F70" i="5"/>
  <c r="BB70" i="5" s="1"/>
  <c r="Z76" i="5"/>
  <c r="Z66" i="5" s="1"/>
  <c r="H74" i="8"/>
  <c r="H75" i="8" s="1"/>
  <c r="N63" i="5"/>
  <c r="N64" i="5" s="1"/>
  <c r="C8" i="5"/>
  <c r="X96" i="5"/>
  <c r="CB96" i="5" s="1"/>
  <c r="T68" i="5"/>
  <c r="H87" i="8"/>
  <c r="H77" i="8" s="1"/>
  <c r="X47" i="11"/>
  <c r="CB47" i="11" s="1"/>
  <c r="BD65" i="5"/>
  <c r="BE87" i="9"/>
  <c r="BE77" i="9" s="1"/>
  <c r="F76" i="11"/>
  <c r="AB61" i="11"/>
  <c r="AJ74" i="9"/>
  <c r="AJ75" i="9" s="1"/>
  <c r="V63" i="5"/>
  <c r="N76" i="5"/>
  <c r="N66" i="5" s="1"/>
  <c r="L76" i="11"/>
  <c r="BI74" i="8"/>
  <c r="BI75" i="8" s="1"/>
  <c r="D36" i="5"/>
  <c r="DN76" i="5"/>
  <c r="DN66" i="5" s="1"/>
  <c r="J76" i="5"/>
  <c r="J66" i="5" s="1"/>
  <c r="DG76" i="5"/>
  <c r="DG66" i="5" s="1"/>
  <c r="BI54" i="5"/>
  <c r="R87" i="9"/>
  <c r="R77" i="9" s="1"/>
  <c r="L74" i="8"/>
  <c r="L75" i="8" s="1"/>
  <c r="BR76" i="5"/>
  <c r="BR66" i="5" s="1"/>
  <c r="BT37" i="5"/>
  <c r="I94" i="8"/>
  <c r="L87" i="9"/>
  <c r="L77" i="9" s="1"/>
  <c r="AY87" i="10"/>
  <c r="AY77" i="10" s="1"/>
  <c r="H75" i="11"/>
  <c r="BV25" i="5"/>
  <c r="AB38" i="10"/>
  <c r="BI73" i="5"/>
  <c r="F12" i="14"/>
  <c r="BA35" i="5"/>
  <c r="AB27" i="9"/>
  <c r="BA41" i="5"/>
  <c r="N65" i="5"/>
  <c r="O77" i="11"/>
  <c r="AC74" i="8"/>
  <c r="AC75" i="8" s="1"/>
  <c r="DV35" i="5"/>
  <c r="L87" i="8"/>
  <c r="L77" i="8" s="1"/>
  <c r="AH94" i="9"/>
  <c r="AK94" i="9" s="1"/>
  <c r="AN94" i="9" s="1"/>
  <c r="AQ94" i="9" s="1"/>
  <c r="AT94" i="9" s="1"/>
  <c r="AW94" i="9" s="1"/>
  <c r="AZ94" i="9" s="1"/>
  <c r="BC94" i="9" s="1"/>
  <c r="BF94" i="9" s="1"/>
  <c r="Z74" i="8"/>
  <c r="BJ9" i="5"/>
  <c r="BJ65" i="5" s="1"/>
  <c r="E37" i="5"/>
  <c r="I94" i="9"/>
  <c r="I91" i="9" s="1"/>
  <c r="AI91" i="9" s="1"/>
  <c r="AA37" i="10"/>
  <c r="J63" i="5"/>
  <c r="J64" i="5" s="1"/>
  <c r="DG63" i="5"/>
  <c r="DG64" i="5" s="1"/>
  <c r="K77" i="11"/>
  <c r="C74" i="10"/>
  <c r="C75" i="10" s="1"/>
  <c r="DH76" i="5"/>
  <c r="DH66" i="5" s="1"/>
  <c r="K101" i="8"/>
  <c r="D9" i="9"/>
  <c r="AB9" i="9" s="1"/>
  <c r="DQ63" i="5"/>
  <c r="DQ64" i="5" s="1"/>
  <c r="DP63" i="5"/>
  <c r="DP64" i="5" s="1"/>
  <c r="AG87" i="9"/>
  <c r="AG77" i="9" s="1"/>
  <c r="T74" i="10"/>
  <c r="T75" i="10" s="1"/>
  <c r="P87" i="9"/>
  <c r="P77" i="9" s="1"/>
  <c r="BQ76" i="5"/>
  <c r="BQ66" i="5" s="1"/>
  <c r="E87" i="8"/>
  <c r="E77" i="8" s="1"/>
  <c r="N74" i="9"/>
  <c r="N75" i="9" s="1"/>
  <c r="J87" i="10"/>
  <c r="J77" i="10" s="1"/>
  <c r="BJ74" i="10"/>
  <c r="BJ76" i="10" s="1"/>
  <c r="D8" i="5"/>
  <c r="D76" i="5" s="1"/>
  <c r="DU46" i="5"/>
  <c r="DV46" i="5"/>
  <c r="BX64" i="5"/>
  <c r="BX65" i="5"/>
  <c r="AC63" i="5"/>
  <c r="AC64" i="5" s="1"/>
  <c r="AC76" i="5"/>
  <c r="AC66" i="5" s="1"/>
  <c r="X75" i="8"/>
  <c r="X76" i="8"/>
  <c r="CO65" i="5"/>
  <c r="X87" i="9"/>
  <c r="X77" i="9" s="1"/>
  <c r="AA87" i="8"/>
  <c r="BK87" i="8" s="1"/>
  <c r="BB87" i="11"/>
  <c r="AS74" i="8"/>
  <c r="AS75" i="8" s="1"/>
  <c r="BB74" i="8"/>
  <c r="BB75" i="8" s="1"/>
  <c r="AY36" i="5"/>
  <c r="AY76" i="5" s="1"/>
  <c r="BK9" i="8"/>
  <c r="P77" i="11"/>
  <c r="AH63" i="5"/>
  <c r="AH64" i="5" s="1"/>
  <c r="BI39" i="5"/>
  <c r="DP76" i="5"/>
  <c r="DP66" i="5" s="1"/>
  <c r="BE76" i="5"/>
  <c r="BE66" i="5" s="1"/>
  <c r="AB94" i="8"/>
  <c r="K15" i="9"/>
  <c r="AL15" i="9" s="1"/>
  <c r="DM12" i="11"/>
  <c r="DM75" i="11" s="1"/>
  <c r="DO15" i="1"/>
  <c r="DP15" i="1"/>
  <c r="BQ63" i="5"/>
  <c r="BQ64" i="5" s="1"/>
  <c r="BJ74" i="8"/>
  <c r="BJ88" i="8" s="1"/>
  <c r="AD87" i="10"/>
  <c r="AD77" i="10" s="1"/>
  <c r="P74" i="9"/>
  <c r="P75" i="9" s="1"/>
  <c r="AK67" i="5"/>
  <c r="AY74" i="10"/>
  <c r="AY76" i="10" s="1"/>
  <c r="BI87" i="8"/>
  <c r="BI77" i="8" s="1"/>
  <c r="AM76" i="8"/>
  <c r="D91" i="8"/>
  <c r="V87" i="9"/>
  <c r="V77" i="9" s="1"/>
  <c r="H74" i="9"/>
  <c r="H76" i="9" s="1"/>
  <c r="E74" i="8"/>
  <c r="E76" i="8" s="1"/>
  <c r="DO12" i="11"/>
  <c r="DO75" i="11" s="1"/>
  <c r="DR15" i="1"/>
  <c r="DQ15" i="1"/>
  <c r="DW112" i="1"/>
  <c r="G101" i="1"/>
  <c r="AP74" i="10"/>
  <c r="AP75" i="10" s="1"/>
  <c r="C74" i="9"/>
  <c r="C75" i="9" s="1"/>
  <c r="AV74" i="10"/>
  <c r="AV75" i="10" s="1"/>
  <c r="R63" i="5"/>
  <c r="Z87" i="10"/>
  <c r="Z77" i="10" s="1"/>
  <c r="AW36" i="5"/>
  <c r="AP74" i="8"/>
  <c r="AP75" i="8" s="1"/>
  <c r="BW63" i="5"/>
  <c r="BW64" i="5" s="1"/>
  <c r="L75" i="9"/>
  <c r="L76" i="9"/>
  <c r="V87" i="10"/>
  <c r="V77" i="10" s="1"/>
  <c r="K101" i="9"/>
  <c r="C87" i="9"/>
  <c r="C77" i="9" s="1"/>
  <c r="G91" i="10"/>
  <c r="AF91" i="10" s="1"/>
  <c r="AV87" i="10"/>
  <c r="AV77" i="10" s="1"/>
  <c r="E74" i="9"/>
  <c r="E75" i="9" s="1"/>
  <c r="F87" i="10"/>
  <c r="F77" i="10" s="1"/>
  <c r="I94" i="10"/>
  <c r="AI94" i="10" s="1"/>
  <c r="AE9" i="10"/>
  <c r="AA37" i="9"/>
  <c r="AA74" i="9" s="1"/>
  <c r="AA76" i="9" s="1"/>
  <c r="BJ87" i="9"/>
  <c r="BJ77" i="9" s="1"/>
  <c r="AP87" i="9"/>
  <c r="AP77" i="9" s="1"/>
  <c r="V74" i="9"/>
  <c r="V75" i="9" s="1"/>
  <c r="R74" i="10"/>
  <c r="R75" i="10" s="1"/>
  <c r="I8" i="5"/>
  <c r="DH64" i="5"/>
  <c r="DH65" i="5"/>
  <c r="R75" i="9"/>
  <c r="R76" i="9"/>
  <c r="AJ87" i="9"/>
  <c r="AJ77" i="9" s="1"/>
  <c r="AC87" i="8"/>
  <c r="AC77" i="8" s="1"/>
  <c r="BG114" i="8"/>
  <c r="BH8" i="5"/>
  <c r="BH76" i="5" s="1"/>
  <c r="BH66" i="5" s="1"/>
  <c r="BA70" i="5"/>
  <c r="Z87" i="8"/>
  <c r="Z77" i="8" s="1"/>
  <c r="AB47" i="9"/>
  <c r="BI67" i="5"/>
  <c r="E87" i="9"/>
  <c r="E77" i="9" s="1"/>
  <c r="BE87" i="8"/>
  <c r="BE77" i="8" s="1"/>
  <c r="DS26" i="5"/>
  <c r="DM63" i="5"/>
  <c r="DM65" i="5" s="1"/>
  <c r="DQ76" i="5"/>
  <c r="DQ66" i="5" s="1"/>
  <c r="S87" i="11"/>
  <c r="AS74" i="9"/>
  <c r="AS75" i="9" s="1"/>
  <c r="AD87" i="9"/>
  <c r="AD77" i="9" s="1"/>
  <c r="AV74" i="8"/>
  <c r="BF98" i="5"/>
  <c r="BI88" i="8"/>
  <c r="P87" i="8"/>
  <c r="P77" i="8" s="1"/>
  <c r="BI74" i="10"/>
  <c r="Z74" i="9"/>
  <c r="Z75" i="9" s="1"/>
  <c r="DB63" i="5"/>
  <c r="V74" i="10"/>
  <c r="V76" i="10" s="1"/>
  <c r="AJ87" i="10"/>
  <c r="AJ77" i="10" s="1"/>
  <c r="BE74" i="9"/>
  <c r="BE75" i="9" s="1"/>
  <c r="N74" i="10"/>
  <c r="N75" i="10" s="1"/>
  <c r="DX109" i="1"/>
  <c r="DW109" i="1"/>
  <c r="BB87" i="10"/>
  <c r="BB77" i="10" s="1"/>
  <c r="DK101" i="1"/>
  <c r="CC63" i="5"/>
  <c r="CC64" i="5" s="1"/>
  <c r="CD76" i="5"/>
  <c r="CD66" i="5" s="1"/>
  <c r="DS11" i="1"/>
  <c r="BA11" i="1"/>
  <c r="BA118" i="1"/>
  <c r="DV118" i="1"/>
  <c r="CV64" i="5"/>
  <c r="CV65" i="5"/>
  <c r="CJ64" i="5"/>
  <c r="CJ65" i="5"/>
  <c r="BL64" i="5"/>
  <c r="BL65" i="5"/>
  <c r="X75" i="9"/>
  <c r="X76" i="9"/>
  <c r="DR114" i="11"/>
  <c r="DR118" i="11" s="1"/>
  <c r="DV87" i="11"/>
  <c r="AG74" i="9"/>
  <c r="AG75" i="9" s="1"/>
  <c r="R74" i="8"/>
  <c r="R76" i="8" s="1"/>
  <c r="O55" i="5"/>
  <c r="O46" i="5" s="1"/>
  <c r="BO46" i="5" s="1"/>
  <c r="DT65" i="5"/>
  <c r="DP99" i="5"/>
  <c r="AB27" i="8"/>
  <c r="N87" i="10"/>
  <c r="N77" i="10" s="1"/>
  <c r="E74" i="11"/>
  <c r="J74" i="8"/>
  <c r="J75" i="8" s="1"/>
  <c r="D91" i="10"/>
  <c r="AM87" i="9"/>
  <c r="AM77" i="9" s="1"/>
  <c r="AE9" i="9"/>
  <c r="J74" i="10"/>
  <c r="BI70" i="5"/>
  <c r="L80" i="5"/>
  <c r="CC76" i="5"/>
  <c r="CC66" i="5" s="1"/>
  <c r="BF76" i="5"/>
  <c r="BF66" i="5" s="1"/>
  <c r="BF65" i="5"/>
  <c r="AE91" i="8"/>
  <c r="BK37" i="9"/>
  <c r="AH94" i="10"/>
  <c r="AK94" i="10" s="1"/>
  <c r="AN94" i="10" s="1"/>
  <c r="AQ94" i="10" s="1"/>
  <c r="AT94" i="10" s="1"/>
  <c r="AW94" i="10" s="1"/>
  <c r="AZ94" i="10" s="1"/>
  <c r="BC94" i="10" s="1"/>
  <c r="BF94" i="10" s="1"/>
  <c r="T76" i="10"/>
  <c r="G9" i="8"/>
  <c r="AF9" i="8" s="1"/>
  <c r="BH74" i="10"/>
  <c r="BH75" i="10" s="1"/>
  <c r="L74" i="10"/>
  <c r="L75" i="10" s="1"/>
  <c r="AD74" i="10"/>
  <c r="AD75" i="10" s="1"/>
  <c r="AY74" i="8"/>
  <c r="DA63" i="5"/>
  <c r="BJ83" i="5"/>
  <c r="AT65" i="5"/>
  <c r="AZ99" i="5"/>
  <c r="AA87" i="9"/>
  <c r="BB87" i="9"/>
  <c r="BB77" i="9" s="1"/>
  <c r="BA37" i="11"/>
  <c r="AG74" i="10"/>
  <c r="AG76" i="10" s="1"/>
  <c r="E87" i="10"/>
  <c r="E77" i="10" s="1"/>
  <c r="Z63" i="5"/>
  <c r="Z64" i="5" s="1"/>
  <c r="BJ26" i="5"/>
  <c r="O83" i="5"/>
  <c r="BM9" i="5"/>
  <c r="BM8" i="5" s="1"/>
  <c r="BB74" i="10"/>
  <c r="BB75" i="10" s="1"/>
  <c r="F87" i="8"/>
  <c r="F77" i="8" s="1"/>
  <c r="K80" i="5"/>
  <c r="AB81" i="9"/>
  <c r="H87" i="9"/>
  <c r="H77" i="9" s="1"/>
  <c r="BH74" i="8"/>
  <c r="BH75" i="8" s="1"/>
  <c r="AW8" i="5"/>
  <c r="AW63" i="5" s="1"/>
  <c r="CF10" i="1"/>
  <c r="CF74" i="1" s="1"/>
  <c r="DD10" i="1"/>
  <c r="DD87" i="1" s="1"/>
  <c r="DD77" i="1" s="1"/>
  <c r="BZ10" i="1"/>
  <c r="BZ87" i="1" s="1"/>
  <c r="BZ77" i="1" s="1"/>
  <c r="CX10" i="1"/>
  <c r="CX74" i="1" s="1"/>
  <c r="X75" i="10"/>
  <c r="X76" i="10"/>
  <c r="T75" i="9"/>
  <c r="T76" i="9"/>
  <c r="DM64" i="5"/>
  <c r="BK64" i="5"/>
  <c r="BK65" i="5"/>
  <c r="BJ87" i="10"/>
  <c r="BJ77" i="10" s="1"/>
  <c r="AX63" i="5"/>
  <c r="AX64" i="5" s="1"/>
  <c r="X92" i="5"/>
  <c r="DU52" i="5"/>
  <c r="I36" i="5"/>
  <c r="DB76" i="5"/>
  <c r="DB66" i="5" s="1"/>
  <c r="AD76" i="5"/>
  <c r="AD66" i="5" s="1"/>
  <c r="BP25" i="5"/>
  <c r="AY87" i="8"/>
  <c r="AY77" i="8" s="1"/>
  <c r="J87" i="8"/>
  <c r="J77" i="8" s="1"/>
  <c r="BK37" i="8"/>
  <c r="AB78" i="9"/>
  <c r="AS87" i="9"/>
  <c r="AS77" i="9" s="1"/>
  <c r="AC87" i="9"/>
  <c r="AC77" i="9" s="1"/>
  <c r="AJ76" i="9"/>
  <c r="AD114" i="10"/>
  <c r="AE114" i="10" s="1"/>
  <c r="BH87" i="10"/>
  <c r="BH77" i="10" s="1"/>
  <c r="AG87" i="10"/>
  <c r="AG77" i="10" s="1"/>
  <c r="C87" i="10"/>
  <c r="C77" i="10" s="1"/>
  <c r="AJ74" i="10"/>
  <c r="AJ75" i="10" s="1"/>
  <c r="H114" i="11"/>
  <c r="H118" i="11" s="1"/>
  <c r="AE9" i="8"/>
  <c r="G37" i="8"/>
  <c r="V74" i="8"/>
  <c r="V76" i="8" s="1"/>
  <c r="AD74" i="9"/>
  <c r="AM74" i="10"/>
  <c r="AM76" i="10" s="1"/>
  <c r="T87" i="10"/>
  <c r="T77" i="10" s="1"/>
  <c r="F74" i="9"/>
  <c r="F76" i="9" s="1"/>
  <c r="BH87" i="9"/>
  <c r="BH77" i="9" s="1"/>
  <c r="AV87" i="9"/>
  <c r="AV77" i="9" s="1"/>
  <c r="C76" i="5"/>
  <c r="CP63" i="5"/>
  <c r="AB81" i="10"/>
  <c r="BI74" i="9"/>
  <c r="BI75" i="9" s="1"/>
  <c r="AY74" i="9"/>
  <c r="AY75" i="9" s="1"/>
  <c r="F74" i="10"/>
  <c r="F75" i="10" s="1"/>
  <c r="AE37" i="9"/>
  <c r="BE74" i="10"/>
  <c r="BE75" i="10" s="1"/>
  <c r="AS74" i="10"/>
  <c r="AS75" i="10" s="1"/>
  <c r="DQ114" i="11"/>
  <c r="DQ118" i="11" s="1"/>
  <c r="C87" i="8"/>
  <c r="C77" i="8" s="1"/>
  <c r="P74" i="10"/>
  <c r="P76" i="10" s="1"/>
  <c r="J74" i="9"/>
  <c r="J75" i="9" s="1"/>
  <c r="BG8" i="5"/>
  <c r="CD63" i="5"/>
  <c r="N74" i="8"/>
  <c r="N75" i="8" s="1"/>
  <c r="AW117" i="8"/>
  <c r="CE117" i="8" s="1"/>
  <c r="AJ74" i="8"/>
  <c r="AJ75" i="8" s="1"/>
  <c r="K46" i="5"/>
  <c r="BI46" i="5" s="1"/>
  <c r="BP87" i="5"/>
  <c r="DN63" i="5"/>
  <c r="BR63" i="5"/>
  <c r="AB87" i="1"/>
  <c r="AB77" i="1" s="1"/>
  <c r="T74" i="1"/>
  <c r="X74" i="1"/>
  <c r="T87" i="1"/>
  <c r="T77" i="1" s="1"/>
  <c r="L74" i="1"/>
  <c r="Y110" i="1"/>
  <c r="AC110" i="1" s="1"/>
  <c r="DN12" i="11"/>
  <c r="DN76" i="11" s="1"/>
  <c r="DQ10" i="1"/>
  <c r="DQ55" i="1"/>
  <c r="DQ57" i="1" s="1"/>
  <c r="BQ110" i="1"/>
  <c r="DO55" i="1"/>
  <c r="DO57" i="1" s="1"/>
  <c r="CR10" i="1"/>
  <c r="CR74" i="1" s="1"/>
  <c r="CR11" i="1"/>
  <c r="X87" i="1"/>
  <c r="X77" i="1" s="1"/>
  <c r="CL10" i="1"/>
  <c r="CL87" i="1" s="1"/>
  <c r="CL77" i="1" s="1"/>
  <c r="CL11" i="1"/>
  <c r="BN10" i="1"/>
  <c r="BN74" i="1" s="1"/>
  <c r="AN74" i="1"/>
  <c r="AF87" i="1"/>
  <c r="AF77" i="1" s="1"/>
  <c r="AJ74" i="1"/>
  <c r="AN87" i="1"/>
  <c r="AN77" i="1" s="1"/>
  <c r="DP10" i="1"/>
  <c r="AE10" i="1"/>
  <c r="AE74" i="1" s="1"/>
  <c r="AQ10" i="1"/>
  <c r="AQ74" i="1" s="1"/>
  <c r="AU10" i="1"/>
  <c r="W10" i="1"/>
  <c r="W74" i="1" s="1"/>
  <c r="AY10" i="1"/>
  <c r="AY74" i="1" s="1"/>
  <c r="BE10" i="1"/>
  <c r="BE74" i="1" s="1"/>
  <c r="AI10" i="1"/>
  <c r="AI74" i="1" s="1"/>
  <c r="K10" i="1"/>
  <c r="K74" i="1" s="1"/>
  <c r="AM10" i="1"/>
  <c r="AM74" i="1" s="1"/>
  <c r="O10" i="1"/>
  <c r="O87" i="1" s="1"/>
  <c r="O77" i="1" s="1"/>
  <c r="I10" i="1"/>
  <c r="I87" i="1" s="1"/>
  <c r="I77" i="1" s="1"/>
  <c r="S10" i="1"/>
  <c r="S74" i="1" s="1"/>
  <c r="AJ87" i="1"/>
  <c r="AJ77" i="1" s="1"/>
  <c r="AA10" i="1"/>
  <c r="DR10" i="1"/>
  <c r="DR87" i="1" s="1"/>
  <c r="DR77" i="1" s="1"/>
  <c r="DP12" i="11"/>
  <c r="DP75" i="11" s="1"/>
  <c r="BD110" i="1"/>
  <c r="BH10" i="1"/>
  <c r="BH87" i="1" s="1"/>
  <c r="BH77" i="1" s="1"/>
  <c r="DP55" i="1"/>
  <c r="DP57" i="1" s="1"/>
  <c r="BG10" i="1"/>
  <c r="BG74" i="1" s="1"/>
  <c r="CK10" i="1"/>
  <c r="CK74" i="1" s="1"/>
  <c r="DJ10" i="1"/>
  <c r="DJ87" i="1" s="1"/>
  <c r="DJ77" i="1" s="1"/>
  <c r="BY10" i="1"/>
  <c r="BY74" i="1" s="1"/>
  <c r="DC10" i="1"/>
  <c r="DC74" i="1" s="1"/>
  <c r="CE10" i="1"/>
  <c r="CE74" i="1" s="1"/>
  <c r="BT10" i="1"/>
  <c r="BT87" i="1" s="1"/>
  <c r="BT77" i="1" s="1"/>
  <c r="BS10" i="1"/>
  <c r="BS74" i="1" s="1"/>
  <c r="DI10" i="1"/>
  <c r="DI74" i="1" s="1"/>
  <c r="BM10" i="1"/>
  <c r="BM87" i="1" s="1"/>
  <c r="BM77" i="1" s="1"/>
  <c r="CW10" i="1"/>
  <c r="CW87" i="1" s="1"/>
  <c r="CW77" i="1" s="1"/>
  <c r="DO10" i="1"/>
  <c r="CQ10" i="1"/>
  <c r="CQ74" i="1" s="1"/>
  <c r="J74" i="1"/>
  <c r="AV74" i="1"/>
  <c r="AV87" i="1"/>
  <c r="AV77" i="1" s="1"/>
  <c r="BW111" i="1"/>
  <c r="AZ74" i="1"/>
  <c r="BW109" i="1"/>
  <c r="AZ87" i="1"/>
  <c r="AZ77" i="1" s="1"/>
  <c r="J87" i="1"/>
  <c r="J77" i="1" s="1"/>
  <c r="BC111" i="1"/>
  <c r="BF74" i="1"/>
  <c r="H75" i="10"/>
  <c r="H76" i="10"/>
  <c r="J75" i="10"/>
  <c r="J76" i="10"/>
  <c r="AG75" i="10"/>
  <c r="C63" i="5"/>
  <c r="BI76" i="10"/>
  <c r="BI75" i="10"/>
  <c r="AY75" i="10"/>
  <c r="P75" i="8"/>
  <c r="P76" i="8"/>
  <c r="BE64" i="5"/>
  <c r="BE65" i="5"/>
  <c r="AV75" i="8"/>
  <c r="AV76" i="8"/>
  <c r="V64" i="5"/>
  <c r="V65" i="5"/>
  <c r="AY76" i="8"/>
  <c r="AY75" i="8"/>
  <c r="AS76" i="5"/>
  <c r="AS66" i="5" s="1"/>
  <c r="AS63" i="5"/>
  <c r="BJ80" i="5"/>
  <c r="F114" i="10"/>
  <c r="G114" i="10" s="1"/>
  <c r="H114" i="10" s="1"/>
  <c r="AI114" i="10"/>
  <c r="BC63" i="5"/>
  <c r="DV90" i="5"/>
  <c r="E87" i="5"/>
  <c r="DU68" i="5"/>
  <c r="DV68" i="5"/>
  <c r="E67" i="5"/>
  <c r="BB81" i="5"/>
  <c r="F80" i="5"/>
  <c r="BB80" i="5" s="1"/>
  <c r="T87" i="5"/>
  <c r="BV87" i="5" s="1"/>
  <c r="BP90" i="5"/>
  <c r="DO65" i="5"/>
  <c r="CU65" i="5"/>
  <c r="G91" i="8"/>
  <c r="AF91" i="8" s="1"/>
  <c r="BH87" i="8"/>
  <c r="BH77" i="8" s="1"/>
  <c r="AV87" i="8"/>
  <c r="AV77" i="8" s="1"/>
  <c r="AJ87" i="8"/>
  <c r="AJ77" i="8" s="1"/>
  <c r="BE76" i="8"/>
  <c r="AF10" i="8"/>
  <c r="T76" i="8"/>
  <c r="AB94" i="9"/>
  <c r="G91" i="9"/>
  <c r="AF91" i="9" s="1"/>
  <c r="J87" i="9"/>
  <c r="J77" i="9" s="1"/>
  <c r="AY76" i="9"/>
  <c r="AC76" i="9"/>
  <c r="AB84" i="10"/>
  <c r="P87" i="10"/>
  <c r="P77" i="10" s="1"/>
  <c r="H87" i="10"/>
  <c r="H77" i="10" s="1"/>
  <c r="AP76" i="10"/>
  <c r="I114" i="1"/>
  <c r="BF87" i="1"/>
  <c r="BF77" i="1" s="1"/>
  <c r="G9" i="9"/>
  <c r="AF9" i="9" s="1"/>
  <c r="C74" i="8"/>
  <c r="C75" i="8" s="1"/>
  <c r="BH74" i="9"/>
  <c r="AV74" i="9"/>
  <c r="E74" i="10"/>
  <c r="E75" i="10" s="1"/>
  <c r="DU37" i="11"/>
  <c r="F74" i="8"/>
  <c r="DR57" i="1"/>
  <c r="BL117" i="8"/>
  <c r="BN117" i="8" s="1"/>
  <c r="AT117" i="8"/>
  <c r="CZ117" i="8" s="1"/>
  <c r="AH117" i="8"/>
  <c r="CN117" i="8" s="1"/>
  <c r="AE117" i="8"/>
  <c r="BM117" i="8" s="1"/>
  <c r="BF117" i="8"/>
  <c r="BC117" i="8"/>
  <c r="AZ117" i="8"/>
  <c r="DF117" i="8" s="1"/>
  <c r="AK117" i="8"/>
  <c r="BS117" i="8" s="1"/>
  <c r="AN117" i="8"/>
  <c r="CT117" i="8" s="1"/>
  <c r="AQ117" i="8"/>
  <c r="BY117" i="8" s="1"/>
  <c r="AB117" i="8"/>
  <c r="CH117" i="8" s="1"/>
  <c r="BJ117" i="8"/>
  <c r="BB46" i="5"/>
  <c r="L8" i="5"/>
  <c r="DR8" i="5"/>
  <c r="AL114" i="9"/>
  <c r="I114" i="9"/>
  <c r="J114" i="9" s="1"/>
  <c r="K114" i="9" s="1"/>
  <c r="AO114" i="9" s="1"/>
  <c r="BI88" i="10"/>
  <c r="AU115" i="8"/>
  <c r="AV115" i="8" s="1"/>
  <c r="S115" i="8"/>
  <c r="T115" i="8" s="1"/>
  <c r="AX115" i="8" s="1"/>
  <c r="X94" i="11"/>
  <c r="T91" i="11"/>
  <c r="BV91" i="11" s="1"/>
  <c r="BV94" i="11"/>
  <c r="J114" i="1"/>
  <c r="AI114" i="8"/>
  <c r="DT46" i="5"/>
  <c r="AZ36" i="5"/>
  <c r="G36" i="5"/>
  <c r="O28" i="5"/>
  <c r="BO28" i="5" s="1"/>
  <c r="K26" i="5"/>
  <c r="BI26" i="5" s="1"/>
  <c r="BB37" i="5"/>
  <c r="F36" i="5"/>
  <c r="DU90" i="5"/>
  <c r="BA46" i="5"/>
  <c r="Q28" i="5"/>
  <c r="Q26" i="5" s="1"/>
  <c r="DS65" i="5"/>
  <c r="AB101" i="8"/>
  <c r="AB78" i="8"/>
  <c r="AD87" i="8"/>
  <c r="AD77" i="8" s="1"/>
  <c r="V87" i="8"/>
  <c r="V77" i="8" s="1"/>
  <c r="N87" i="8"/>
  <c r="N77" i="8" s="1"/>
  <c r="BI87" i="9"/>
  <c r="BI77" i="9" s="1"/>
  <c r="AB78" i="10"/>
  <c r="BH76" i="10"/>
  <c r="R76" i="10"/>
  <c r="C76" i="10"/>
  <c r="AE37" i="10"/>
  <c r="G114" i="11"/>
  <c r="G118" i="11" s="1"/>
  <c r="AR87" i="1"/>
  <c r="AR77" i="1" s="1"/>
  <c r="P87" i="1"/>
  <c r="P77" i="1" s="1"/>
  <c r="G37" i="10"/>
  <c r="AF37" i="10" s="1"/>
  <c r="BJ74" i="9"/>
  <c r="BB74" i="9"/>
  <c r="AP74" i="9"/>
  <c r="AU116" i="8"/>
  <c r="AV116" i="8" s="1"/>
  <c r="S116" i="8"/>
  <c r="T116" i="8" s="1"/>
  <c r="AX116" i="8" s="1"/>
  <c r="BJ87" i="11"/>
  <c r="L77" i="11"/>
  <c r="AR74" i="1"/>
  <c r="P74" i="1"/>
  <c r="L46" i="5"/>
  <c r="H36" i="5"/>
  <c r="O25" i="5"/>
  <c r="BO25" i="5" s="1"/>
  <c r="BQ111" i="1"/>
  <c r="V112" i="1"/>
  <c r="BR109" i="1"/>
  <c r="BD112" i="1"/>
  <c r="BD111" i="1"/>
  <c r="BC110" i="1"/>
  <c r="BC109" i="1"/>
  <c r="AF74" i="1"/>
  <c r="BQ109" i="1"/>
  <c r="BC112" i="1"/>
  <c r="V111" i="1"/>
  <c r="BX111" i="1" s="1"/>
  <c r="BQ12" i="11"/>
  <c r="BQ76" i="11" s="1"/>
  <c r="BQ112" i="1"/>
  <c r="U112" i="1"/>
  <c r="AK12" i="8"/>
  <c r="AN12" i="8" s="1"/>
  <c r="AQ12" i="8" s="1"/>
  <c r="AT12" i="8" s="1"/>
  <c r="AW12" i="8" s="1"/>
  <c r="AZ12" i="8" s="1"/>
  <c r="BC12" i="8" s="1"/>
  <c r="BF12" i="8" s="1"/>
  <c r="CC111" i="1"/>
  <c r="BD118" i="11"/>
  <c r="BR110" i="1"/>
  <c r="CI111" i="1"/>
  <c r="AG111" i="1"/>
  <c r="Z109" i="1"/>
  <c r="BX109" i="1"/>
  <c r="BA10" i="1"/>
  <c r="AC109" i="1"/>
  <c r="CC109" i="1"/>
  <c r="Z110" i="1"/>
  <c r="BX110" i="1"/>
  <c r="Z74" i="10"/>
  <c r="Z75" i="10" s="1"/>
  <c r="AD75" i="8"/>
  <c r="AD76" i="8"/>
  <c r="F76" i="10"/>
  <c r="AM74" i="9"/>
  <c r="G9" i="10"/>
  <c r="AU117" i="9"/>
  <c r="AU115" i="10"/>
  <c r="AU116" i="10"/>
  <c r="AU117" i="10"/>
  <c r="AU115" i="9"/>
  <c r="AU116" i="9"/>
  <c r="S91" i="11"/>
  <c r="BU91" i="11" s="1"/>
  <c r="W94" i="11"/>
  <c r="BU94" i="11"/>
  <c r="BZ94" i="11"/>
  <c r="BT91" i="11"/>
  <c r="BY94" i="11"/>
  <c r="BS91" i="11"/>
  <c r="AC74" i="10"/>
  <c r="AC87" i="10"/>
  <c r="AC77" i="10" s="1"/>
  <c r="BL38" i="9"/>
  <c r="D37" i="9"/>
  <c r="G37" i="9"/>
  <c r="Z75" i="8"/>
  <c r="Z76" i="8"/>
  <c r="C76" i="8"/>
  <c r="V75" i="8"/>
  <c r="D47" i="8"/>
  <c r="BL10" i="8"/>
  <c r="D9" i="8"/>
  <c r="BT87" i="11"/>
  <c r="BT77" i="11" s="1"/>
  <c r="J114" i="11"/>
  <c r="I114" i="11"/>
  <c r="G114" i="8"/>
  <c r="K114" i="1"/>
  <c r="L114" i="1"/>
  <c r="BL10" i="10"/>
  <c r="D9" i="10"/>
  <c r="DH75" i="11"/>
  <c r="DH76" i="11"/>
  <c r="CU75" i="11"/>
  <c r="CU76" i="11"/>
  <c r="CJ75" i="11"/>
  <c r="CJ76" i="11"/>
  <c r="BW75" i="11"/>
  <c r="BW76" i="11"/>
  <c r="BL75" i="11"/>
  <c r="BL76" i="11"/>
  <c r="BG12" i="11"/>
  <c r="BC75" i="11"/>
  <c r="BC76" i="11"/>
  <c r="DR75" i="11"/>
  <c r="DR76" i="11"/>
  <c r="DM76" i="11"/>
  <c r="DB76" i="11"/>
  <c r="DB75" i="11"/>
  <c r="CO76" i="11"/>
  <c r="CO75" i="11"/>
  <c r="CD76" i="11"/>
  <c r="CD75" i="11"/>
  <c r="BF76" i="11"/>
  <c r="BF75" i="11"/>
  <c r="DS12" i="11"/>
  <c r="AY76" i="11"/>
  <c r="AY118" i="11"/>
  <c r="AY75" i="11"/>
  <c r="BF114" i="11"/>
  <c r="BE114" i="11"/>
  <c r="BG114" i="1"/>
  <c r="BH114" i="1"/>
  <c r="DP76" i="11"/>
  <c r="DG75" i="11"/>
  <c r="DG76" i="11"/>
  <c r="CV75" i="11"/>
  <c r="CV76" i="11"/>
  <c r="CI75" i="11"/>
  <c r="CI76" i="11"/>
  <c r="BX75" i="11"/>
  <c r="BX76" i="11"/>
  <c r="BK75" i="11"/>
  <c r="BK76" i="11"/>
  <c r="BH12" i="11"/>
  <c r="BD75" i="11"/>
  <c r="BD76" i="11"/>
  <c r="DQ76" i="11"/>
  <c r="DQ75" i="11"/>
  <c r="DA75" i="11"/>
  <c r="DA76" i="11"/>
  <c r="CP75" i="11"/>
  <c r="CP76" i="11"/>
  <c r="CC75" i="11"/>
  <c r="CC76" i="11"/>
  <c r="BR75" i="11"/>
  <c r="BR76" i="11"/>
  <c r="BE75" i="11"/>
  <c r="BE76" i="11"/>
  <c r="DT12" i="11"/>
  <c r="AZ75" i="11"/>
  <c r="AZ76" i="11"/>
  <c r="AZ118" i="11"/>
  <c r="D47" i="10"/>
  <c r="BU87" i="11"/>
  <c r="S77" i="11"/>
  <c r="CH11" i="11"/>
  <c r="AF11" i="11"/>
  <c r="AB10" i="11"/>
  <c r="AE15" i="11"/>
  <c r="CG15" i="11"/>
  <c r="AE16" i="11"/>
  <c r="CG16" i="11"/>
  <c r="CB38" i="11"/>
  <c r="CG92" i="11"/>
  <c r="AE92" i="11"/>
  <c r="CK39" i="11"/>
  <c r="CE38" i="11"/>
  <c r="CE37" i="11" s="1"/>
  <c r="CQ55" i="11"/>
  <c r="CK47" i="11"/>
  <c r="CG85" i="11"/>
  <c r="AE85" i="11"/>
  <c r="CA86" i="11"/>
  <c r="AA86" i="11"/>
  <c r="AA84" i="11" s="1"/>
  <c r="CG84" i="11" s="1"/>
  <c r="CL11" i="11"/>
  <c r="CF10" i="11"/>
  <c r="CG29" i="11"/>
  <c r="AE29" i="11"/>
  <c r="CH30" i="11"/>
  <c r="AF30" i="11"/>
  <c r="CH31" i="11"/>
  <c r="AF31" i="11"/>
  <c r="CH32" i="11"/>
  <c r="AF32" i="11"/>
  <c r="CH33" i="11"/>
  <c r="AF33" i="11"/>
  <c r="CH34" i="11"/>
  <c r="AF34" i="11"/>
  <c r="CH35" i="11"/>
  <c r="AF35" i="11"/>
  <c r="CH36" i="11"/>
  <c r="AF36" i="11"/>
  <c r="CL79" i="11"/>
  <c r="CF78" i="11"/>
  <c r="CG82" i="11"/>
  <c r="AE82" i="11"/>
  <c r="AA81" i="11"/>
  <c r="CG81" i="11" s="1"/>
  <c r="CB86" i="11"/>
  <c r="AB86" i="11"/>
  <c r="AB84" i="11" s="1"/>
  <c r="CH84" i="11" s="1"/>
  <c r="CH55" i="11"/>
  <c r="AF55" i="11"/>
  <c r="AB47" i="11"/>
  <c r="CH47" i="11" s="1"/>
  <c r="DU87" i="11"/>
  <c r="BA87" i="11"/>
  <c r="E77" i="11"/>
  <c r="CA38" i="11"/>
  <c r="W37" i="11"/>
  <c r="CA37" i="11" s="1"/>
  <c r="CL82" i="11"/>
  <c r="CF81" i="11"/>
  <c r="CG79" i="11"/>
  <c r="AE79" i="11"/>
  <c r="AA78" i="11"/>
  <c r="T74" i="11"/>
  <c r="CK11" i="11"/>
  <c r="CE10" i="11"/>
  <c r="CH79" i="11"/>
  <c r="AF79" i="11"/>
  <c r="AB78" i="11"/>
  <c r="CF86" i="11"/>
  <c r="CG101" i="11"/>
  <c r="AE101" i="11"/>
  <c r="CM103" i="11"/>
  <c r="AI103" i="11"/>
  <c r="CM104" i="11"/>
  <c r="AI104" i="11"/>
  <c r="CM105" i="11"/>
  <c r="AI105" i="11"/>
  <c r="CM106" i="11"/>
  <c r="AI106" i="11"/>
  <c r="CM107" i="11"/>
  <c r="AI107" i="11"/>
  <c r="CM108" i="11"/>
  <c r="AI108" i="11"/>
  <c r="CH82" i="11"/>
  <c r="AF82" i="11"/>
  <c r="AB81" i="11"/>
  <c r="CH81" i="11" s="1"/>
  <c r="CG93" i="11"/>
  <c r="AE93" i="11"/>
  <c r="CN103" i="11"/>
  <c r="AJ103" i="11"/>
  <c r="CN104" i="11"/>
  <c r="AJ104" i="11"/>
  <c r="CN105" i="11"/>
  <c r="AJ105" i="11"/>
  <c r="CN106" i="11"/>
  <c r="AJ106" i="11"/>
  <c r="CN107" i="11"/>
  <c r="AJ107" i="11"/>
  <c r="CG95" i="11"/>
  <c r="AE95" i="11"/>
  <c r="CG96" i="11"/>
  <c r="AE96" i="11"/>
  <c r="AE97" i="11"/>
  <c r="CG98" i="11"/>
  <c r="AE98" i="11"/>
  <c r="CG99" i="11"/>
  <c r="AE99" i="11"/>
  <c r="CG100" i="11"/>
  <c r="AE100" i="11"/>
  <c r="CM102" i="11"/>
  <c r="AI102" i="11"/>
  <c r="CA10" i="11"/>
  <c r="W9" i="11"/>
  <c r="CL39" i="11"/>
  <c r="CF38" i="11"/>
  <c r="CF37" i="11" s="1"/>
  <c r="CR55" i="11"/>
  <c r="CL47" i="11"/>
  <c r="CH85" i="11"/>
  <c r="AF85" i="11"/>
  <c r="CH95" i="11"/>
  <c r="AF95" i="11"/>
  <c r="CH96" i="11"/>
  <c r="AF96" i="11"/>
  <c r="CH97" i="11"/>
  <c r="AF97" i="11"/>
  <c r="CH98" i="11"/>
  <c r="AF98" i="11"/>
  <c r="CH99" i="11"/>
  <c r="AF99" i="11"/>
  <c r="CH100" i="11"/>
  <c r="AF100" i="11"/>
  <c r="CN102" i="11"/>
  <c r="AJ102" i="11"/>
  <c r="CH56" i="11"/>
  <c r="AF56" i="11"/>
  <c r="CH58" i="11"/>
  <c r="AF58" i="11"/>
  <c r="CH61" i="11"/>
  <c r="AF61" i="11"/>
  <c r="CH80" i="11"/>
  <c r="AF80" i="11"/>
  <c r="BS87" i="11"/>
  <c r="BS77" i="11" s="1"/>
  <c r="CB10" i="11"/>
  <c r="X9" i="11"/>
  <c r="CH39" i="11"/>
  <c r="AF39" i="11"/>
  <c r="AB38" i="11"/>
  <c r="CH83" i="11"/>
  <c r="AF83" i="11"/>
  <c r="CG80" i="11"/>
  <c r="AE80" i="11"/>
  <c r="CG28" i="11"/>
  <c r="AE28" i="11"/>
  <c r="AA27" i="11"/>
  <c r="CG27" i="11" s="1"/>
  <c r="BZ9" i="11"/>
  <c r="BZ74" i="11" s="1"/>
  <c r="S74" i="11"/>
  <c r="BU9" i="11"/>
  <c r="CG55" i="11"/>
  <c r="AE55" i="11"/>
  <c r="AA47" i="11"/>
  <c r="CG47" i="11" s="1"/>
  <c r="CH93" i="11"/>
  <c r="AF93" i="11"/>
  <c r="CK92" i="11"/>
  <c r="CB101" i="11"/>
  <c r="AB101" i="11"/>
  <c r="CH12" i="11"/>
  <c r="AF12" i="11"/>
  <c r="CH13" i="11"/>
  <c r="AF13" i="11"/>
  <c r="CH14" i="11"/>
  <c r="AF14" i="11"/>
  <c r="CH17" i="11"/>
  <c r="AF17" i="11"/>
  <c r="CH18" i="11"/>
  <c r="AF18" i="11"/>
  <c r="CH19" i="11"/>
  <c r="AF19" i="11"/>
  <c r="CH20" i="11"/>
  <c r="AF20" i="11"/>
  <c r="CH21" i="11"/>
  <c r="AF21" i="11"/>
  <c r="CH22" i="11"/>
  <c r="AF22" i="11"/>
  <c r="CH23" i="11"/>
  <c r="AF23" i="11"/>
  <c r="CH24" i="11"/>
  <c r="AF24" i="11"/>
  <c r="CH25" i="11"/>
  <c r="AF25" i="11"/>
  <c r="CH26" i="11"/>
  <c r="AF26" i="11"/>
  <c r="CG12" i="11"/>
  <c r="AE12" i="11"/>
  <c r="CG13" i="11"/>
  <c r="AE13" i="11"/>
  <c r="CG14" i="11"/>
  <c r="AE14" i="11"/>
  <c r="CG17" i="11"/>
  <c r="AE17" i="11"/>
  <c r="CG18" i="11"/>
  <c r="AE18" i="11"/>
  <c r="CG19" i="11"/>
  <c r="AE19" i="11"/>
  <c r="CG20" i="11"/>
  <c r="AE20" i="11"/>
  <c r="CG21" i="11"/>
  <c r="AE21" i="11"/>
  <c r="CG22" i="11"/>
  <c r="AE22" i="11"/>
  <c r="CG23" i="11"/>
  <c r="AE23" i="11"/>
  <c r="CG24" i="11"/>
  <c r="AE24" i="11"/>
  <c r="CG25" i="11"/>
  <c r="AE25" i="11"/>
  <c r="CG26" i="11"/>
  <c r="AE26" i="11"/>
  <c r="E75" i="11"/>
  <c r="E76" i="11"/>
  <c r="CG39" i="11"/>
  <c r="AE39" i="11"/>
  <c r="AA38" i="11"/>
  <c r="CA78" i="11"/>
  <c r="CK85" i="11"/>
  <c r="CH29" i="11"/>
  <c r="AF29" i="11"/>
  <c r="BY9" i="11"/>
  <c r="BY74" i="11" s="1"/>
  <c r="CG40" i="11"/>
  <c r="AE40" i="11"/>
  <c r="CG42" i="11"/>
  <c r="AE42" i="11"/>
  <c r="CG43" i="11"/>
  <c r="AE43" i="11"/>
  <c r="CG44" i="11"/>
  <c r="AE44" i="11"/>
  <c r="CG45" i="11"/>
  <c r="AE45" i="11"/>
  <c r="CG53" i="11"/>
  <c r="AE53" i="11"/>
  <c r="CB78" i="11"/>
  <c r="CL85" i="11"/>
  <c r="CF84" i="11"/>
  <c r="CK82" i="11"/>
  <c r="CE81" i="11"/>
  <c r="CH28" i="11"/>
  <c r="AF28" i="11"/>
  <c r="AB27" i="11"/>
  <c r="CH27" i="11" s="1"/>
  <c r="CH40" i="11"/>
  <c r="AF40" i="11"/>
  <c r="CH42" i="11"/>
  <c r="AF42" i="11"/>
  <c r="CH43" i="11"/>
  <c r="AF43" i="11"/>
  <c r="CH44" i="11"/>
  <c r="AF44" i="11"/>
  <c r="CH45" i="11"/>
  <c r="AF45" i="11"/>
  <c r="CH53" i="11"/>
  <c r="AF53" i="11"/>
  <c r="CG30" i="11"/>
  <c r="AE30" i="11"/>
  <c r="CG31" i="11"/>
  <c r="AE31" i="11"/>
  <c r="CG32" i="11"/>
  <c r="AE32" i="11"/>
  <c r="CG33" i="11"/>
  <c r="AE33" i="11"/>
  <c r="CG34" i="11"/>
  <c r="AE34" i="11"/>
  <c r="CG35" i="11"/>
  <c r="AE35" i="11"/>
  <c r="CG36" i="11"/>
  <c r="AE36" i="11"/>
  <c r="CL92" i="11"/>
  <c r="CK79" i="11"/>
  <c r="CE78" i="11"/>
  <c r="P75" i="11"/>
  <c r="P76" i="11"/>
  <c r="CG11" i="11"/>
  <c r="AE11" i="11"/>
  <c r="AA10" i="11"/>
  <c r="CG56" i="11"/>
  <c r="AE56" i="11"/>
  <c r="CG58" i="11"/>
  <c r="AE58" i="11"/>
  <c r="CG61" i="11"/>
  <c r="AE61" i="11"/>
  <c r="CV8" i="11"/>
  <c r="CX8" i="11" s="1"/>
  <c r="CT8" i="11"/>
  <c r="CL28" i="11"/>
  <c r="CF27" i="11"/>
  <c r="CU8" i="11"/>
  <c r="CW8" i="11" s="1"/>
  <c r="CS8" i="11"/>
  <c r="CK28" i="11"/>
  <c r="CE27" i="11"/>
  <c r="CH92" i="11"/>
  <c r="AF92" i="11"/>
  <c r="CG83" i="11"/>
  <c r="AE83" i="11"/>
  <c r="CE86" i="11"/>
  <c r="CN109" i="11"/>
  <c r="AJ109" i="11"/>
  <c r="CN110" i="11"/>
  <c r="AJ110" i="11"/>
  <c r="CN111" i="11"/>
  <c r="AJ111" i="11"/>
  <c r="CN112" i="11"/>
  <c r="AJ112" i="11"/>
  <c r="CM109" i="11"/>
  <c r="AI109" i="11"/>
  <c r="CM110" i="11"/>
  <c r="AI110" i="11"/>
  <c r="CM111" i="11"/>
  <c r="AI111" i="11"/>
  <c r="CM112" i="11"/>
  <c r="AI112" i="11"/>
  <c r="CH108" i="11"/>
  <c r="AF108" i="11"/>
  <c r="X84" i="11"/>
  <c r="CB84" i="11" s="1"/>
  <c r="AL112" i="10"/>
  <c r="M112" i="10"/>
  <c r="AL110" i="10"/>
  <c r="M110" i="10"/>
  <c r="AL108" i="10"/>
  <c r="M108" i="10"/>
  <c r="AL105" i="10"/>
  <c r="M105" i="10"/>
  <c r="AL104" i="10"/>
  <c r="M104" i="10"/>
  <c r="AL103" i="10"/>
  <c r="M103" i="10"/>
  <c r="AL102" i="10"/>
  <c r="M102" i="10"/>
  <c r="AL101" i="10"/>
  <c r="M101" i="10"/>
  <c r="AI96" i="10"/>
  <c r="K96" i="10"/>
  <c r="AI95" i="10"/>
  <c r="K95" i="10"/>
  <c r="AK86" i="10"/>
  <c r="AK84" i="10" s="1"/>
  <c r="AI83" i="10"/>
  <c r="K83" i="10"/>
  <c r="AI82" i="10"/>
  <c r="K82" i="10"/>
  <c r="I81" i="10"/>
  <c r="AI81" i="10" s="1"/>
  <c r="AI56" i="10"/>
  <c r="K56" i="10"/>
  <c r="AI55" i="10"/>
  <c r="K55" i="10"/>
  <c r="I47" i="10"/>
  <c r="AI47" i="10" s="1"/>
  <c r="AI45" i="10"/>
  <c r="K45" i="10"/>
  <c r="AI44" i="10"/>
  <c r="K44" i="10"/>
  <c r="AI43" i="10"/>
  <c r="K43" i="10"/>
  <c r="AI42" i="10"/>
  <c r="K42" i="10"/>
  <c r="AG114" i="10"/>
  <c r="AH114" i="10" s="1"/>
  <c r="AI36" i="10"/>
  <c r="K36" i="10"/>
  <c r="AI34" i="10"/>
  <c r="K34" i="10"/>
  <c r="AI32" i="10"/>
  <c r="K32" i="10"/>
  <c r="AI30" i="10"/>
  <c r="K30" i="10"/>
  <c r="AI28" i="10"/>
  <c r="K28" i="10"/>
  <c r="I27" i="10"/>
  <c r="AI27" i="10" s="1"/>
  <c r="AI25" i="10"/>
  <c r="K25" i="10"/>
  <c r="AI23" i="10"/>
  <c r="K23" i="10"/>
  <c r="AI21" i="10"/>
  <c r="K21" i="10"/>
  <c r="AI19" i="10"/>
  <c r="K19" i="10"/>
  <c r="AI17" i="10"/>
  <c r="K17" i="10"/>
  <c r="AI15" i="10"/>
  <c r="K15" i="10"/>
  <c r="AI13" i="10"/>
  <c r="K13" i="10"/>
  <c r="AI11" i="10"/>
  <c r="K11" i="10"/>
  <c r="I10" i="10"/>
  <c r="AN85" i="10"/>
  <c r="AN82" i="10"/>
  <c r="AK81" i="10"/>
  <c r="AN79" i="10"/>
  <c r="AK78" i="10"/>
  <c r="AN55" i="10"/>
  <c r="AK47" i="10"/>
  <c r="AN39" i="10"/>
  <c r="AK38" i="10"/>
  <c r="AN11" i="10"/>
  <c r="AK10" i="10"/>
  <c r="AP8" i="10"/>
  <c r="AQ8" i="10" s="1"/>
  <c r="AO8" i="10"/>
  <c r="AN28" i="10"/>
  <c r="AK27" i="10"/>
  <c r="AH91" i="10"/>
  <c r="AI128" i="10"/>
  <c r="AL111" i="10"/>
  <c r="M111" i="10"/>
  <c r="AL109" i="10"/>
  <c r="M109" i="10"/>
  <c r="AL107" i="10"/>
  <c r="M107" i="10"/>
  <c r="AL106" i="10"/>
  <c r="M106" i="10"/>
  <c r="AI100" i="10"/>
  <c r="K100" i="10"/>
  <c r="AI99" i="10"/>
  <c r="K99" i="10"/>
  <c r="AI98" i="10"/>
  <c r="K98" i="10"/>
  <c r="AI97" i="10"/>
  <c r="K97" i="10"/>
  <c r="AI93" i="10"/>
  <c r="K93" i="10"/>
  <c r="AI92" i="10"/>
  <c r="K92" i="10"/>
  <c r="I91" i="10"/>
  <c r="AI91" i="10" s="1"/>
  <c r="AI86" i="10"/>
  <c r="K86" i="10"/>
  <c r="AI85" i="10"/>
  <c r="K85" i="10"/>
  <c r="I84" i="10"/>
  <c r="AI84" i="10" s="1"/>
  <c r="AI80" i="10"/>
  <c r="K80" i="10"/>
  <c r="AI79" i="10"/>
  <c r="K79" i="10"/>
  <c r="I78" i="10"/>
  <c r="AI61" i="10"/>
  <c r="K61" i="10"/>
  <c r="AI58" i="10"/>
  <c r="K58" i="10"/>
  <c r="AI53" i="10"/>
  <c r="K53" i="10"/>
  <c r="AI40" i="10"/>
  <c r="K40" i="10"/>
  <c r="AI39" i="10"/>
  <c r="K39" i="10"/>
  <c r="I38" i="10"/>
  <c r="AN92" i="10"/>
  <c r="AK91" i="10"/>
  <c r="AI35" i="10"/>
  <c r="K35" i="10"/>
  <c r="AI33" i="10"/>
  <c r="K33" i="10"/>
  <c r="AI31" i="10"/>
  <c r="K31" i="10"/>
  <c r="AI29" i="10"/>
  <c r="K29" i="10"/>
  <c r="AI26" i="10"/>
  <c r="K26" i="10"/>
  <c r="AI24" i="10"/>
  <c r="K24" i="10"/>
  <c r="AI22" i="10"/>
  <c r="K22" i="10"/>
  <c r="AI20" i="10"/>
  <c r="K20" i="10"/>
  <c r="AI18" i="10"/>
  <c r="K18" i="10"/>
  <c r="AI16" i="10"/>
  <c r="K16" i="10"/>
  <c r="AI14" i="10"/>
  <c r="K14" i="10"/>
  <c r="AI12" i="10"/>
  <c r="K12" i="10"/>
  <c r="AH9" i="10"/>
  <c r="AH84" i="10"/>
  <c r="AH37" i="10"/>
  <c r="AI131" i="9"/>
  <c r="AL111" i="9"/>
  <c r="M111" i="9"/>
  <c r="AL109" i="9"/>
  <c r="M109" i="9"/>
  <c r="AL107" i="9"/>
  <c r="M107" i="9"/>
  <c r="AL106" i="9"/>
  <c r="M106" i="9"/>
  <c r="AI100" i="9"/>
  <c r="K100" i="9"/>
  <c r="AI99" i="9"/>
  <c r="K99" i="9"/>
  <c r="AI98" i="9"/>
  <c r="K98" i="9"/>
  <c r="AI97" i="9"/>
  <c r="K97" i="9"/>
  <c r="AI93" i="9"/>
  <c r="K93" i="9"/>
  <c r="AI92" i="9"/>
  <c r="K92" i="9"/>
  <c r="AI86" i="9"/>
  <c r="K86" i="9"/>
  <c r="AI85" i="9"/>
  <c r="K85" i="9"/>
  <c r="I84" i="9"/>
  <c r="AI84" i="9" s="1"/>
  <c r="AI80" i="9"/>
  <c r="K80" i="9"/>
  <c r="AI79" i="9"/>
  <c r="K79" i="9"/>
  <c r="I78" i="9"/>
  <c r="AI61" i="9"/>
  <c r="K61" i="9"/>
  <c r="AI58" i="9"/>
  <c r="K58" i="9"/>
  <c r="AI53" i="9"/>
  <c r="K53" i="9"/>
  <c r="AI40" i="9"/>
  <c r="K40" i="9"/>
  <c r="AI39" i="9"/>
  <c r="K39" i="9"/>
  <c r="I38" i="9"/>
  <c r="AN92" i="9"/>
  <c r="AK91" i="9"/>
  <c r="AI35" i="9"/>
  <c r="K35" i="9"/>
  <c r="AI33" i="9"/>
  <c r="K33" i="9"/>
  <c r="AI31" i="9"/>
  <c r="K31" i="9"/>
  <c r="AI29" i="9"/>
  <c r="K29" i="9"/>
  <c r="AI26" i="9"/>
  <c r="K26" i="9"/>
  <c r="AI24" i="9"/>
  <c r="K24" i="9"/>
  <c r="AI22" i="9"/>
  <c r="K22" i="9"/>
  <c r="AI20" i="9"/>
  <c r="K20" i="9"/>
  <c r="AI18" i="9"/>
  <c r="K18" i="9"/>
  <c r="AI14" i="9"/>
  <c r="K14" i="9"/>
  <c r="AI12" i="9"/>
  <c r="K12" i="9"/>
  <c r="AA75" i="9"/>
  <c r="AH9" i="9"/>
  <c r="AN28" i="9"/>
  <c r="AK27" i="9"/>
  <c r="AH37" i="9"/>
  <c r="AL112" i="9"/>
  <c r="M112" i="9"/>
  <c r="AL110" i="9"/>
  <c r="M110" i="9"/>
  <c r="AL108" i="9"/>
  <c r="M108" i="9"/>
  <c r="AL105" i="9"/>
  <c r="M105" i="9"/>
  <c r="AL104" i="9"/>
  <c r="M104" i="9"/>
  <c r="AL103" i="9"/>
  <c r="M103" i="9"/>
  <c r="AL102" i="9"/>
  <c r="M102" i="9"/>
  <c r="AL101" i="9"/>
  <c r="M101" i="9"/>
  <c r="AI96" i="9"/>
  <c r="K96" i="9"/>
  <c r="AI95" i="9"/>
  <c r="K95" i="9"/>
  <c r="AK86" i="9"/>
  <c r="AK84" i="9" s="1"/>
  <c r="AI83" i="9"/>
  <c r="K83" i="9"/>
  <c r="AI82" i="9"/>
  <c r="K82" i="9"/>
  <c r="I81" i="9"/>
  <c r="AI81" i="9" s="1"/>
  <c r="AI56" i="9"/>
  <c r="K56" i="9"/>
  <c r="AI55" i="9"/>
  <c r="K55" i="9"/>
  <c r="I47" i="9"/>
  <c r="AI47" i="9" s="1"/>
  <c r="AI45" i="9"/>
  <c r="K45" i="9"/>
  <c r="AI44" i="9"/>
  <c r="K44" i="9"/>
  <c r="AI43" i="9"/>
  <c r="K43" i="9"/>
  <c r="AI42" i="9"/>
  <c r="K42" i="9"/>
  <c r="AD118" i="9"/>
  <c r="AE118" i="9" s="1"/>
  <c r="AG114" i="9"/>
  <c r="AH114" i="9" s="1"/>
  <c r="AI94" i="9"/>
  <c r="AL16" i="9"/>
  <c r="M16" i="9"/>
  <c r="AI36" i="9"/>
  <c r="K36" i="9"/>
  <c r="AI34" i="9"/>
  <c r="K34" i="9"/>
  <c r="AI32" i="9"/>
  <c r="K32" i="9"/>
  <c r="AI30" i="9"/>
  <c r="K30" i="9"/>
  <c r="AI28" i="9"/>
  <c r="K28" i="9"/>
  <c r="I27" i="9"/>
  <c r="AI27" i="9" s="1"/>
  <c r="AI25" i="9"/>
  <c r="K25" i="9"/>
  <c r="AI23" i="9"/>
  <c r="K23" i="9"/>
  <c r="AI21" i="9"/>
  <c r="K21" i="9"/>
  <c r="AI19" i="9"/>
  <c r="K19" i="9"/>
  <c r="AI17" i="9"/>
  <c r="K17" i="9"/>
  <c r="AI13" i="9"/>
  <c r="K13" i="9"/>
  <c r="AI11" i="9"/>
  <c r="K11" i="9"/>
  <c r="I10" i="9"/>
  <c r="AN85" i="9"/>
  <c r="AN82" i="9"/>
  <c r="AK81" i="9"/>
  <c r="AN79" i="9"/>
  <c r="AK78" i="9"/>
  <c r="AN55" i="9"/>
  <c r="AK47" i="9"/>
  <c r="AN39" i="9"/>
  <c r="AK38" i="9"/>
  <c r="BK114" i="9"/>
  <c r="BK87" i="9"/>
  <c r="AA77" i="9"/>
  <c r="AA88" i="9" s="1"/>
  <c r="AN11" i="9"/>
  <c r="AK10" i="9"/>
  <c r="AP8" i="9"/>
  <c r="AQ8" i="9" s="1"/>
  <c r="AO8" i="9"/>
  <c r="AH91" i="9"/>
  <c r="AL112" i="8"/>
  <c r="M112" i="8"/>
  <c r="AL110" i="8"/>
  <c r="M110" i="8"/>
  <c r="AL108" i="8"/>
  <c r="M108" i="8"/>
  <c r="AL105" i="8"/>
  <c r="M105" i="8"/>
  <c r="AL104" i="8"/>
  <c r="M104" i="8"/>
  <c r="AL103" i="8"/>
  <c r="M103" i="8"/>
  <c r="AL102" i="8"/>
  <c r="M102" i="8"/>
  <c r="AL101" i="8"/>
  <c r="M101" i="8"/>
  <c r="AI96" i="8"/>
  <c r="K96" i="8"/>
  <c r="AI95" i="8"/>
  <c r="K95" i="8"/>
  <c r="AK86" i="8"/>
  <c r="AK84" i="8" s="1"/>
  <c r="AI83" i="8"/>
  <c r="K83" i="8"/>
  <c r="AI82" i="8"/>
  <c r="K82" i="8"/>
  <c r="I81" i="8"/>
  <c r="AI81" i="8" s="1"/>
  <c r="AI56" i="8"/>
  <c r="K56" i="8"/>
  <c r="AI55" i="8"/>
  <c r="K55" i="8"/>
  <c r="I47" i="8"/>
  <c r="AI47" i="8" s="1"/>
  <c r="AI45" i="8"/>
  <c r="K45" i="8"/>
  <c r="AI44" i="8"/>
  <c r="K44" i="8"/>
  <c r="AI43" i="8"/>
  <c r="K43" i="8"/>
  <c r="AI42" i="8"/>
  <c r="K42" i="8"/>
  <c r="AI94" i="8"/>
  <c r="K94" i="8"/>
  <c r="AD118" i="8"/>
  <c r="AE118" i="8" s="1"/>
  <c r="AG114" i="8"/>
  <c r="AH114" i="8" s="1"/>
  <c r="AI26" i="8"/>
  <c r="K26" i="8"/>
  <c r="AI25" i="8"/>
  <c r="K25" i="8"/>
  <c r="AA75" i="8"/>
  <c r="AN11" i="8"/>
  <c r="AK10" i="8"/>
  <c r="AH91" i="8"/>
  <c r="AH84" i="8"/>
  <c r="AH37" i="8"/>
  <c r="AI131" i="8"/>
  <c r="AL111" i="8"/>
  <c r="M111" i="8"/>
  <c r="AL109" i="8"/>
  <c r="M109" i="8"/>
  <c r="AL107" i="8"/>
  <c r="M107" i="8"/>
  <c r="AL106" i="8"/>
  <c r="M106" i="8"/>
  <c r="AI100" i="8"/>
  <c r="K100" i="8"/>
  <c r="AI99" i="8"/>
  <c r="K99" i="8"/>
  <c r="AI98" i="8"/>
  <c r="K98" i="8"/>
  <c r="AI97" i="8"/>
  <c r="K97" i="8"/>
  <c r="AI93" i="8"/>
  <c r="K93" i="8"/>
  <c r="AI92" i="8"/>
  <c r="K92" i="8"/>
  <c r="I91" i="8"/>
  <c r="AI91" i="8" s="1"/>
  <c r="AI86" i="8"/>
  <c r="K86" i="8"/>
  <c r="AI85" i="8"/>
  <c r="K85" i="8"/>
  <c r="I84" i="8"/>
  <c r="AI84" i="8" s="1"/>
  <c r="AI80" i="8"/>
  <c r="K80" i="8"/>
  <c r="AI79" i="8"/>
  <c r="K79" i="8"/>
  <c r="I78" i="8"/>
  <c r="AI61" i="8"/>
  <c r="K61" i="8"/>
  <c r="AI58" i="8"/>
  <c r="K58" i="8"/>
  <c r="AI53" i="8"/>
  <c r="K53" i="8"/>
  <c r="AI40" i="8"/>
  <c r="K40" i="8"/>
  <c r="AI39" i="8"/>
  <c r="K39" i="8"/>
  <c r="I38" i="8"/>
  <c r="AN92" i="8"/>
  <c r="AK91" i="8"/>
  <c r="AI36" i="8"/>
  <c r="K36" i="8"/>
  <c r="AI35" i="8"/>
  <c r="K35" i="8"/>
  <c r="AI34" i="8"/>
  <c r="K34" i="8"/>
  <c r="AI33" i="8"/>
  <c r="K33" i="8"/>
  <c r="AI32" i="8"/>
  <c r="K32" i="8"/>
  <c r="AI31" i="8"/>
  <c r="K31" i="8"/>
  <c r="AI30" i="8"/>
  <c r="K30" i="8"/>
  <c r="AI29" i="8"/>
  <c r="K29" i="8"/>
  <c r="AI28" i="8"/>
  <c r="K28" i="8"/>
  <c r="I27" i="8"/>
  <c r="AI27" i="8" s="1"/>
  <c r="AI24" i="8"/>
  <c r="K24" i="8"/>
  <c r="AI23" i="8"/>
  <c r="K23" i="8"/>
  <c r="AI22" i="8"/>
  <c r="K22" i="8"/>
  <c r="AI21" i="8"/>
  <c r="K21" i="8"/>
  <c r="AI20" i="8"/>
  <c r="K20" i="8"/>
  <c r="AI19" i="8"/>
  <c r="K19" i="8"/>
  <c r="AI18" i="8"/>
  <c r="K18" i="8"/>
  <c r="AI17" i="8"/>
  <c r="K17" i="8"/>
  <c r="AI14" i="8"/>
  <c r="K14" i="8"/>
  <c r="AI13" i="8"/>
  <c r="K13" i="8"/>
  <c r="AI12" i="8"/>
  <c r="K12" i="8"/>
  <c r="AI11" i="8"/>
  <c r="K11" i="8"/>
  <c r="I10" i="8"/>
  <c r="AN85" i="8"/>
  <c r="AN82" i="8"/>
  <c r="AK81" i="8"/>
  <c r="AN79" i="8"/>
  <c r="AK78" i="8"/>
  <c r="AN55" i="8"/>
  <c r="AK47" i="8"/>
  <c r="AN39" i="8"/>
  <c r="AK38" i="8"/>
  <c r="BK114" i="8"/>
  <c r="AA77" i="8"/>
  <c r="AA88" i="8" s="1"/>
  <c r="AN28" i="8"/>
  <c r="AK27" i="8"/>
  <c r="AP8" i="8"/>
  <c r="AQ8" i="8" s="1"/>
  <c r="AO8" i="8"/>
  <c r="M16" i="8"/>
  <c r="AL16" i="8"/>
  <c r="M15" i="8"/>
  <c r="AL15" i="8"/>
  <c r="AH9" i="8"/>
  <c r="Y15" i="5"/>
  <c r="AG15" i="5" s="1"/>
  <c r="AK15" i="5" s="1"/>
  <c r="Y21" i="5"/>
  <c r="AG21" i="5" s="1"/>
  <c r="AK21" i="5" s="1"/>
  <c r="Y18" i="5"/>
  <c r="AG18" i="5" s="1"/>
  <c r="AK18" i="5" s="1"/>
  <c r="BO111" i="5"/>
  <c r="S111" i="5"/>
  <c r="AB96" i="5"/>
  <c r="CB90" i="5"/>
  <c r="AB90" i="5"/>
  <c r="CA88" i="5"/>
  <c r="AA88" i="5"/>
  <c r="BO86" i="5"/>
  <c r="S86" i="5"/>
  <c r="CB88" i="5"/>
  <c r="AB88" i="5"/>
  <c r="BP85" i="5"/>
  <c r="T85" i="5"/>
  <c r="BP82" i="5"/>
  <c r="T82" i="5"/>
  <c r="BP74" i="5"/>
  <c r="T74" i="5"/>
  <c r="P73" i="5"/>
  <c r="BO71" i="5"/>
  <c r="S71" i="5"/>
  <c r="O70" i="5"/>
  <c r="BO70" i="5" s="1"/>
  <c r="BO68" i="5"/>
  <c r="S68" i="5"/>
  <c r="O67" i="5"/>
  <c r="BE99" i="5"/>
  <c r="BG99" i="5" s="1"/>
  <c r="BG98" i="5"/>
  <c r="BI98" i="5" s="1"/>
  <c r="BK98" i="5" s="1"/>
  <c r="BO85" i="5"/>
  <c r="S85" i="5"/>
  <c r="BO82" i="5"/>
  <c r="S82" i="5"/>
  <c r="BM73" i="5"/>
  <c r="BS74" i="5"/>
  <c r="O73" i="5"/>
  <c r="BO74" i="5"/>
  <c r="S74" i="5"/>
  <c r="BN70" i="5"/>
  <c r="BT71" i="5"/>
  <c r="BP54" i="5"/>
  <c r="T54" i="5"/>
  <c r="P46" i="5"/>
  <c r="BP46" i="5" s="1"/>
  <c r="BP83" i="5"/>
  <c r="T83" i="5"/>
  <c r="BO81" i="5"/>
  <c r="S81" i="5"/>
  <c r="O80" i="5"/>
  <c r="X72" i="5"/>
  <c r="BV72" i="5"/>
  <c r="W69" i="5"/>
  <c r="BU69" i="5"/>
  <c r="BV68" i="5"/>
  <c r="X68" i="5"/>
  <c r="BO57" i="5"/>
  <c r="S57" i="5"/>
  <c r="DU43" i="5"/>
  <c r="BA43" i="5"/>
  <c r="DV43" i="5"/>
  <c r="BT81" i="5"/>
  <c r="BN80" i="5"/>
  <c r="BZ74" i="5"/>
  <c r="BY71" i="5"/>
  <c r="BS70" i="5"/>
  <c r="BY68" i="5"/>
  <c r="BS67" i="5"/>
  <c r="BO42" i="5"/>
  <c r="S42" i="5"/>
  <c r="BO39" i="5"/>
  <c r="S39" i="5"/>
  <c r="BP34" i="5"/>
  <c r="T34" i="5"/>
  <c r="AL26" i="5"/>
  <c r="BO27" i="5"/>
  <c r="S27" i="5"/>
  <c r="BO23" i="5"/>
  <c r="S23" i="5"/>
  <c r="BO16" i="5"/>
  <c r="S16" i="5"/>
  <c r="BO60" i="5"/>
  <c r="S60" i="5"/>
  <c r="W52" i="5"/>
  <c r="BU52" i="5"/>
  <c r="BP39" i="5"/>
  <c r="T39" i="5"/>
  <c r="BO34" i="5"/>
  <c r="S34" i="5"/>
  <c r="BO29" i="5"/>
  <c r="S29" i="5"/>
  <c r="BP27" i="5"/>
  <c r="T27" i="5"/>
  <c r="P26" i="5"/>
  <c r="BP26" i="5" s="1"/>
  <c r="BP23" i="5"/>
  <c r="T23" i="5"/>
  <c r="T21" i="5"/>
  <c r="BP21" i="5"/>
  <c r="BI21" i="5"/>
  <c r="O21" i="5"/>
  <c r="BP18" i="5"/>
  <c r="T18" i="5"/>
  <c r="BI18" i="5"/>
  <c r="O18" i="5"/>
  <c r="T16" i="5"/>
  <c r="BP16" i="5"/>
  <c r="BI14" i="5"/>
  <c r="O14" i="5"/>
  <c r="X13" i="5"/>
  <c r="BV13" i="5"/>
  <c r="BO13" i="5"/>
  <c r="S13" i="5"/>
  <c r="S54" i="5"/>
  <c r="BO54" i="5"/>
  <c r="P9" i="5"/>
  <c r="BP10" i="5"/>
  <c r="T10" i="5"/>
  <c r="BI10" i="5"/>
  <c r="O10" i="5"/>
  <c r="K9" i="5"/>
  <c r="S38" i="5"/>
  <c r="O37" i="5"/>
  <c r="X35" i="5"/>
  <c r="BV35" i="5"/>
  <c r="BU32" i="5"/>
  <c r="W32" i="5"/>
  <c r="BY27" i="5"/>
  <c r="BS26" i="5"/>
  <c r="AL9" i="5"/>
  <c r="BZ27" i="5"/>
  <c r="BT26" i="5"/>
  <c r="BY10" i="5"/>
  <c r="BS9" i="5"/>
  <c r="CC7" i="5"/>
  <c r="CE7" i="5" s="1"/>
  <c r="CA7" i="5"/>
  <c r="BN8" i="5"/>
  <c r="CD7" i="5"/>
  <c r="CF7" i="5" s="1"/>
  <c r="CB7" i="5"/>
  <c r="BV90" i="5"/>
  <c r="BI80" i="5"/>
  <c r="AK32" i="5"/>
  <c r="AO32" i="5" s="1"/>
  <c r="U20" i="5"/>
  <c r="Y20" i="5" s="1"/>
  <c r="Q14" i="5"/>
  <c r="U14" i="5" s="1"/>
  <c r="AO34" i="5"/>
  <c r="E34" i="5" s="1"/>
  <c r="AP30" i="5"/>
  <c r="F30" i="5" s="1"/>
  <c r="BB30" i="5" s="1"/>
  <c r="Y30" i="5"/>
  <c r="U25" i="5"/>
  <c r="U22" i="5"/>
  <c r="Y22" i="5" s="1"/>
  <c r="Q19" i="5"/>
  <c r="U19" i="5" s="1"/>
  <c r="Y19" i="5" s="1"/>
  <c r="U17" i="5"/>
  <c r="AG16" i="5"/>
  <c r="AK16" i="5" s="1"/>
  <c r="U12" i="5"/>
  <c r="Y12" i="5" s="1"/>
  <c r="AP32" i="5"/>
  <c r="F32" i="5" s="1"/>
  <c r="BB32" i="5" s="1"/>
  <c r="Y24" i="5"/>
  <c r="AH65" i="5"/>
  <c r="Z65" i="5"/>
  <c r="AP19" i="5"/>
  <c r="F19" i="5" s="1"/>
  <c r="BB19" i="5" s="1"/>
  <c r="AP13" i="5"/>
  <c r="F13" i="5" s="1"/>
  <c r="BB13" i="5" s="1"/>
  <c r="BP111" i="5"/>
  <c r="T111" i="5"/>
  <c r="BU96" i="5"/>
  <c r="W96" i="5"/>
  <c r="BU95" i="5"/>
  <c r="W95" i="5"/>
  <c r="BU94" i="5"/>
  <c r="W94" i="5"/>
  <c r="BU93" i="5"/>
  <c r="W93" i="5"/>
  <c r="BU92" i="5"/>
  <c r="W92" i="5"/>
  <c r="CB94" i="5"/>
  <c r="AB94" i="5"/>
  <c r="CB92" i="5"/>
  <c r="AB92" i="5"/>
  <c r="BV89" i="5"/>
  <c r="X89" i="5"/>
  <c r="BU91" i="5"/>
  <c r="W91" i="5"/>
  <c r="S90" i="5"/>
  <c r="O87" i="5"/>
  <c r="BO90" i="5"/>
  <c r="BU89" i="5"/>
  <c r="W89" i="5"/>
  <c r="BP86" i="5"/>
  <c r="T86" i="5"/>
  <c r="BP84" i="5"/>
  <c r="T84" i="5"/>
  <c r="BT75" i="5"/>
  <c r="BP75" i="5"/>
  <c r="T75" i="5"/>
  <c r="AB95" i="5"/>
  <c r="CB95" i="5"/>
  <c r="AB93" i="5"/>
  <c r="CB93" i="5"/>
  <c r="BO84" i="5"/>
  <c r="S84" i="5"/>
  <c r="BP81" i="5"/>
  <c r="T81" i="5"/>
  <c r="P80" i="5"/>
  <c r="BS75" i="5"/>
  <c r="BO75" i="5"/>
  <c r="S75" i="5"/>
  <c r="BO72" i="5"/>
  <c r="S72" i="5"/>
  <c r="P70" i="5"/>
  <c r="BP70" i="5" s="1"/>
  <c r="BP71" i="5"/>
  <c r="T71" i="5"/>
  <c r="BP69" i="5"/>
  <c r="T69" i="5"/>
  <c r="P67" i="5"/>
  <c r="AB91" i="5"/>
  <c r="CB91" i="5"/>
  <c r="BS81" i="5"/>
  <c r="BM80" i="5"/>
  <c r="DS67" i="5"/>
  <c r="BF99" i="5"/>
  <c r="BH99" i="5" s="1"/>
  <c r="BH98" i="5"/>
  <c r="BJ98" i="5" s="1"/>
  <c r="BL98" i="5" s="1"/>
  <c r="BP60" i="5"/>
  <c r="T60" i="5"/>
  <c r="T55" i="5"/>
  <c r="BP55" i="5"/>
  <c r="BP52" i="5"/>
  <c r="T52" i="5"/>
  <c r="BO44" i="5"/>
  <c r="S44" i="5"/>
  <c r="BO43" i="5"/>
  <c r="S43" i="5"/>
  <c r="BO83" i="5"/>
  <c r="S83" i="5"/>
  <c r="BP38" i="5"/>
  <c r="T38" i="5"/>
  <c r="P37" i="5"/>
  <c r="BP33" i="5"/>
  <c r="T33" i="5"/>
  <c r="BO31" i="5"/>
  <c r="S31" i="5"/>
  <c r="BP29" i="5"/>
  <c r="T29" i="5"/>
  <c r="BV28" i="5"/>
  <c r="X28" i="5"/>
  <c r="BO24" i="5"/>
  <c r="S24" i="5"/>
  <c r="BP19" i="5"/>
  <c r="T19" i="5"/>
  <c r="BO55" i="5"/>
  <c r="S55" i="5"/>
  <c r="BS46" i="5"/>
  <c r="BY54" i="5"/>
  <c r="BP42" i="5"/>
  <c r="T42" i="5"/>
  <c r="BO41" i="5"/>
  <c r="S41" i="5"/>
  <c r="BM38" i="5"/>
  <c r="BG37" i="5"/>
  <c r="BG36" i="5" s="1"/>
  <c r="BO35" i="5"/>
  <c r="S35" i="5"/>
  <c r="BO33" i="5"/>
  <c r="S33" i="5"/>
  <c r="BP32" i="5"/>
  <c r="T32" i="5"/>
  <c r="BP31" i="5"/>
  <c r="T31" i="5"/>
  <c r="BO30" i="5"/>
  <c r="S30" i="5"/>
  <c r="T22" i="5"/>
  <c r="BP22" i="5"/>
  <c r="BI22" i="5"/>
  <c r="O22" i="5"/>
  <c r="T17" i="5"/>
  <c r="BP17" i="5"/>
  <c r="BI17" i="5"/>
  <c r="O17" i="5"/>
  <c r="BI15" i="5"/>
  <c r="O15" i="5"/>
  <c r="BP12" i="5"/>
  <c r="T12" i="5"/>
  <c r="O12" i="5"/>
  <c r="BI12" i="5"/>
  <c r="BV57" i="5"/>
  <c r="X57" i="5"/>
  <c r="BZ54" i="5"/>
  <c r="BT46" i="5"/>
  <c r="BT36" i="5" s="1"/>
  <c r="X44" i="5"/>
  <c r="BV44" i="5"/>
  <c r="X43" i="5"/>
  <c r="BV43" i="5"/>
  <c r="DV81" i="5"/>
  <c r="DU81" i="5"/>
  <c r="BA81" i="5"/>
  <c r="E80" i="5"/>
  <c r="S11" i="5"/>
  <c r="BO11" i="5"/>
  <c r="Q10" i="5"/>
  <c r="M9" i="5"/>
  <c r="X41" i="5"/>
  <c r="BV41" i="5"/>
  <c r="CF38" i="5"/>
  <c r="BZ37" i="5"/>
  <c r="X30" i="5"/>
  <c r="BV30" i="5"/>
  <c r="AB24" i="5"/>
  <c r="CB24" i="5"/>
  <c r="BP11" i="5"/>
  <c r="T11" i="5"/>
  <c r="DU37" i="5"/>
  <c r="BA37" i="5"/>
  <c r="E36" i="5"/>
  <c r="DV37" i="5"/>
  <c r="AB25" i="5"/>
  <c r="CB25" i="5"/>
  <c r="X20" i="5"/>
  <c r="BV20" i="5"/>
  <c r="BT9" i="5"/>
  <c r="BZ10" i="5"/>
  <c r="BN73" i="5"/>
  <c r="O20" i="5"/>
  <c r="O19" i="5"/>
  <c r="AP28" i="5"/>
  <c r="AP22" i="5"/>
  <c r="F22" i="5" s="1"/>
  <c r="BB22" i="5" s="1"/>
  <c r="AP21" i="5"/>
  <c r="F21" i="5" s="1"/>
  <c r="BB21" i="5" s="1"/>
  <c r="AP18" i="5"/>
  <c r="F18" i="5" s="1"/>
  <c r="BB18" i="5" s="1"/>
  <c r="AP17" i="5"/>
  <c r="F17" i="5" s="1"/>
  <c r="BB17" i="5" s="1"/>
  <c r="AP16" i="5"/>
  <c r="F16" i="5" s="1"/>
  <c r="BB16" i="5" s="1"/>
  <c r="U13" i="5"/>
  <c r="AD65" i="5"/>
  <c r="BI38" i="5"/>
  <c r="AP25" i="5"/>
  <c r="F25" i="5" s="1"/>
  <c r="BB25" i="5" s="1"/>
  <c r="AP24" i="5"/>
  <c r="F24" i="5" s="1"/>
  <c r="BB24" i="5" s="1"/>
  <c r="AP12" i="5"/>
  <c r="F12" i="5" s="1"/>
  <c r="BB12" i="5" s="1"/>
  <c r="BN36" i="5"/>
  <c r="AP10" i="5"/>
  <c r="AV76" i="10" l="1"/>
  <c r="BB76" i="8"/>
  <c r="BV9" i="11"/>
  <c r="BH63" i="5"/>
  <c r="P76" i="9"/>
  <c r="X37" i="11"/>
  <c r="CB37" i="11" s="1"/>
  <c r="J76" i="8"/>
  <c r="E76" i="10"/>
  <c r="BE76" i="9"/>
  <c r="H76" i="8"/>
  <c r="AE87" i="8"/>
  <c r="AE77" i="8" s="1"/>
  <c r="E75" i="8"/>
  <c r="K94" i="10"/>
  <c r="DU87" i="1"/>
  <c r="BW65" i="5"/>
  <c r="L76" i="8"/>
  <c r="BN76" i="5"/>
  <c r="O76" i="11"/>
  <c r="E76" i="9"/>
  <c r="H75" i="9"/>
  <c r="BQ65" i="5"/>
  <c r="AC76" i="8"/>
  <c r="AS76" i="8"/>
  <c r="DQ65" i="5"/>
  <c r="BL91" i="9"/>
  <c r="AB91" i="9"/>
  <c r="J65" i="5"/>
  <c r="BI76" i="8"/>
  <c r="BB76" i="10"/>
  <c r="DP65" i="5"/>
  <c r="DP77" i="5"/>
  <c r="C76" i="9"/>
  <c r="DO76" i="11"/>
  <c r="BJ75" i="10"/>
  <c r="BJ88" i="10"/>
  <c r="E12" i="14"/>
  <c r="X87" i="5"/>
  <c r="N76" i="9"/>
  <c r="AM75" i="10"/>
  <c r="DG65" i="5"/>
  <c r="AX65" i="5"/>
  <c r="K94" i="9"/>
  <c r="N76" i="10"/>
  <c r="V76" i="9"/>
  <c r="AA87" i="10"/>
  <c r="BK37" i="10"/>
  <c r="AA74" i="10"/>
  <c r="D74" i="9"/>
  <c r="D63" i="5"/>
  <c r="D64" i="5" s="1"/>
  <c r="R75" i="8"/>
  <c r="AC65" i="5"/>
  <c r="K36" i="5"/>
  <c r="N76" i="8"/>
  <c r="BL9" i="9"/>
  <c r="W87" i="1"/>
  <c r="W77" i="1" s="1"/>
  <c r="AE87" i="10"/>
  <c r="AE77" i="10" s="1"/>
  <c r="P75" i="10"/>
  <c r="BE76" i="10"/>
  <c r="BH76" i="8"/>
  <c r="AE87" i="9"/>
  <c r="AE77" i="9" s="1"/>
  <c r="V75" i="10"/>
  <c r="AY66" i="5"/>
  <c r="DS76" i="5"/>
  <c r="DO118" i="11"/>
  <c r="G74" i="10"/>
  <c r="AE74" i="9"/>
  <c r="AY63" i="5"/>
  <c r="AY64" i="5" s="1"/>
  <c r="I63" i="5"/>
  <c r="M15" i="9"/>
  <c r="AJ76" i="8"/>
  <c r="BJ76" i="8"/>
  <c r="BJ75" i="8"/>
  <c r="T77" i="11"/>
  <c r="DS36" i="5"/>
  <c r="CC65" i="5"/>
  <c r="BL91" i="8"/>
  <c r="AB91" i="8"/>
  <c r="DU19" i="1"/>
  <c r="DV15" i="1"/>
  <c r="DU15" i="1"/>
  <c r="AP76" i="8"/>
  <c r="R64" i="5"/>
  <c r="R65" i="5"/>
  <c r="BI88" i="9"/>
  <c r="BI76" i="9"/>
  <c r="G74" i="9"/>
  <c r="G75" i="9" s="1"/>
  <c r="AW76" i="5"/>
  <c r="AW66" i="5" s="1"/>
  <c r="AD76" i="10"/>
  <c r="AS76" i="9"/>
  <c r="AG76" i="9"/>
  <c r="L76" i="10"/>
  <c r="Z76" i="9"/>
  <c r="DB64" i="5"/>
  <c r="DB65" i="5"/>
  <c r="CF87" i="1"/>
  <c r="CF77" i="1" s="1"/>
  <c r="DU118" i="1"/>
  <c r="DT77" i="1"/>
  <c r="DS77" i="1"/>
  <c r="DU94" i="1"/>
  <c r="DU92" i="1"/>
  <c r="DV13" i="1"/>
  <c r="DU50" i="1"/>
  <c r="DU21" i="1"/>
  <c r="DV34" i="1"/>
  <c r="DU91" i="1"/>
  <c r="DV86" i="1"/>
  <c r="DV81" i="1"/>
  <c r="DV71" i="1"/>
  <c r="DV66" i="1"/>
  <c r="DU61" i="1"/>
  <c r="DV44" i="1"/>
  <c r="DV50" i="1"/>
  <c r="DV41" i="1"/>
  <c r="DV35" i="1"/>
  <c r="DV31" i="1"/>
  <c r="DV27" i="1"/>
  <c r="DU22" i="1"/>
  <c r="DV60" i="1"/>
  <c r="DU41" i="1"/>
  <c r="DU31" i="1"/>
  <c r="DU13" i="1"/>
  <c r="DU26" i="1"/>
  <c r="DU10" i="1"/>
  <c r="DU11" i="1"/>
  <c r="DU86" i="1"/>
  <c r="DU81" i="1"/>
  <c r="DU71" i="1"/>
  <c r="DU66" i="1"/>
  <c r="DU44" i="1"/>
  <c r="DU35" i="1"/>
  <c r="DU27" i="1"/>
  <c r="DV39" i="1"/>
  <c r="DU20" i="1"/>
  <c r="DU12" i="1"/>
  <c r="DU103" i="1"/>
  <c r="DV84" i="1"/>
  <c r="DV80" i="1"/>
  <c r="DV70" i="1"/>
  <c r="DV65" i="1"/>
  <c r="DV59" i="1"/>
  <c r="DV45" i="1"/>
  <c r="DV48" i="1"/>
  <c r="DV30" i="1"/>
  <c r="DU101" i="1"/>
  <c r="DU84" i="1"/>
  <c r="DU80" i="1"/>
  <c r="DU70" i="1"/>
  <c r="DU65" i="1"/>
  <c r="DU59" i="1"/>
  <c r="DU45" i="1"/>
  <c r="DU48" i="1"/>
  <c r="DU39" i="1"/>
  <c r="DU34" i="1"/>
  <c r="DU30" i="1"/>
  <c r="DU25" i="1"/>
  <c r="DU18" i="1"/>
  <c r="DV83" i="1"/>
  <c r="DV78" i="1"/>
  <c r="DV69" i="1"/>
  <c r="DV64" i="1"/>
  <c r="DV58" i="1"/>
  <c r="DU53" i="1"/>
  <c r="DV46" i="1"/>
  <c r="DV38" i="1"/>
  <c r="DV33" i="1"/>
  <c r="DV29" i="1"/>
  <c r="DV24" i="1"/>
  <c r="DV17" i="1"/>
  <c r="DU83" i="1"/>
  <c r="DU78" i="1"/>
  <c r="DU69" i="1"/>
  <c r="DU64" i="1"/>
  <c r="DU58" i="1"/>
  <c r="DV52" i="1"/>
  <c r="DU46" i="1"/>
  <c r="DU38" i="1"/>
  <c r="DU33" i="1"/>
  <c r="DU29" i="1"/>
  <c r="DU24" i="1"/>
  <c r="DU17" i="1"/>
  <c r="DV82" i="1"/>
  <c r="DV73" i="1"/>
  <c r="DV68" i="1"/>
  <c r="DV63" i="1"/>
  <c r="DV56" i="1"/>
  <c r="DU52" i="1"/>
  <c r="DV42" i="1"/>
  <c r="DV37" i="1"/>
  <c r="DV32" i="1"/>
  <c r="DV28" i="1"/>
  <c r="DV23" i="1"/>
  <c r="DV16" i="1"/>
  <c r="DU82" i="1"/>
  <c r="DU73" i="1"/>
  <c r="DU68" i="1"/>
  <c r="DU63" i="1"/>
  <c r="DU56" i="1"/>
  <c r="DV51" i="1"/>
  <c r="DU42" i="1"/>
  <c r="DU37" i="1"/>
  <c r="DU32" i="1"/>
  <c r="DU28" i="1"/>
  <c r="DU23" i="1"/>
  <c r="DU16" i="1"/>
  <c r="DU95" i="1"/>
  <c r="DV26" i="1"/>
  <c r="DV62" i="1"/>
  <c r="DU62" i="1"/>
  <c r="DV57" i="1"/>
  <c r="DV55" i="1"/>
  <c r="DU57" i="1"/>
  <c r="DU55" i="1"/>
  <c r="DV12" i="1"/>
  <c r="DV11" i="1"/>
  <c r="DV10" i="1"/>
  <c r="BB77" i="1"/>
  <c r="DV87" i="1"/>
  <c r="DA64" i="5"/>
  <c r="DA65" i="5"/>
  <c r="BP80" i="5"/>
  <c r="BL91" i="10"/>
  <c r="AB91" i="10"/>
  <c r="I74" i="1"/>
  <c r="BY87" i="1"/>
  <c r="BY77" i="1" s="1"/>
  <c r="BZ74" i="1"/>
  <c r="DD74" i="1"/>
  <c r="BE87" i="1"/>
  <c r="BE77" i="1" s="1"/>
  <c r="DV14" i="1"/>
  <c r="DU14" i="1"/>
  <c r="DV98" i="1"/>
  <c r="DV100" i="1"/>
  <c r="DU98" i="1"/>
  <c r="DU100" i="1"/>
  <c r="DV97" i="1"/>
  <c r="DV99" i="1"/>
  <c r="DU97" i="1"/>
  <c r="DU99" i="1"/>
  <c r="CX87" i="1"/>
  <c r="CX77" i="1" s="1"/>
  <c r="DN75" i="11"/>
  <c r="DR74" i="1"/>
  <c r="DR76" i="1" s="1"/>
  <c r="CR87" i="1"/>
  <c r="CR77" i="1" s="1"/>
  <c r="DN64" i="5"/>
  <c r="DN65" i="5"/>
  <c r="I76" i="5"/>
  <c r="I66" i="5" s="1"/>
  <c r="CP64" i="5"/>
  <c r="CP65" i="5"/>
  <c r="AF37" i="8"/>
  <c r="G87" i="8"/>
  <c r="S28" i="5"/>
  <c r="U28" i="5"/>
  <c r="U26" i="5" s="1"/>
  <c r="DP118" i="11"/>
  <c r="F75" i="9"/>
  <c r="G74" i="8"/>
  <c r="G75" i="8" s="1"/>
  <c r="CC110" i="1"/>
  <c r="AS76" i="10"/>
  <c r="J76" i="9"/>
  <c r="AM87" i="1"/>
  <c r="AM77" i="1" s="1"/>
  <c r="AP26" i="5"/>
  <c r="S87" i="1"/>
  <c r="S77" i="1" s="1"/>
  <c r="AE87" i="1"/>
  <c r="AE77" i="1" s="1"/>
  <c r="BM74" i="1"/>
  <c r="AJ76" i="10"/>
  <c r="DP87" i="1"/>
  <c r="DP77" i="1" s="1"/>
  <c r="BR64" i="5"/>
  <c r="BR65" i="5"/>
  <c r="CD64" i="5"/>
  <c r="CD65" i="5"/>
  <c r="AD75" i="9"/>
  <c r="AD76" i="9"/>
  <c r="DP74" i="1"/>
  <c r="DP75" i="1" s="1"/>
  <c r="AY87" i="1"/>
  <c r="AY77" i="1" s="1"/>
  <c r="DQ87" i="1"/>
  <c r="DQ77" i="1" s="1"/>
  <c r="BT74" i="1"/>
  <c r="CL74" i="1"/>
  <c r="CK87" i="1"/>
  <c r="CK77" i="1" s="1"/>
  <c r="DQ74" i="1"/>
  <c r="DQ76" i="1" s="1"/>
  <c r="DO74" i="1"/>
  <c r="DO75" i="1" s="1"/>
  <c r="DO87" i="1"/>
  <c r="DO77" i="1" s="1"/>
  <c r="DJ74" i="1"/>
  <c r="O74" i="1"/>
  <c r="K87" i="1"/>
  <c r="K77" i="1" s="1"/>
  <c r="AI87" i="1"/>
  <c r="AI77" i="1" s="1"/>
  <c r="DI87" i="1"/>
  <c r="DI77" i="1" s="1"/>
  <c r="AQ87" i="1"/>
  <c r="AQ77" i="1" s="1"/>
  <c r="BS87" i="1"/>
  <c r="BS77" i="1" s="1"/>
  <c r="BN87" i="1"/>
  <c r="BN77" i="1" s="1"/>
  <c r="CE87" i="1"/>
  <c r="CE77" i="1" s="1"/>
  <c r="BH74" i="1"/>
  <c r="BG87" i="1"/>
  <c r="BG77" i="1" s="1"/>
  <c r="DC87" i="1"/>
  <c r="DC77" i="1" s="1"/>
  <c r="AA74" i="1"/>
  <c r="AA87" i="1"/>
  <c r="AA77" i="1" s="1"/>
  <c r="CQ87" i="1"/>
  <c r="CQ77" i="1" s="1"/>
  <c r="CW74" i="1"/>
  <c r="AU74" i="1"/>
  <c r="AU87" i="1"/>
  <c r="AU77" i="1" s="1"/>
  <c r="Z111" i="1"/>
  <c r="AD111" i="1" s="1"/>
  <c r="AO18" i="5"/>
  <c r="E18" i="5" s="1"/>
  <c r="BY87" i="11"/>
  <c r="BY77" i="11" s="1"/>
  <c r="Z76" i="10"/>
  <c r="H63" i="5"/>
  <c r="H76" i="5"/>
  <c r="H66" i="5" s="1"/>
  <c r="AP75" i="9"/>
  <c r="AP76" i="9"/>
  <c r="X91" i="11"/>
  <c r="CB91" i="11" s="1"/>
  <c r="CB94" i="11"/>
  <c r="AB94" i="11"/>
  <c r="DR63" i="5"/>
  <c r="DT8" i="5"/>
  <c r="DR76" i="5"/>
  <c r="DR66" i="5" s="1"/>
  <c r="BC64" i="5"/>
  <c r="BC65" i="5"/>
  <c r="AG12" i="5"/>
  <c r="AK12" i="5" s="1"/>
  <c r="O26" i="5"/>
  <c r="BO26" i="5" s="1"/>
  <c r="AE74" i="10"/>
  <c r="BJ46" i="5"/>
  <c r="L36" i="5"/>
  <c r="L63" i="5" s="1"/>
  <c r="BB75" i="9"/>
  <c r="BB76" i="9"/>
  <c r="BB36" i="5"/>
  <c r="G63" i="5"/>
  <c r="G76" i="5"/>
  <c r="G66" i="5" s="1"/>
  <c r="BJ8" i="5"/>
  <c r="AW64" i="5"/>
  <c r="AW65" i="5"/>
  <c r="AO21" i="5"/>
  <c r="E21" i="5" s="1"/>
  <c r="BA21" i="5" s="1"/>
  <c r="AG20" i="5"/>
  <c r="BJ75" i="9"/>
  <c r="BJ76" i="9"/>
  <c r="AZ63" i="5"/>
  <c r="AZ76" i="5"/>
  <c r="DT36" i="5"/>
  <c r="BJ88" i="9"/>
  <c r="F75" i="8"/>
  <c r="F76" i="8"/>
  <c r="AV75" i="9"/>
  <c r="AV76" i="9"/>
  <c r="DU87" i="5"/>
  <c r="BA87" i="5"/>
  <c r="DV87" i="5"/>
  <c r="AL114" i="10"/>
  <c r="I114" i="10"/>
  <c r="J114" i="10" s="1"/>
  <c r="K114" i="10" s="1"/>
  <c r="AO114" i="10" s="1"/>
  <c r="AG22" i="5"/>
  <c r="AK22" i="5" s="1"/>
  <c r="AO22" i="5" s="1"/>
  <c r="E32" i="5"/>
  <c r="DU32" i="5" s="1"/>
  <c r="BO73" i="5"/>
  <c r="AH74" i="8"/>
  <c r="AH75" i="8" s="1"/>
  <c r="AK37" i="8"/>
  <c r="AK37" i="9"/>
  <c r="AH87" i="10"/>
  <c r="S25" i="5"/>
  <c r="BU25" i="5" s="1"/>
  <c r="BH75" i="9"/>
  <c r="BH76" i="9"/>
  <c r="DU67" i="5"/>
  <c r="DV67" i="5"/>
  <c r="BA67" i="5"/>
  <c r="AS64" i="5"/>
  <c r="AS65" i="5"/>
  <c r="C64" i="5"/>
  <c r="C65" i="5"/>
  <c r="BX112" i="1"/>
  <c r="Z112" i="1"/>
  <c r="BQ75" i="11"/>
  <c r="BW112" i="1"/>
  <c r="Y112" i="1"/>
  <c r="AD109" i="1"/>
  <c r="CD109" i="1"/>
  <c r="CI110" i="1"/>
  <c r="AG110" i="1"/>
  <c r="CI109" i="1"/>
  <c r="AG109" i="1"/>
  <c r="CO111" i="1"/>
  <c r="AK111" i="1"/>
  <c r="AD110" i="1"/>
  <c r="CD110" i="1"/>
  <c r="AM75" i="9"/>
  <c r="AM76" i="9"/>
  <c r="AF9" i="10"/>
  <c r="G87" i="10"/>
  <c r="AH87" i="9"/>
  <c r="AH77" i="9" s="1"/>
  <c r="AH77" i="10"/>
  <c r="U117" i="8"/>
  <c r="U116" i="8"/>
  <c r="W116" i="8" s="1"/>
  <c r="U115" i="8"/>
  <c r="W115" i="8" s="1"/>
  <c r="CF94" i="11"/>
  <c r="BZ91" i="11"/>
  <c r="AA94" i="11"/>
  <c r="CA94" i="11"/>
  <c r="W91" i="11"/>
  <c r="CA91" i="11" s="1"/>
  <c r="CE94" i="11"/>
  <c r="BY91" i="11"/>
  <c r="AK37" i="10"/>
  <c r="AF37" i="9"/>
  <c r="G87" i="9"/>
  <c r="AC75" i="10"/>
  <c r="AC76" i="10"/>
  <c r="BL37" i="9"/>
  <c r="AB37" i="9"/>
  <c r="D87" i="9"/>
  <c r="BL47" i="8"/>
  <c r="AB47" i="8"/>
  <c r="D37" i="8"/>
  <c r="D74" i="8" s="1"/>
  <c r="BL9" i="8"/>
  <c r="AB9" i="8"/>
  <c r="BL47" i="10"/>
  <c r="AB47" i="10"/>
  <c r="D37" i="10"/>
  <c r="D74" i="10" s="1"/>
  <c r="D75" i="9"/>
  <c r="D76" i="9"/>
  <c r="BI114" i="1"/>
  <c r="BE118" i="11"/>
  <c r="BG118" i="11" s="1"/>
  <c r="BG114" i="11"/>
  <c r="AE75" i="8"/>
  <c r="AE76" i="8"/>
  <c r="BM12" i="11"/>
  <c r="BG76" i="11"/>
  <c r="BG75" i="11"/>
  <c r="BL9" i="10"/>
  <c r="AB9" i="10"/>
  <c r="L118" i="1"/>
  <c r="N114" i="1"/>
  <c r="H114" i="8"/>
  <c r="AL114" i="8" s="1"/>
  <c r="J118" i="11"/>
  <c r="L114" i="11"/>
  <c r="BJ114" i="11" s="1"/>
  <c r="AH87" i="8"/>
  <c r="AH77" i="8" s="1"/>
  <c r="BL114" i="11"/>
  <c r="BK114" i="11"/>
  <c r="G75" i="10"/>
  <c r="G76" i="10"/>
  <c r="BN12" i="11"/>
  <c r="BH76" i="11"/>
  <c r="BH75" i="11"/>
  <c r="BJ114" i="1"/>
  <c r="BH114" i="11"/>
  <c r="BF118" i="11"/>
  <c r="BH118" i="11" s="1"/>
  <c r="K118" i="1"/>
  <c r="M114" i="1"/>
  <c r="K114" i="11"/>
  <c r="BI114" i="11" s="1"/>
  <c r="I118" i="11"/>
  <c r="CN108" i="11"/>
  <c r="AJ108" i="11"/>
  <c r="CS112" i="11"/>
  <c r="AM112" i="11"/>
  <c r="CS111" i="11"/>
  <c r="AM111" i="11"/>
  <c r="CS110" i="11"/>
  <c r="AM110" i="11"/>
  <c r="CS109" i="11"/>
  <c r="AM109" i="11"/>
  <c r="CT112" i="11"/>
  <c r="AN112" i="11"/>
  <c r="CT111" i="11"/>
  <c r="AN111" i="11"/>
  <c r="CT110" i="11"/>
  <c r="AN110" i="11"/>
  <c r="CT109" i="11"/>
  <c r="AN109" i="11"/>
  <c r="CK86" i="11"/>
  <c r="CK84" i="11" s="1"/>
  <c r="CM83" i="11"/>
  <c r="AI83" i="11"/>
  <c r="CQ28" i="11"/>
  <c r="CK27" i="11"/>
  <c r="DA8" i="11"/>
  <c r="DC8" i="11" s="1"/>
  <c r="CY8" i="11"/>
  <c r="CR28" i="11"/>
  <c r="CL27" i="11"/>
  <c r="DB8" i="11"/>
  <c r="DD8" i="11" s="1"/>
  <c r="CZ8" i="11"/>
  <c r="CM11" i="11"/>
  <c r="AI11" i="11"/>
  <c r="AE10" i="11"/>
  <c r="CM36" i="11"/>
  <c r="AI36" i="11"/>
  <c r="CM35" i="11"/>
  <c r="AI35" i="11"/>
  <c r="CM34" i="11"/>
  <c r="AI34" i="11"/>
  <c r="CM33" i="11"/>
  <c r="AI33" i="11"/>
  <c r="CM32" i="11"/>
  <c r="AI32" i="11"/>
  <c r="CM31" i="11"/>
  <c r="AI31" i="11"/>
  <c r="CM30" i="11"/>
  <c r="AI30" i="11"/>
  <c r="CN53" i="11"/>
  <c r="AJ53" i="11"/>
  <c r="CN45" i="11"/>
  <c r="AJ45" i="11"/>
  <c r="CN44" i="11"/>
  <c r="AJ44" i="11"/>
  <c r="CN43" i="11"/>
  <c r="AJ43" i="11"/>
  <c r="CN42" i="11"/>
  <c r="AJ42" i="11"/>
  <c r="CN40" i="11"/>
  <c r="AJ40" i="11"/>
  <c r="CQ82" i="11"/>
  <c r="CK81" i="11"/>
  <c r="CR85" i="11"/>
  <c r="CQ85" i="11"/>
  <c r="CM39" i="11"/>
  <c r="AI39" i="11"/>
  <c r="AE38" i="11"/>
  <c r="CM26" i="11"/>
  <c r="AI26" i="11"/>
  <c r="CM25" i="11"/>
  <c r="AI25" i="11"/>
  <c r="CM24" i="11"/>
  <c r="AI24" i="11"/>
  <c r="CM23" i="11"/>
  <c r="AI23" i="11"/>
  <c r="CM22" i="11"/>
  <c r="AI22" i="11"/>
  <c r="CM21" i="11"/>
  <c r="AI21" i="11"/>
  <c r="CM20" i="11"/>
  <c r="AI20" i="11"/>
  <c r="CM19" i="11"/>
  <c r="AI19" i="11"/>
  <c r="CM18" i="11"/>
  <c r="AI18" i="11"/>
  <c r="CM17" i="11"/>
  <c r="AI17" i="11"/>
  <c r="CM14" i="11"/>
  <c r="AI14" i="11"/>
  <c r="CM13" i="11"/>
  <c r="AI13" i="11"/>
  <c r="CM12" i="11"/>
  <c r="AI12" i="11"/>
  <c r="CN26" i="11"/>
  <c r="AJ26" i="11"/>
  <c r="CN25" i="11"/>
  <c r="AJ25" i="11"/>
  <c r="CN24" i="11"/>
  <c r="AJ24" i="11"/>
  <c r="CN23" i="11"/>
  <c r="AJ23" i="11"/>
  <c r="CN22" i="11"/>
  <c r="AJ22" i="11"/>
  <c r="CN21" i="11"/>
  <c r="AJ21" i="11"/>
  <c r="CN20" i="11"/>
  <c r="AJ20" i="11"/>
  <c r="CN19" i="11"/>
  <c r="AJ19" i="11"/>
  <c r="CN18" i="11"/>
  <c r="AJ18" i="11"/>
  <c r="CN17" i="11"/>
  <c r="AJ17" i="11"/>
  <c r="CN14" i="11"/>
  <c r="AJ14" i="11"/>
  <c r="CN13" i="11"/>
  <c r="AJ13" i="11"/>
  <c r="CN12" i="11"/>
  <c r="AJ12" i="11"/>
  <c r="CH101" i="11"/>
  <c r="AF101" i="11"/>
  <c r="CN93" i="11"/>
  <c r="AJ93" i="11"/>
  <c r="S75" i="11"/>
  <c r="S76" i="11"/>
  <c r="CM28" i="11"/>
  <c r="AI28" i="11"/>
  <c r="AE27" i="11"/>
  <c r="CM27" i="11" s="1"/>
  <c r="CM80" i="11"/>
  <c r="AI80" i="11"/>
  <c r="CN83" i="11"/>
  <c r="AJ83" i="11"/>
  <c r="CH38" i="11"/>
  <c r="AB37" i="11"/>
  <c r="CH37" i="11" s="1"/>
  <c r="CN80" i="11"/>
  <c r="AJ80" i="11"/>
  <c r="CN61" i="11"/>
  <c r="AJ61" i="11"/>
  <c r="CN58" i="11"/>
  <c r="AJ58" i="11"/>
  <c r="CN56" i="11"/>
  <c r="AJ56" i="11"/>
  <c r="CT102" i="11"/>
  <c r="AN102" i="11"/>
  <c r="CN100" i="11"/>
  <c r="AJ100" i="11"/>
  <c r="CN99" i="11"/>
  <c r="AJ99" i="11"/>
  <c r="CN98" i="11"/>
  <c r="AJ98" i="11"/>
  <c r="CN97" i="11"/>
  <c r="AJ97" i="11"/>
  <c r="CN96" i="11"/>
  <c r="AJ96" i="11"/>
  <c r="CN95" i="11"/>
  <c r="AJ95" i="11"/>
  <c r="CX55" i="11"/>
  <c r="CR47" i="11"/>
  <c r="CR39" i="11"/>
  <c r="CL38" i="11"/>
  <c r="CL37" i="11" s="1"/>
  <c r="CS102" i="11"/>
  <c r="AM102" i="11"/>
  <c r="CM100" i="11"/>
  <c r="AI100" i="11"/>
  <c r="CM99" i="11"/>
  <c r="AI99" i="11"/>
  <c r="CM98" i="11"/>
  <c r="AI98" i="11"/>
  <c r="CM97" i="11"/>
  <c r="AI97" i="11"/>
  <c r="CM96" i="11"/>
  <c r="AI96" i="11"/>
  <c r="CM95" i="11"/>
  <c r="AI95" i="11"/>
  <c r="CT107" i="11"/>
  <c r="AN107" i="11"/>
  <c r="CT106" i="11"/>
  <c r="AN106" i="11"/>
  <c r="CT105" i="11"/>
  <c r="AN105" i="11"/>
  <c r="CT104" i="11"/>
  <c r="AN104" i="11"/>
  <c r="CT103" i="11"/>
  <c r="AN103" i="11"/>
  <c r="CM93" i="11"/>
  <c r="AI93" i="11"/>
  <c r="CN79" i="11"/>
  <c r="AJ79" i="11"/>
  <c r="AF78" i="11"/>
  <c r="CE9" i="11"/>
  <c r="CE74" i="11" s="1"/>
  <c r="CG78" i="11"/>
  <c r="CR82" i="11"/>
  <c r="CL81" i="11"/>
  <c r="CR79" i="11"/>
  <c r="CL78" i="11"/>
  <c r="CR11" i="11"/>
  <c r="CL10" i="11"/>
  <c r="CW55" i="11"/>
  <c r="CQ47" i="11"/>
  <c r="CQ39" i="11"/>
  <c r="CK38" i="11"/>
  <c r="CK37" i="11" s="1"/>
  <c r="CM92" i="11"/>
  <c r="AI92" i="11"/>
  <c r="CH10" i="11"/>
  <c r="AB9" i="11"/>
  <c r="BZ87" i="11"/>
  <c r="BZ77" i="11" s="1"/>
  <c r="CN92" i="11"/>
  <c r="AJ92" i="11"/>
  <c r="CM61" i="11"/>
  <c r="AI61" i="11"/>
  <c r="CM58" i="11"/>
  <c r="AI58" i="11"/>
  <c r="CM56" i="11"/>
  <c r="AI56" i="11"/>
  <c r="CG10" i="11"/>
  <c r="AA9" i="11"/>
  <c r="CQ79" i="11"/>
  <c r="CK78" i="11"/>
  <c r="CR92" i="11"/>
  <c r="CN28" i="11"/>
  <c r="AJ28" i="11"/>
  <c r="AF27" i="11"/>
  <c r="CN27" i="11" s="1"/>
  <c r="CM53" i="11"/>
  <c r="AI53" i="11"/>
  <c r="CM45" i="11"/>
  <c r="AI45" i="11"/>
  <c r="CM44" i="11"/>
  <c r="AI44" i="11"/>
  <c r="CM43" i="11"/>
  <c r="AI43" i="11"/>
  <c r="CM42" i="11"/>
  <c r="AI42" i="11"/>
  <c r="CM40" i="11"/>
  <c r="AI40" i="11"/>
  <c r="CN29" i="11"/>
  <c r="AJ29" i="11"/>
  <c r="CG38" i="11"/>
  <c r="AA37" i="11"/>
  <c r="CG37" i="11" s="1"/>
  <c r="CQ92" i="11"/>
  <c r="CM55" i="11"/>
  <c r="AI55" i="11"/>
  <c r="AE47" i="11"/>
  <c r="CM47" i="11" s="1"/>
  <c r="CN39" i="11"/>
  <c r="AJ39" i="11"/>
  <c r="AF38" i="11"/>
  <c r="X74" i="11"/>
  <c r="CB9" i="11"/>
  <c r="CN85" i="11"/>
  <c r="AJ85" i="11"/>
  <c r="W74" i="11"/>
  <c r="CA9" i="11"/>
  <c r="CN82" i="11"/>
  <c r="AJ82" i="11"/>
  <c r="AF81" i="11"/>
  <c r="CN81" i="11" s="1"/>
  <c r="CS108" i="11"/>
  <c r="AM108" i="11"/>
  <c r="CS107" i="11"/>
  <c r="AM107" i="11"/>
  <c r="CS106" i="11"/>
  <c r="AM106" i="11"/>
  <c r="CS105" i="11"/>
  <c r="AM105" i="11"/>
  <c r="CS104" i="11"/>
  <c r="AM104" i="11"/>
  <c r="CS103" i="11"/>
  <c r="AM103" i="11"/>
  <c r="CM101" i="11"/>
  <c r="AI101" i="11"/>
  <c r="CL86" i="11"/>
  <c r="CH78" i="11"/>
  <c r="CQ11" i="11"/>
  <c r="CK10" i="11"/>
  <c r="T75" i="11"/>
  <c r="T76" i="11"/>
  <c r="CM79" i="11"/>
  <c r="AI79" i="11"/>
  <c r="AE78" i="11"/>
  <c r="CN55" i="11"/>
  <c r="AJ55" i="11"/>
  <c r="AF47" i="11"/>
  <c r="CN47" i="11" s="1"/>
  <c r="CH86" i="11"/>
  <c r="AF86" i="11"/>
  <c r="CM82" i="11"/>
  <c r="AI82" i="11"/>
  <c r="AE81" i="11"/>
  <c r="CM81" i="11" s="1"/>
  <c r="CN36" i="11"/>
  <c r="AJ36" i="11"/>
  <c r="CN35" i="11"/>
  <c r="AJ35" i="11"/>
  <c r="CN34" i="11"/>
  <c r="AJ34" i="11"/>
  <c r="CN33" i="11"/>
  <c r="AJ33" i="11"/>
  <c r="CN32" i="11"/>
  <c r="AJ32" i="11"/>
  <c r="CN31" i="11"/>
  <c r="AJ31" i="11"/>
  <c r="CN30" i="11"/>
  <c r="AJ30" i="11"/>
  <c r="CM29" i="11"/>
  <c r="AI29" i="11"/>
  <c r="CF9" i="11"/>
  <c r="CF74" i="11" s="1"/>
  <c r="CG86" i="11"/>
  <c r="AE86" i="11"/>
  <c r="AE84" i="11" s="1"/>
  <c r="CM84" i="11" s="1"/>
  <c r="CM85" i="11"/>
  <c r="AI85" i="11"/>
  <c r="CM16" i="11"/>
  <c r="AI16" i="11"/>
  <c r="CM15" i="11"/>
  <c r="AI15" i="11"/>
  <c r="CN11" i="11"/>
  <c r="AJ11" i="11"/>
  <c r="AF10" i="11"/>
  <c r="CE84" i="11"/>
  <c r="X87" i="11"/>
  <c r="CB87" i="11" s="1"/>
  <c r="W87" i="11"/>
  <c r="BM114" i="1"/>
  <c r="BN114" i="1"/>
  <c r="AL12" i="10"/>
  <c r="M12" i="10"/>
  <c r="AL14" i="10"/>
  <c r="M14" i="10"/>
  <c r="AL16" i="10"/>
  <c r="M16" i="10"/>
  <c r="AL18" i="10"/>
  <c r="M18" i="10"/>
  <c r="AL20" i="10"/>
  <c r="M20" i="10"/>
  <c r="AL22" i="10"/>
  <c r="M22" i="10"/>
  <c r="AL24" i="10"/>
  <c r="M24" i="10"/>
  <c r="AL26" i="10"/>
  <c r="M26" i="10"/>
  <c r="AL29" i="10"/>
  <c r="M29" i="10"/>
  <c r="AL31" i="10"/>
  <c r="M31" i="10"/>
  <c r="AL33" i="10"/>
  <c r="M33" i="10"/>
  <c r="AL35" i="10"/>
  <c r="M35" i="10"/>
  <c r="AQ92" i="10"/>
  <c r="AN91" i="10"/>
  <c r="AL39" i="10"/>
  <c r="M39" i="10"/>
  <c r="K38" i="10"/>
  <c r="AL40" i="10"/>
  <c r="M40" i="10"/>
  <c r="AL53" i="10"/>
  <c r="M53" i="10"/>
  <c r="AL58" i="10"/>
  <c r="M58" i="10"/>
  <c r="AL61" i="10"/>
  <c r="M61" i="10"/>
  <c r="AI78" i="10"/>
  <c r="AL85" i="10"/>
  <c r="M85" i="10"/>
  <c r="K84" i="10"/>
  <c r="AL84" i="10" s="1"/>
  <c r="AL86" i="10"/>
  <c r="M86" i="10"/>
  <c r="AK9" i="10"/>
  <c r="AQ39" i="10"/>
  <c r="AN38" i="10"/>
  <c r="AQ55" i="10"/>
  <c r="AN47" i="10"/>
  <c r="AQ79" i="10"/>
  <c r="AN78" i="10"/>
  <c r="AQ82" i="10"/>
  <c r="AN81" i="10"/>
  <c r="AQ85" i="10"/>
  <c r="AL11" i="10"/>
  <c r="M11" i="10"/>
  <c r="K10" i="10"/>
  <c r="AL13" i="10"/>
  <c r="M13" i="10"/>
  <c r="AL15" i="10"/>
  <c r="M15" i="10"/>
  <c r="AL17" i="10"/>
  <c r="M17" i="10"/>
  <c r="AL19" i="10"/>
  <c r="M19" i="10"/>
  <c r="AL21" i="10"/>
  <c r="M21" i="10"/>
  <c r="AL23" i="10"/>
  <c r="M23" i="10"/>
  <c r="AL25" i="10"/>
  <c r="M25" i="10"/>
  <c r="AL55" i="10"/>
  <c r="M55" i="10"/>
  <c r="K47" i="10"/>
  <c r="AL47" i="10" s="1"/>
  <c r="AL56" i="10"/>
  <c r="M56" i="10"/>
  <c r="AH74" i="10"/>
  <c r="AI38" i="10"/>
  <c r="I37" i="10"/>
  <c r="AL79" i="10"/>
  <c r="M79" i="10"/>
  <c r="K78" i="10"/>
  <c r="AL80" i="10"/>
  <c r="M80" i="10"/>
  <c r="AL92" i="10"/>
  <c r="M92" i="10"/>
  <c r="K91" i="10"/>
  <c r="AL91" i="10" s="1"/>
  <c r="AL93" i="10"/>
  <c r="M93" i="10"/>
  <c r="AL97" i="10"/>
  <c r="M97" i="10"/>
  <c r="AL98" i="10"/>
  <c r="M98" i="10"/>
  <c r="AL99" i="10"/>
  <c r="M99" i="10"/>
  <c r="AL100" i="10"/>
  <c r="M100" i="10"/>
  <c r="AO106" i="10"/>
  <c r="O106" i="10"/>
  <c r="AO107" i="10"/>
  <c r="O107" i="10"/>
  <c r="AO109" i="10"/>
  <c r="O109" i="10"/>
  <c r="AO111" i="10"/>
  <c r="O111" i="10"/>
  <c r="AL128" i="10"/>
  <c r="AQ28" i="10"/>
  <c r="AN27" i="10"/>
  <c r="AS8" i="10"/>
  <c r="AT8" i="10" s="1"/>
  <c r="AR8" i="10"/>
  <c r="AQ11" i="10"/>
  <c r="AN10" i="10"/>
  <c r="AI10" i="10"/>
  <c r="I9" i="10"/>
  <c r="AL28" i="10"/>
  <c r="M28" i="10"/>
  <c r="K27" i="10"/>
  <c r="AL27" i="10" s="1"/>
  <c r="AL30" i="10"/>
  <c r="M30" i="10"/>
  <c r="AL32" i="10"/>
  <c r="M32" i="10"/>
  <c r="AL34" i="10"/>
  <c r="M34" i="10"/>
  <c r="AL36" i="10"/>
  <c r="M36" i="10"/>
  <c r="AL94" i="10"/>
  <c r="M94" i="10"/>
  <c r="AJ114" i="10"/>
  <c r="AK114" i="10" s="1"/>
  <c r="AL42" i="10"/>
  <c r="M42" i="10"/>
  <c r="AL43" i="10"/>
  <c r="M43" i="10"/>
  <c r="AL44" i="10"/>
  <c r="M44" i="10"/>
  <c r="AL45" i="10"/>
  <c r="M45" i="10"/>
  <c r="AL82" i="10"/>
  <c r="M82" i="10"/>
  <c r="K81" i="10"/>
  <c r="AL81" i="10" s="1"/>
  <c r="AL83" i="10"/>
  <c r="M83" i="10"/>
  <c r="AN86" i="10"/>
  <c r="AL95" i="10"/>
  <c r="M95" i="10"/>
  <c r="AL96" i="10"/>
  <c r="M96" i="10"/>
  <c r="AO101" i="10"/>
  <c r="O101" i="10"/>
  <c r="AO102" i="10"/>
  <c r="O102" i="10"/>
  <c r="AO103" i="10"/>
  <c r="O103" i="10"/>
  <c r="AO104" i="10"/>
  <c r="O104" i="10"/>
  <c r="AO105" i="10"/>
  <c r="O105" i="10"/>
  <c r="AO108" i="10"/>
  <c r="O108" i="10"/>
  <c r="AO110" i="10"/>
  <c r="O110" i="10"/>
  <c r="AO112" i="10"/>
  <c r="O112" i="10"/>
  <c r="AK9" i="9"/>
  <c r="AQ39" i="9"/>
  <c r="AN38" i="9"/>
  <c r="AQ55" i="9"/>
  <c r="AN47" i="9"/>
  <c r="AQ79" i="9"/>
  <c r="AN78" i="9"/>
  <c r="AQ82" i="9"/>
  <c r="AN81" i="9"/>
  <c r="AQ85" i="9"/>
  <c r="AL11" i="9"/>
  <c r="M11" i="9"/>
  <c r="K10" i="9"/>
  <c r="AL13" i="9"/>
  <c r="M13" i="9"/>
  <c r="AL17" i="9"/>
  <c r="M17" i="9"/>
  <c r="AL19" i="9"/>
  <c r="M19" i="9"/>
  <c r="AL21" i="9"/>
  <c r="M21" i="9"/>
  <c r="AL23" i="9"/>
  <c r="M23" i="9"/>
  <c r="AL25" i="9"/>
  <c r="M25" i="9"/>
  <c r="AL55" i="9"/>
  <c r="M55" i="9"/>
  <c r="K47" i="9"/>
  <c r="AL47" i="9" s="1"/>
  <c r="AL56" i="9"/>
  <c r="M56" i="9"/>
  <c r="AL12" i="9"/>
  <c r="M12" i="9"/>
  <c r="AL14" i="9"/>
  <c r="M14" i="9"/>
  <c r="AL18" i="9"/>
  <c r="M18" i="9"/>
  <c r="AL20" i="9"/>
  <c r="M20" i="9"/>
  <c r="AL22" i="9"/>
  <c r="M22" i="9"/>
  <c r="AL24" i="9"/>
  <c r="M24" i="9"/>
  <c r="AL26" i="9"/>
  <c r="M26" i="9"/>
  <c r="AL29" i="9"/>
  <c r="M29" i="9"/>
  <c r="AL31" i="9"/>
  <c r="M31" i="9"/>
  <c r="AL33" i="9"/>
  <c r="M33" i="9"/>
  <c r="AL35" i="9"/>
  <c r="M35" i="9"/>
  <c r="AQ92" i="9"/>
  <c r="AN91" i="9"/>
  <c r="AL39" i="9"/>
  <c r="M39" i="9"/>
  <c r="K38" i="9"/>
  <c r="AL40" i="9"/>
  <c r="M40" i="9"/>
  <c r="AL53" i="9"/>
  <c r="M53" i="9"/>
  <c r="AL58" i="9"/>
  <c r="M58" i="9"/>
  <c r="AL61" i="9"/>
  <c r="M61" i="9"/>
  <c r="AI78" i="9"/>
  <c r="AL85" i="9"/>
  <c r="M85" i="9"/>
  <c r="K84" i="9"/>
  <c r="AL84" i="9" s="1"/>
  <c r="AL86" i="9"/>
  <c r="M86" i="9"/>
  <c r="AH74" i="9"/>
  <c r="AS8" i="9"/>
  <c r="AT8" i="9" s="1"/>
  <c r="AR8" i="9"/>
  <c r="AQ11" i="9"/>
  <c r="AN10" i="9"/>
  <c r="AI10" i="9"/>
  <c r="I9" i="9"/>
  <c r="AL28" i="9"/>
  <c r="M28" i="9"/>
  <c r="K27" i="9"/>
  <c r="AL27" i="9" s="1"/>
  <c r="AL30" i="9"/>
  <c r="M30" i="9"/>
  <c r="AL32" i="9"/>
  <c r="M32" i="9"/>
  <c r="AL34" i="9"/>
  <c r="M34" i="9"/>
  <c r="AL36" i="9"/>
  <c r="M36" i="9"/>
  <c r="AO15" i="9"/>
  <c r="O15" i="9"/>
  <c r="AO16" i="9"/>
  <c r="O16" i="9"/>
  <c r="AL94" i="9"/>
  <c r="M94" i="9"/>
  <c r="L114" i="9"/>
  <c r="M114" i="9" s="1"/>
  <c r="AG118" i="9"/>
  <c r="AH118" i="9" s="1"/>
  <c r="AJ114" i="9"/>
  <c r="AK114" i="9" s="1"/>
  <c r="AL42" i="9"/>
  <c r="M42" i="9"/>
  <c r="AL43" i="9"/>
  <c r="M43" i="9"/>
  <c r="AL44" i="9"/>
  <c r="M44" i="9"/>
  <c r="AL45" i="9"/>
  <c r="M45" i="9"/>
  <c r="AL82" i="9"/>
  <c r="M82" i="9"/>
  <c r="K81" i="9"/>
  <c r="AL81" i="9" s="1"/>
  <c r="AL83" i="9"/>
  <c r="M83" i="9"/>
  <c r="AN86" i="9"/>
  <c r="AL95" i="9"/>
  <c r="M95" i="9"/>
  <c r="AL96" i="9"/>
  <c r="M96" i="9"/>
  <c r="AO101" i="9"/>
  <c r="O101" i="9"/>
  <c r="AO102" i="9"/>
  <c r="O102" i="9"/>
  <c r="AO103" i="9"/>
  <c r="O103" i="9"/>
  <c r="AO104" i="9"/>
  <c r="O104" i="9"/>
  <c r="AO105" i="9"/>
  <c r="O105" i="9"/>
  <c r="AO108" i="9"/>
  <c r="O108" i="9"/>
  <c r="AO110" i="9"/>
  <c r="O110" i="9"/>
  <c r="AO112" i="9"/>
  <c r="O112" i="9"/>
  <c r="AQ28" i="9"/>
  <c r="AN27" i="9"/>
  <c r="AI38" i="9"/>
  <c r="I37" i="9"/>
  <c r="AL79" i="9"/>
  <c r="M79" i="9"/>
  <c r="K78" i="9"/>
  <c r="AL80" i="9"/>
  <c r="M80" i="9"/>
  <c r="AL92" i="9"/>
  <c r="M92" i="9"/>
  <c r="K91" i="9"/>
  <c r="AL91" i="9" s="1"/>
  <c r="AL93" i="9"/>
  <c r="M93" i="9"/>
  <c r="AL97" i="9"/>
  <c r="M97" i="9"/>
  <c r="AL98" i="9"/>
  <c r="M98" i="9"/>
  <c r="AL99" i="9"/>
  <c r="M99" i="9"/>
  <c r="AL100" i="9"/>
  <c r="M100" i="9"/>
  <c r="AO106" i="9"/>
  <c r="O106" i="9"/>
  <c r="AO107" i="9"/>
  <c r="O107" i="9"/>
  <c r="AO109" i="9"/>
  <c r="O109" i="9"/>
  <c r="AO111" i="9"/>
  <c r="O111" i="9"/>
  <c r="AL131" i="9"/>
  <c r="AI10" i="8"/>
  <c r="I9" i="8"/>
  <c r="AL28" i="8"/>
  <c r="M28" i="8"/>
  <c r="K27" i="8"/>
  <c r="AL27" i="8" s="1"/>
  <c r="AL29" i="8"/>
  <c r="M29" i="8"/>
  <c r="AL30" i="8"/>
  <c r="M30" i="8"/>
  <c r="AL31" i="8"/>
  <c r="M31" i="8"/>
  <c r="AL32" i="8"/>
  <c r="M32" i="8"/>
  <c r="AL33" i="8"/>
  <c r="M33" i="8"/>
  <c r="AL34" i="8"/>
  <c r="M34" i="8"/>
  <c r="AL35" i="8"/>
  <c r="M35" i="8"/>
  <c r="AL36" i="8"/>
  <c r="M36" i="8"/>
  <c r="AI38" i="8"/>
  <c r="I37" i="8"/>
  <c r="AL79" i="8"/>
  <c r="M79" i="8"/>
  <c r="K78" i="8"/>
  <c r="AL80" i="8"/>
  <c r="M80" i="8"/>
  <c r="AL92" i="8"/>
  <c r="M92" i="8"/>
  <c r="K91" i="8"/>
  <c r="AL91" i="8" s="1"/>
  <c r="AL93" i="8"/>
  <c r="M93" i="8"/>
  <c r="AL97" i="8"/>
  <c r="M97" i="8"/>
  <c r="AL98" i="8"/>
  <c r="M98" i="8"/>
  <c r="AL99" i="8"/>
  <c r="M99" i="8"/>
  <c r="AL100" i="8"/>
  <c r="M100" i="8"/>
  <c r="AO106" i="8"/>
  <c r="O106" i="8"/>
  <c r="AO107" i="8"/>
  <c r="O107" i="8"/>
  <c r="AO109" i="8"/>
  <c r="O109" i="8"/>
  <c r="AO111" i="8"/>
  <c r="O111" i="8"/>
  <c r="AL131" i="8"/>
  <c r="AQ11" i="8"/>
  <c r="AN10" i="8"/>
  <c r="AL55" i="8"/>
  <c r="M55" i="8"/>
  <c r="K47" i="8"/>
  <c r="AL47" i="8" s="1"/>
  <c r="AL56" i="8"/>
  <c r="M56" i="8"/>
  <c r="AO15" i="8"/>
  <c r="O15" i="8"/>
  <c r="AO16" i="8"/>
  <c r="O16" i="8"/>
  <c r="AS8" i="8"/>
  <c r="AT8" i="8" s="1"/>
  <c r="AR8" i="8"/>
  <c r="AQ28" i="8"/>
  <c r="AN27" i="8"/>
  <c r="AQ39" i="8"/>
  <c r="AN38" i="8"/>
  <c r="AQ55" i="8"/>
  <c r="AN47" i="8"/>
  <c r="AQ79" i="8"/>
  <c r="AN78" i="8"/>
  <c r="AQ82" i="8"/>
  <c r="AN81" i="8"/>
  <c r="AQ85" i="8"/>
  <c r="AL11" i="8"/>
  <c r="M11" i="8"/>
  <c r="K10" i="8"/>
  <c r="AL12" i="8"/>
  <c r="M12" i="8"/>
  <c r="AL13" i="8"/>
  <c r="M13" i="8"/>
  <c r="AL14" i="8"/>
  <c r="M14" i="8"/>
  <c r="AL17" i="8"/>
  <c r="M17" i="8"/>
  <c r="AL18" i="8"/>
  <c r="M18" i="8"/>
  <c r="AL19" i="8"/>
  <c r="M19" i="8"/>
  <c r="AL20" i="8"/>
  <c r="M20" i="8"/>
  <c r="AL21" i="8"/>
  <c r="M21" i="8"/>
  <c r="AL22" i="8"/>
  <c r="M22" i="8"/>
  <c r="AL23" i="8"/>
  <c r="M23" i="8"/>
  <c r="AL24" i="8"/>
  <c r="M24" i="8"/>
  <c r="AQ92" i="8"/>
  <c r="AN91" i="8"/>
  <c r="AL39" i="8"/>
  <c r="M39" i="8"/>
  <c r="K38" i="8"/>
  <c r="AL40" i="8"/>
  <c r="M40" i="8"/>
  <c r="AL53" i="8"/>
  <c r="M53" i="8"/>
  <c r="AL58" i="8"/>
  <c r="M58" i="8"/>
  <c r="AL61" i="8"/>
  <c r="M61" i="8"/>
  <c r="AI78" i="8"/>
  <c r="AL85" i="8"/>
  <c r="M85" i="8"/>
  <c r="K84" i="8"/>
  <c r="AL84" i="8" s="1"/>
  <c r="AL86" i="8"/>
  <c r="M86" i="8"/>
  <c r="AK9" i="8"/>
  <c r="AK74" i="8" s="1"/>
  <c r="AK75" i="8" s="1"/>
  <c r="AL25" i="8"/>
  <c r="M25" i="8"/>
  <c r="AL26" i="8"/>
  <c r="M26" i="8"/>
  <c r="AG118" i="8"/>
  <c r="AH118" i="8" s="1"/>
  <c r="AJ114" i="8"/>
  <c r="AK114" i="8" s="1"/>
  <c r="AL94" i="8"/>
  <c r="M94" i="8"/>
  <c r="AL42" i="8"/>
  <c r="M42" i="8"/>
  <c r="AL43" i="8"/>
  <c r="M43" i="8"/>
  <c r="AL44" i="8"/>
  <c r="M44" i="8"/>
  <c r="AL45" i="8"/>
  <c r="M45" i="8"/>
  <c r="AL82" i="8"/>
  <c r="M82" i="8"/>
  <c r="K81" i="8"/>
  <c r="AL81" i="8" s="1"/>
  <c r="AL83" i="8"/>
  <c r="M83" i="8"/>
  <c r="AN86" i="8"/>
  <c r="AL95" i="8"/>
  <c r="M95" i="8"/>
  <c r="AL96" i="8"/>
  <c r="M96" i="8"/>
  <c r="AO101" i="8"/>
  <c r="O101" i="8"/>
  <c r="AO102" i="8"/>
  <c r="O102" i="8"/>
  <c r="AO103" i="8"/>
  <c r="O103" i="8"/>
  <c r="AO104" i="8"/>
  <c r="O104" i="8"/>
  <c r="AO105" i="8"/>
  <c r="O105" i="8"/>
  <c r="AO108" i="8"/>
  <c r="O108" i="8"/>
  <c r="AO110" i="8"/>
  <c r="O110" i="8"/>
  <c r="AO112" i="8"/>
  <c r="O112" i="8"/>
  <c r="AO16" i="5"/>
  <c r="E16" i="5" s="1"/>
  <c r="AK20" i="5"/>
  <c r="DV34" i="5"/>
  <c r="DU34" i="5"/>
  <c r="BA34" i="5"/>
  <c r="I64" i="5"/>
  <c r="I65" i="5"/>
  <c r="S19" i="5"/>
  <c r="BO19" i="5"/>
  <c r="BT8" i="5"/>
  <c r="BT63" i="5" s="1"/>
  <c r="BT64" i="5" s="1"/>
  <c r="CB20" i="5"/>
  <c r="AB20" i="5"/>
  <c r="CH25" i="5"/>
  <c r="AF25" i="5"/>
  <c r="DU36" i="5"/>
  <c r="BA36" i="5"/>
  <c r="DV36" i="5"/>
  <c r="AF24" i="5"/>
  <c r="CH24" i="5"/>
  <c r="CB30" i="5"/>
  <c r="AB30" i="5"/>
  <c r="CL38" i="5"/>
  <c r="CF37" i="5"/>
  <c r="AB41" i="5"/>
  <c r="CB41" i="5"/>
  <c r="DV80" i="5"/>
  <c r="DU80" i="5"/>
  <c r="BA80" i="5"/>
  <c r="AB57" i="5"/>
  <c r="CB57" i="5"/>
  <c r="BV12" i="5"/>
  <c r="X12" i="5"/>
  <c r="BO15" i="5"/>
  <c r="S15" i="5"/>
  <c r="BO17" i="5"/>
  <c r="S17" i="5"/>
  <c r="BO22" i="5"/>
  <c r="S22" i="5"/>
  <c r="BU30" i="5"/>
  <c r="W30" i="5"/>
  <c r="BV31" i="5"/>
  <c r="X31" i="5"/>
  <c r="BV32" i="5"/>
  <c r="X32" i="5"/>
  <c r="BU33" i="5"/>
  <c r="W33" i="5"/>
  <c r="BU35" i="5"/>
  <c r="W35" i="5"/>
  <c r="BG76" i="5"/>
  <c r="BG66" i="5" s="1"/>
  <c r="BG63" i="5"/>
  <c r="BU41" i="5"/>
  <c r="W41" i="5"/>
  <c r="BV42" i="5"/>
  <c r="X42" i="5"/>
  <c r="BY46" i="5"/>
  <c r="CE54" i="5"/>
  <c r="BU55" i="5"/>
  <c r="W55" i="5"/>
  <c r="BV19" i="5"/>
  <c r="X19" i="5"/>
  <c r="BU24" i="5"/>
  <c r="W24" i="5"/>
  <c r="CB28" i="5"/>
  <c r="AB28" i="5"/>
  <c r="BV29" i="5"/>
  <c r="X29" i="5"/>
  <c r="BU31" i="5"/>
  <c r="W31" i="5"/>
  <c r="BV33" i="5"/>
  <c r="X33" i="5"/>
  <c r="BP37" i="5"/>
  <c r="P36" i="5"/>
  <c r="BV55" i="5"/>
  <c r="X55" i="5"/>
  <c r="BY81" i="5"/>
  <c r="BS80" i="5"/>
  <c r="AF91" i="5"/>
  <c r="CH91" i="5"/>
  <c r="BV69" i="5"/>
  <c r="X69" i="5"/>
  <c r="X67" i="5" s="1"/>
  <c r="T70" i="5"/>
  <c r="BV71" i="5"/>
  <c r="X71" i="5"/>
  <c r="BY75" i="5"/>
  <c r="CH93" i="5"/>
  <c r="AF93" i="5"/>
  <c r="CH95" i="5"/>
  <c r="AF95" i="5"/>
  <c r="BZ75" i="5"/>
  <c r="BZ73" i="5" s="1"/>
  <c r="BV84" i="5"/>
  <c r="X84" i="5"/>
  <c r="BV86" i="5"/>
  <c r="X86" i="5"/>
  <c r="CA89" i="5"/>
  <c r="AA89" i="5"/>
  <c r="BU90" i="5"/>
  <c r="W90" i="5"/>
  <c r="Y25" i="5"/>
  <c r="AG25" i="5" s="1"/>
  <c r="AK25" i="5" s="1"/>
  <c r="CJ7" i="5"/>
  <c r="CL7" i="5" s="1"/>
  <c r="CH7" i="5"/>
  <c r="CI7" i="5"/>
  <c r="CK7" i="5" s="1"/>
  <c r="CG7" i="5"/>
  <c r="CE10" i="5"/>
  <c r="BY9" i="5"/>
  <c r="CF27" i="5"/>
  <c r="BZ26" i="5"/>
  <c r="CE27" i="5"/>
  <c r="BY26" i="5"/>
  <c r="AB35" i="5"/>
  <c r="CB35" i="5"/>
  <c r="S37" i="5"/>
  <c r="W38" i="5"/>
  <c r="BI9" i="5"/>
  <c r="BI65" i="5" s="1"/>
  <c r="K8" i="5"/>
  <c r="K76" i="5" s="1"/>
  <c r="S46" i="5"/>
  <c r="BU46" i="5" s="1"/>
  <c r="BU54" i="5"/>
  <c r="W54" i="5"/>
  <c r="AB13" i="5"/>
  <c r="CB13" i="5"/>
  <c r="BV16" i="5"/>
  <c r="X16" i="5"/>
  <c r="BV21" i="5"/>
  <c r="X21" i="5"/>
  <c r="BV27" i="5"/>
  <c r="X27" i="5"/>
  <c r="T26" i="5"/>
  <c r="BV26" i="5" s="1"/>
  <c r="BU29" i="5"/>
  <c r="W29" i="5"/>
  <c r="BU34" i="5"/>
  <c r="W34" i="5"/>
  <c r="BV39" i="5"/>
  <c r="X39" i="5"/>
  <c r="W60" i="5"/>
  <c r="BU60" i="5"/>
  <c r="BU16" i="5"/>
  <c r="W16" i="5"/>
  <c r="BU23" i="5"/>
  <c r="W23" i="5"/>
  <c r="CE68" i="5"/>
  <c r="BY67" i="5"/>
  <c r="CE71" i="5"/>
  <c r="BY70" i="5"/>
  <c r="CF74" i="5"/>
  <c r="BZ81" i="5"/>
  <c r="BT80" i="5"/>
  <c r="BU57" i="5"/>
  <c r="W57" i="5"/>
  <c r="AA69" i="5"/>
  <c r="CA69" i="5"/>
  <c r="AB72" i="5"/>
  <c r="CB72" i="5"/>
  <c r="W81" i="5"/>
  <c r="BU81" i="5"/>
  <c r="S80" i="5"/>
  <c r="BV83" i="5"/>
  <c r="X83" i="5"/>
  <c r="BS73" i="5"/>
  <c r="BY74" i="5"/>
  <c r="BU82" i="5"/>
  <c r="W82" i="5"/>
  <c r="BU85" i="5"/>
  <c r="W85" i="5"/>
  <c r="BK99" i="5"/>
  <c r="BM98" i="5"/>
  <c r="BO67" i="5"/>
  <c r="BU71" i="5"/>
  <c r="W71" i="5"/>
  <c r="S70" i="5"/>
  <c r="BU70" i="5" s="1"/>
  <c r="AP9" i="5"/>
  <c r="Y17" i="5"/>
  <c r="AG19" i="5"/>
  <c r="AG24" i="5"/>
  <c r="F10" i="5"/>
  <c r="BI37" i="5"/>
  <c r="F28" i="5"/>
  <c r="T67" i="5"/>
  <c r="BN66" i="5"/>
  <c r="BP73" i="5"/>
  <c r="AO15" i="5"/>
  <c r="E15" i="5" s="1"/>
  <c r="AG13" i="5"/>
  <c r="BO20" i="5"/>
  <c r="S20" i="5"/>
  <c r="BZ9" i="5"/>
  <c r="CF10" i="5"/>
  <c r="BV11" i="5"/>
  <c r="X11" i="5"/>
  <c r="M8" i="5"/>
  <c r="Q9" i="5"/>
  <c r="U10" i="5"/>
  <c r="BU11" i="5"/>
  <c r="W11" i="5"/>
  <c r="AB43" i="5"/>
  <c r="CB43" i="5"/>
  <c r="AB44" i="5"/>
  <c r="CB44" i="5"/>
  <c r="CF54" i="5"/>
  <c r="BZ46" i="5"/>
  <c r="BZ36" i="5" s="1"/>
  <c r="BO12" i="5"/>
  <c r="S12" i="5"/>
  <c r="BV17" i="5"/>
  <c r="X17" i="5"/>
  <c r="BV22" i="5"/>
  <c r="X22" i="5"/>
  <c r="BS38" i="5"/>
  <c r="BM37" i="5"/>
  <c r="BM36" i="5" s="1"/>
  <c r="BM76" i="5" s="1"/>
  <c r="BM66" i="5" s="1"/>
  <c r="X38" i="5"/>
  <c r="BV38" i="5"/>
  <c r="T37" i="5"/>
  <c r="BU83" i="5"/>
  <c r="W83" i="5"/>
  <c r="BU43" i="5"/>
  <c r="W43" i="5"/>
  <c r="BU44" i="5"/>
  <c r="W44" i="5"/>
  <c r="BV52" i="5"/>
  <c r="X52" i="5"/>
  <c r="BV60" i="5"/>
  <c r="X60" i="5"/>
  <c r="BL99" i="5"/>
  <c r="BN98" i="5"/>
  <c r="BP67" i="5"/>
  <c r="BU72" i="5"/>
  <c r="W72" i="5"/>
  <c r="BU75" i="5"/>
  <c r="W75" i="5"/>
  <c r="BV81" i="5"/>
  <c r="T80" i="5"/>
  <c r="X81" i="5"/>
  <c r="BU84" i="5"/>
  <c r="W84" i="5"/>
  <c r="BV75" i="5"/>
  <c r="X75" i="5"/>
  <c r="BO87" i="5"/>
  <c r="S87" i="5"/>
  <c r="CA91" i="5"/>
  <c r="AA91" i="5"/>
  <c r="CB89" i="5"/>
  <c r="AB89" i="5"/>
  <c r="CH92" i="5"/>
  <c r="AF92" i="5"/>
  <c r="CH94" i="5"/>
  <c r="AF94" i="5"/>
  <c r="CA92" i="5"/>
  <c r="AA92" i="5"/>
  <c r="CA93" i="5"/>
  <c r="AA93" i="5"/>
  <c r="CA94" i="5"/>
  <c r="AA94" i="5"/>
  <c r="CA95" i="5"/>
  <c r="AA95" i="5"/>
  <c r="CA96" i="5"/>
  <c r="AA96" i="5"/>
  <c r="BV111" i="5"/>
  <c r="X111" i="5"/>
  <c r="AG30" i="5"/>
  <c r="AK30" i="5" s="1"/>
  <c r="BS8" i="5"/>
  <c r="AL8" i="5"/>
  <c r="AA32" i="5"/>
  <c r="CA32" i="5"/>
  <c r="BI36" i="5"/>
  <c r="O36" i="5"/>
  <c r="BO10" i="5"/>
  <c r="S10" i="5"/>
  <c r="O9" i="5"/>
  <c r="X10" i="5"/>
  <c r="T9" i="5"/>
  <c r="BV10" i="5"/>
  <c r="BP9" i="5"/>
  <c r="BP65" i="5" s="1"/>
  <c r="P8" i="5"/>
  <c r="BU13" i="5"/>
  <c r="W13" i="5"/>
  <c r="BO14" i="5"/>
  <c r="S14" i="5"/>
  <c r="BO18" i="5"/>
  <c r="S18" i="5"/>
  <c r="BV18" i="5"/>
  <c r="X18" i="5"/>
  <c r="BO21" i="5"/>
  <c r="S21" i="5"/>
  <c r="BV23" i="5"/>
  <c r="X23" i="5"/>
  <c r="AA52" i="5"/>
  <c r="CA52" i="5"/>
  <c r="BU27" i="5"/>
  <c r="W27" i="5"/>
  <c r="BV34" i="5"/>
  <c r="X34" i="5"/>
  <c r="BU39" i="5"/>
  <c r="W39" i="5"/>
  <c r="BU42" i="5"/>
  <c r="W42" i="5"/>
  <c r="CB68" i="5"/>
  <c r="AB68" i="5"/>
  <c r="BV54" i="5"/>
  <c r="X54" i="5"/>
  <c r="T46" i="5"/>
  <c r="BV46" i="5" s="1"/>
  <c r="BT70" i="5"/>
  <c r="BZ71" i="5"/>
  <c r="S73" i="5"/>
  <c r="BU74" i="5"/>
  <c r="W74" i="5"/>
  <c r="BU68" i="5"/>
  <c r="W68" i="5"/>
  <c r="S67" i="5"/>
  <c r="BV74" i="5"/>
  <c r="X74" i="5"/>
  <c r="T73" i="5"/>
  <c r="BV82" i="5"/>
  <c r="X82" i="5"/>
  <c r="BV85" i="5"/>
  <c r="X85" i="5"/>
  <c r="CB87" i="5"/>
  <c r="AB87" i="5"/>
  <c r="CH88" i="5"/>
  <c r="AF88" i="5"/>
  <c r="BU86" i="5"/>
  <c r="W86" i="5"/>
  <c r="CG88" i="5"/>
  <c r="AE88" i="5"/>
  <c r="CH90" i="5"/>
  <c r="AF90" i="5"/>
  <c r="CH96" i="5"/>
  <c r="AF96" i="5"/>
  <c r="BU111" i="5"/>
  <c r="W111" i="5"/>
  <c r="Y28" i="5"/>
  <c r="AG28" i="5" s="1"/>
  <c r="BN63" i="5"/>
  <c r="BO38" i="5"/>
  <c r="BT73" i="5"/>
  <c r="BO80" i="5"/>
  <c r="AK13" i="5"/>
  <c r="Y14" i="5"/>
  <c r="G76" i="9" l="1"/>
  <c r="BH64" i="5"/>
  <c r="BH65" i="5"/>
  <c r="AK74" i="10"/>
  <c r="AK75" i="10" s="1"/>
  <c r="AA76" i="10"/>
  <c r="AA75" i="10"/>
  <c r="D65" i="5"/>
  <c r="BK114" i="10"/>
  <c r="BK87" i="10"/>
  <c r="AA77" i="10"/>
  <c r="AA88" i="10" s="1"/>
  <c r="DS88" i="1"/>
  <c r="AY65" i="5"/>
  <c r="AE76" i="9"/>
  <c r="AE75" i="9"/>
  <c r="BU80" i="5"/>
  <c r="BA18" i="5"/>
  <c r="DU18" i="5"/>
  <c r="AK87" i="10"/>
  <c r="AK77" i="10" s="1"/>
  <c r="BU73" i="5"/>
  <c r="DU21" i="5"/>
  <c r="W28" i="5"/>
  <c r="DV21" i="5"/>
  <c r="AK87" i="9"/>
  <c r="AK77" i="9" s="1"/>
  <c r="W25" i="5"/>
  <c r="AH76" i="8"/>
  <c r="DP76" i="1"/>
  <c r="BU28" i="5"/>
  <c r="BA32" i="5"/>
  <c r="DV18" i="5"/>
  <c r="AO20" i="5"/>
  <c r="E20" i="5" s="1"/>
  <c r="DV20" i="5" s="1"/>
  <c r="AF87" i="8"/>
  <c r="G77" i="8"/>
  <c r="S26" i="5"/>
  <c r="BU26" i="5" s="1"/>
  <c r="BV80" i="5"/>
  <c r="DV32" i="5"/>
  <c r="AB87" i="11"/>
  <c r="CH87" i="11" s="1"/>
  <c r="G76" i="8"/>
  <c r="DO76" i="1"/>
  <c r="CD111" i="1"/>
  <c r="L64" i="5"/>
  <c r="L65" i="5"/>
  <c r="AO12" i="5"/>
  <c r="E12" i="5" s="1"/>
  <c r="X116" i="8"/>
  <c r="D116" i="8" s="1"/>
  <c r="BA116" i="8"/>
  <c r="DT76" i="5"/>
  <c r="AZ66" i="5"/>
  <c r="AE76" i="10"/>
  <c r="AE75" i="10"/>
  <c r="AB91" i="11"/>
  <c r="CH91" i="11" s="1"/>
  <c r="CH94" i="11"/>
  <c r="AF94" i="11"/>
  <c r="E22" i="5"/>
  <c r="BM63" i="5"/>
  <c r="BM64" i="5" s="1"/>
  <c r="BO37" i="5"/>
  <c r="L114" i="10"/>
  <c r="M114" i="10" s="1"/>
  <c r="N114" i="10" s="1"/>
  <c r="AZ64" i="5"/>
  <c r="AZ65" i="5"/>
  <c r="G64" i="5"/>
  <c r="G65" i="5"/>
  <c r="BJ36" i="5"/>
  <c r="L76" i="5"/>
  <c r="AO13" i="5"/>
  <c r="E13" i="5" s="1"/>
  <c r="BT76" i="5"/>
  <c r="BT66" i="5" s="1"/>
  <c r="AK74" i="9"/>
  <c r="AK75" i="9" s="1"/>
  <c r="X115" i="8"/>
  <c r="D115" i="8" s="1"/>
  <c r="BA115" i="8"/>
  <c r="DR64" i="5"/>
  <c r="DR65" i="5"/>
  <c r="H64" i="5"/>
  <c r="H65" i="5"/>
  <c r="AD112" i="1"/>
  <c r="CD112" i="1"/>
  <c r="AC112" i="1"/>
  <c r="CC112" i="1"/>
  <c r="AA87" i="11"/>
  <c r="CG87" i="11" s="1"/>
  <c r="CO109" i="1"/>
  <c r="AK109" i="1"/>
  <c r="CJ109" i="1"/>
  <c r="AH109" i="1"/>
  <c r="CU111" i="1"/>
  <c r="AO111" i="1"/>
  <c r="BA77" i="1"/>
  <c r="CO110" i="1"/>
  <c r="AK110" i="1"/>
  <c r="CK117" i="8"/>
  <c r="CJ111" i="1"/>
  <c r="AH111" i="1"/>
  <c r="CJ110" i="1"/>
  <c r="AH110" i="1"/>
  <c r="G77" i="10"/>
  <c r="AF87" i="10"/>
  <c r="AA91" i="11"/>
  <c r="CG91" i="11" s="1"/>
  <c r="CG94" i="11"/>
  <c r="AE94" i="11"/>
  <c r="CL94" i="11"/>
  <c r="CF91" i="11"/>
  <c r="CK94" i="11"/>
  <c r="CE91" i="11"/>
  <c r="BL87" i="9"/>
  <c r="D77" i="9"/>
  <c r="AB87" i="9"/>
  <c r="G77" i="9"/>
  <c r="AF87" i="9"/>
  <c r="BL37" i="8"/>
  <c r="AB37" i="8"/>
  <c r="D87" i="8"/>
  <c r="BL87" i="8" s="1"/>
  <c r="D75" i="8"/>
  <c r="D76" i="8"/>
  <c r="BR114" i="11"/>
  <c r="BQ114" i="11"/>
  <c r="BP114" i="1"/>
  <c r="BL118" i="11"/>
  <c r="BN118" i="11" s="1"/>
  <c r="BN114" i="11"/>
  <c r="D75" i="10"/>
  <c r="D76" i="10"/>
  <c r="BL37" i="10"/>
  <c r="D87" i="10"/>
  <c r="AB37" i="10"/>
  <c r="AK76" i="10"/>
  <c r="BO114" i="1"/>
  <c r="BT12" i="11"/>
  <c r="BN76" i="11"/>
  <c r="BN75" i="11"/>
  <c r="BM114" i="11"/>
  <c r="BK118" i="11"/>
  <c r="BM118" i="11" s="1"/>
  <c r="N114" i="11"/>
  <c r="M114" i="11"/>
  <c r="I114" i="8"/>
  <c r="O114" i="1"/>
  <c r="P114" i="1"/>
  <c r="BS12" i="11"/>
  <c r="BM75" i="11"/>
  <c r="BM76" i="11"/>
  <c r="CA87" i="11"/>
  <c r="W77" i="11"/>
  <c r="CT11" i="11"/>
  <c r="AN11" i="11"/>
  <c r="AJ10" i="11"/>
  <c r="AM15" i="11"/>
  <c r="CS15" i="11"/>
  <c r="AM16" i="11"/>
  <c r="CS16" i="11"/>
  <c r="CS29" i="11"/>
  <c r="AM29" i="11"/>
  <c r="CT30" i="11"/>
  <c r="AN30" i="11"/>
  <c r="CT31" i="11"/>
  <c r="AN31" i="11"/>
  <c r="CT32" i="11"/>
  <c r="AN32" i="11"/>
  <c r="CT33" i="11"/>
  <c r="AN33" i="11"/>
  <c r="CT34" i="11"/>
  <c r="AN34" i="11"/>
  <c r="CT35" i="11"/>
  <c r="AN35" i="11"/>
  <c r="CT36" i="11"/>
  <c r="AN36" i="11"/>
  <c r="CS79" i="11"/>
  <c r="AM79" i="11"/>
  <c r="AI78" i="11"/>
  <c r="CK9" i="11"/>
  <c r="CK74" i="11" s="1"/>
  <c r="CR86" i="11"/>
  <c r="CR84" i="11" s="1"/>
  <c r="CS101" i="11"/>
  <c r="AM101" i="11"/>
  <c r="CY103" i="11"/>
  <c r="AQ103" i="11"/>
  <c r="CY104" i="11"/>
  <c r="AQ104" i="11"/>
  <c r="CY105" i="11"/>
  <c r="AQ105" i="11"/>
  <c r="CY106" i="11"/>
  <c r="AQ106" i="11"/>
  <c r="CY107" i="11"/>
  <c r="AQ107" i="11"/>
  <c r="CY108" i="11"/>
  <c r="AQ108" i="11"/>
  <c r="W75" i="11"/>
  <c r="W76" i="11"/>
  <c r="CT85" i="11"/>
  <c r="AN85" i="11"/>
  <c r="CN38" i="11"/>
  <c r="AF37" i="11"/>
  <c r="CN37" i="11" s="1"/>
  <c r="CS55" i="11"/>
  <c r="AM55" i="11"/>
  <c r="AI47" i="11"/>
  <c r="CS47" i="11" s="1"/>
  <c r="CT29" i="11"/>
  <c r="AN29" i="11"/>
  <c r="CS40" i="11"/>
  <c r="AM40" i="11"/>
  <c r="CS42" i="11"/>
  <c r="AM42" i="11"/>
  <c r="CS43" i="11"/>
  <c r="AM43" i="11"/>
  <c r="CS44" i="11"/>
  <c r="AM44" i="11"/>
  <c r="CS45" i="11"/>
  <c r="AM45" i="11"/>
  <c r="CS53" i="11"/>
  <c r="AM53" i="11"/>
  <c r="CX92" i="11"/>
  <c r="CW79" i="11"/>
  <c r="CQ78" i="11"/>
  <c r="CS56" i="11"/>
  <c r="AM56" i="11"/>
  <c r="CS58" i="11"/>
  <c r="AM58" i="11"/>
  <c r="CS61" i="11"/>
  <c r="AM61" i="11"/>
  <c r="CW39" i="11"/>
  <c r="CQ38" i="11"/>
  <c r="CQ37" i="11" s="1"/>
  <c r="DC55" i="11"/>
  <c r="CW47" i="11"/>
  <c r="CX11" i="11"/>
  <c r="CR10" i="11"/>
  <c r="CX79" i="11"/>
  <c r="CR78" i="11"/>
  <c r="CX82" i="11"/>
  <c r="CR81" i="11"/>
  <c r="CT79" i="11"/>
  <c r="AN79" i="11"/>
  <c r="AJ78" i="11"/>
  <c r="CS93" i="11"/>
  <c r="AM93" i="11"/>
  <c r="CZ103" i="11"/>
  <c r="AR103" i="11"/>
  <c r="CZ104" i="11"/>
  <c r="AR104" i="11"/>
  <c r="CZ105" i="11"/>
  <c r="AR105" i="11"/>
  <c r="CZ106" i="11"/>
  <c r="AR106" i="11"/>
  <c r="CZ107" i="11"/>
  <c r="AR107" i="11"/>
  <c r="CS95" i="11"/>
  <c r="AM95" i="11"/>
  <c r="CS96" i="11"/>
  <c r="AM96" i="11"/>
  <c r="CS97" i="11"/>
  <c r="AM97" i="11"/>
  <c r="CS98" i="11"/>
  <c r="AM98" i="11"/>
  <c r="CS99" i="11"/>
  <c r="AM99" i="11"/>
  <c r="CS100" i="11"/>
  <c r="AM100" i="11"/>
  <c r="CY102" i="11"/>
  <c r="AQ102" i="11"/>
  <c r="CT95" i="11"/>
  <c r="AN95" i="11"/>
  <c r="CT96" i="11"/>
  <c r="AN96" i="11"/>
  <c r="CT97" i="11"/>
  <c r="AN97" i="11"/>
  <c r="CT98" i="11"/>
  <c r="AN98" i="11"/>
  <c r="CT99" i="11"/>
  <c r="AN99" i="11"/>
  <c r="CT100" i="11"/>
  <c r="AN100" i="11"/>
  <c r="CZ102" i="11"/>
  <c r="AR102" i="11"/>
  <c r="CT56" i="11"/>
  <c r="AN56" i="11"/>
  <c r="CT58" i="11"/>
  <c r="AN58" i="11"/>
  <c r="CT61" i="11"/>
  <c r="AN61" i="11"/>
  <c r="CT80" i="11"/>
  <c r="AN80" i="11"/>
  <c r="CT83" i="11"/>
  <c r="AN83" i="11"/>
  <c r="CS80" i="11"/>
  <c r="AM80" i="11"/>
  <c r="CS39" i="11"/>
  <c r="AM39" i="11"/>
  <c r="AI38" i="11"/>
  <c r="CT40" i="11"/>
  <c r="AN40" i="11"/>
  <c r="CT42" i="11"/>
  <c r="AN42" i="11"/>
  <c r="CT43" i="11"/>
  <c r="AN43" i="11"/>
  <c r="CT44" i="11"/>
  <c r="AN44" i="11"/>
  <c r="CT45" i="11"/>
  <c r="AN45" i="11"/>
  <c r="CT53" i="11"/>
  <c r="AN53" i="11"/>
  <c r="CS30" i="11"/>
  <c r="AM30" i="11"/>
  <c r="CS31" i="11"/>
  <c r="AM31" i="11"/>
  <c r="CS32" i="11"/>
  <c r="AM32" i="11"/>
  <c r="CS33" i="11"/>
  <c r="AM33" i="11"/>
  <c r="CS34" i="11"/>
  <c r="AM34" i="11"/>
  <c r="CS35" i="11"/>
  <c r="AM35" i="11"/>
  <c r="CS36" i="11"/>
  <c r="AM36" i="11"/>
  <c r="CM10" i="11"/>
  <c r="AE9" i="11"/>
  <c r="DH8" i="11"/>
  <c r="DJ8" i="11" s="1"/>
  <c r="DF8" i="11"/>
  <c r="CX28" i="11"/>
  <c r="CR27" i="11"/>
  <c r="DG8" i="11"/>
  <c r="DI8" i="11" s="1"/>
  <c r="DE8" i="11"/>
  <c r="CW28" i="11"/>
  <c r="CQ27" i="11"/>
  <c r="X77" i="11"/>
  <c r="AB77" i="11"/>
  <c r="CL84" i="11"/>
  <c r="CE87" i="11"/>
  <c r="CE77" i="11" s="1"/>
  <c r="CN10" i="11"/>
  <c r="AF9" i="11"/>
  <c r="CS85" i="11"/>
  <c r="AM85" i="11"/>
  <c r="CM86" i="11"/>
  <c r="AI86" i="11"/>
  <c r="CS82" i="11"/>
  <c r="AM82" i="11"/>
  <c r="AI81" i="11"/>
  <c r="CS81" i="11" s="1"/>
  <c r="CN86" i="11"/>
  <c r="AJ86" i="11"/>
  <c r="CT55" i="11"/>
  <c r="AN55" i="11"/>
  <c r="AJ47" i="11"/>
  <c r="CT47" i="11" s="1"/>
  <c r="CM78" i="11"/>
  <c r="CW11" i="11"/>
  <c r="CQ10" i="11"/>
  <c r="CT82" i="11"/>
  <c r="AN82" i="11"/>
  <c r="AJ81" i="11"/>
  <c r="CT81" i="11" s="1"/>
  <c r="X75" i="11"/>
  <c r="X76" i="11"/>
  <c r="CT39" i="11"/>
  <c r="AN39" i="11"/>
  <c r="AJ38" i="11"/>
  <c r="CW92" i="11"/>
  <c r="CT28" i="11"/>
  <c r="AN28" i="11"/>
  <c r="AJ27" i="11"/>
  <c r="CT27" i="11" s="1"/>
  <c r="AA74" i="11"/>
  <c r="CG9" i="11"/>
  <c r="CT92" i="11"/>
  <c r="AN92" i="11"/>
  <c r="AB74" i="11"/>
  <c r="CH9" i="11"/>
  <c r="CS92" i="11"/>
  <c r="AM92" i="11"/>
  <c r="CL9" i="11"/>
  <c r="CL74" i="11" s="1"/>
  <c r="CN78" i="11"/>
  <c r="CX39" i="11"/>
  <c r="CR38" i="11"/>
  <c r="CR37" i="11" s="1"/>
  <c r="DD55" i="11"/>
  <c r="CX47" i="11"/>
  <c r="CS28" i="11"/>
  <c r="AM28" i="11"/>
  <c r="AI27" i="11"/>
  <c r="CS27" i="11" s="1"/>
  <c r="CT93" i="11"/>
  <c r="AN93" i="11"/>
  <c r="CN101" i="11"/>
  <c r="AJ101" i="11"/>
  <c r="CT12" i="11"/>
  <c r="AN12" i="11"/>
  <c r="CT13" i="11"/>
  <c r="AN13" i="11"/>
  <c r="CT14" i="11"/>
  <c r="AN14" i="11"/>
  <c r="CT17" i="11"/>
  <c r="AN17" i="11"/>
  <c r="CT18" i="11"/>
  <c r="AN18" i="11"/>
  <c r="CT19" i="11"/>
  <c r="AN19" i="11"/>
  <c r="CT20" i="11"/>
  <c r="AN20" i="11"/>
  <c r="CT21" i="11"/>
  <c r="AN21" i="11"/>
  <c r="CT22" i="11"/>
  <c r="AN22" i="11"/>
  <c r="CT23" i="11"/>
  <c r="AN23" i="11"/>
  <c r="CT24" i="11"/>
  <c r="AN24" i="11"/>
  <c r="CT25" i="11"/>
  <c r="AN25" i="11"/>
  <c r="CT26" i="11"/>
  <c r="AN26" i="11"/>
  <c r="CS12" i="11"/>
  <c r="AM12" i="11"/>
  <c r="CS13" i="11"/>
  <c r="AM13" i="11"/>
  <c r="CS14" i="11"/>
  <c r="AM14" i="11"/>
  <c r="CS17" i="11"/>
  <c r="AM17" i="11"/>
  <c r="CS18" i="11"/>
  <c r="AM18" i="11"/>
  <c r="CS19" i="11"/>
  <c r="AM19" i="11"/>
  <c r="CS20" i="11"/>
  <c r="AM20" i="11"/>
  <c r="CS21" i="11"/>
  <c r="AM21" i="11"/>
  <c r="CS22" i="11"/>
  <c r="AM22" i="11"/>
  <c r="CS23" i="11"/>
  <c r="AM23" i="11"/>
  <c r="CS24" i="11"/>
  <c r="AM24" i="11"/>
  <c r="CS25" i="11"/>
  <c r="AM25" i="11"/>
  <c r="CS26" i="11"/>
  <c r="AM26" i="11"/>
  <c r="CM38" i="11"/>
  <c r="AE37" i="11"/>
  <c r="CM37" i="11" s="1"/>
  <c r="CW85" i="11"/>
  <c r="CX85" i="11"/>
  <c r="CW82" i="11"/>
  <c r="CQ81" i="11"/>
  <c r="CS11" i="11"/>
  <c r="AM11" i="11"/>
  <c r="AI10" i="11"/>
  <c r="CS83" i="11"/>
  <c r="AM83" i="11"/>
  <c r="CQ86" i="11"/>
  <c r="CZ109" i="11"/>
  <c r="AR109" i="11"/>
  <c r="CZ110" i="11"/>
  <c r="AR110" i="11"/>
  <c r="CZ111" i="11"/>
  <c r="AR111" i="11"/>
  <c r="CZ112" i="11"/>
  <c r="AR112" i="11"/>
  <c r="CY109" i="11"/>
  <c r="AQ109" i="11"/>
  <c r="CY110" i="11"/>
  <c r="AQ110" i="11"/>
  <c r="CY111" i="11"/>
  <c r="AQ111" i="11"/>
  <c r="CY112" i="11"/>
  <c r="AQ112" i="11"/>
  <c r="CT108" i="11"/>
  <c r="AN108" i="11"/>
  <c r="CF87" i="11"/>
  <c r="CF77" i="11" s="1"/>
  <c r="AF84" i="11"/>
  <c r="CN84" i="11" s="1"/>
  <c r="BS114" i="1"/>
  <c r="BT114" i="1"/>
  <c r="AO82" i="10"/>
  <c r="O82" i="10"/>
  <c r="M81" i="10"/>
  <c r="AO81" i="10" s="1"/>
  <c r="AO45" i="10"/>
  <c r="O45" i="10"/>
  <c r="AO44" i="10"/>
  <c r="O44" i="10"/>
  <c r="AO43" i="10"/>
  <c r="O43" i="10"/>
  <c r="AO42" i="10"/>
  <c r="O42" i="10"/>
  <c r="AM114" i="10"/>
  <c r="AN114" i="10" s="1"/>
  <c r="AO36" i="10"/>
  <c r="O36" i="10"/>
  <c r="AO34" i="10"/>
  <c r="O34" i="10"/>
  <c r="AO32" i="10"/>
  <c r="O32" i="10"/>
  <c r="AO30" i="10"/>
  <c r="O30" i="10"/>
  <c r="AN9" i="10"/>
  <c r="AO128" i="10"/>
  <c r="AR111" i="10"/>
  <c r="Q111" i="10"/>
  <c r="AR109" i="10"/>
  <c r="Q109" i="10"/>
  <c r="AR107" i="10"/>
  <c r="Q107" i="10"/>
  <c r="AR106" i="10"/>
  <c r="Q106" i="10"/>
  <c r="AO100" i="10"/>
  <c r="O100" i="10"/>
  <c r="AO99" i="10"/>
  <c r="O99" i="10"/>
  <c r="AO98" i="10"/>
  <c r="O98" i="10"/>
  <c r="AO97" i="10"/>
  <c r="O97" i="10"/>
  <c r="AO93" i="10"/>
  <c r="O93" i="10"/>
  <c r="AO79" i="10"/>
  <c r="O79" i="10"/>
  <c r="M78" i="10"/>
  <c r="AI37" i="10"/>
  <c r="I87" i="10"/>
  <c r="AO55" i="10"/>
  <c r="O55" i="10"/>
  <c r="M47" i="10"/>
  <c r="AO47" i="10" s="1"/>
  <c r="AO25" i="10"/>
  <c r="O25" i="10"/>
  <c r="AO23" i="10"/>
  <c r="O23" i="10"/>
  <c r="AO21" i="10"/>
  <c r="O21" i="10"/>
  <c r="AO19" i="10"/>
  <c r="O19" i="10"/>
  <c r="AO17" i="10"/>
  <c r="O17" i="10"/>
  <c r="AO15" i="10"/>
  <c r="O15" i="10"/>
  <c r="AO13" i="10"/>
  <c r="O13" i="10"/>
  <c r="AL10" i="10"/>
  <c r="K9" i="10"/>
  <c r="AT85" i="10"/>
  <c r="AT82" i="10"/>
  <c r="AQ81" i="10"/>
  <c r="AT79" i="10"/>
  <c r="AQ78" i="10"/>
  <c r="AT55" i="10"/>
  <c r="AQ47" i="10"/>
  <c r="AT39" i="10"/>
  <c r="AQ38" i="10"/>
  <c r="AO86" i="10"/>
  <c r="O86" i="10"/>
  <c r="AO85" i="10"/>
  <c r="O85" i="10"/>
  <c r="M84" i="10"/>
  <c r="AO84" i="10" s="1"/>
  <c r="AO61" i="10"/>
  <c r="O61" i="10"/>
  <c r="AO58" i="10"/>
  <c r="O58" i="10"/>
  <c r="AO53" i="10"/>
  <c r="O53" i="10"/>
  <c r="AO40" i="10"/>
  <c r="O40" i="10"/>
  <c r="AL38" i="10"/>
  <c r="K37" i="10"/>
  <c r="AO35" i="10"/>
  <c r="O35" i="10"/>
  <c r="AO33" i="10"/>
  <c r="O33" i="10"/>
  <c r="AO31" i="10"/>
  <c r="O31" i="10"/>
  <c r="AO29" i="10"/>
  <c r="O29" i="10"/>
  <c r="AO26" i="10"/>
  <c r="O26" i="10"/>
  <c r="AO24" i="10"/>
  <c r="O24" i="10"/>
  <c r="AO22" i="10"/>
  <c r="O22" i="10"/>
  <c r="AO20" i="10"/>
  <c r="O20" i="10"/>
  <c r="AO18" i="10"/>
  <c r="O18" i="10"/>
  <c r="AO16" i="10"/>
  <c r="O16" i="10"/>
  <c r="AO14" i="10"/>
  <c r="O14" i="10"/>
  <c r="AO12" i="10"/>
  <c r="O12" i="10"/>
  <c r="AR112" i="10"/>
  <c r="Q112" i="10"/>
  <c r="AR110" i="10"/>
  <c r="Q110" i="10"/>
  <c r="AR108" i="10"/>
  <c r="Q108" i="10"/>
  <c r="AR105" i="10"/>
  <c r="Q105" i="10"/>
  <c r="AR104" i="10"/>
  <c r="Q104" i="10"/>
  <c r="AR103" i="10"/>
  <c r="Q103" i="10"/>
  <c r="AR102" i="10"/>
  <c r="Q102" i="10"/>
  <c r="AR101" i="10"/>
  <c r="Q101" i="10"/>
  <c r="AO96" i="10"/>
  <c r="O96" i="10"/>
  <c r="AO95" i="10"/>
  <c r="O95" i="10"/>
  <c r="AQ86" i="10"/>
  <c r="AO83" i="10"/>
  <c r="O83" i="10"/>
  <c r="AO94" i="10"/>
  <c r="O94" i="10"/>
  <c r="AO28" i="10"/>
  <c r="O28" i="10"/>
  <c r="M27" i="10"/>
  <c r="AO27" i="10" s="1"/>
  <c r="I74" i="10"/>
  <c r="AI9" i="10"/>
  <c r="AT11" i="10"/>
  <c r="AQ10" i="10"/>
  <c r="AV8" i="10"/>
  <c r="AW8" i="10" s="1"/>
  <c r="AU8" i="10"/>
  <c r="AT28" i="10"/>
  <c r="AQ27" i="10"/>
  <c r="AO92" i="10"/>
  <c r="O92" i="10"/>
  <c r="M91" i="10"/>
  <c r="AO91" i="10" s="1"/>
  <c r="AO80" i="10"/>
  <c r="O80" i="10"/>
  <c r="AL78" i="10"/>
  <c r="AH75" i="10"/>
  <c r="AH76" i="10"/>
  <c r="AO56" i="10"/>
  <c r="O56" i="10"/>
  <c r="AO11" i="10"/>
  <c r="O11" i="10"/>
  <c r="M10" i="10"/>
  <c r="AO39" i="10"/>
  <c r="O39" i="10"/>
  <c r="M38" i="10"/>
  <c r="AT92" i="10"/>
  <c r="AQ91" i="10"/>
  <c r="AN84" i="10"/>
  <c r="AN37" i="10"/>
  <c r="AO131" i="9"/>
  <c r="AR111" i="9"/>
  <c r="Q111" i="9"/>
  <c r="AR109" i="9"/>
  <c r="Q109" i="9"/>
  <c r="AR107" i="9"/>
  <c r="Q107" i="9"/>
  <c r="AR106" i="9"/>
  <c r="Q106" i="9"/>
  <c r="AO100" i="9"/>
  <c r="O100" i="9"/>
  <c r="AO99" i="9"/>
  <c r="O99" i="9"/>
  <c r="AO98" i="9"/>
  <c r="O98" i="9"/>
  <c r="AO97" i="9"/>
  <c r="O97" i="9"/>
  <c r="AO93" i="9"/>
  <c r="O93" i="9"/>
  <c r="AO79" i="9"/>
  <c r="O79" i="9"/>
  <c r="M78" i="9"/>
  <c r="AI37" i="9"/>
  <c r="I87" i="9"/>
  <c r="AR112" i="9"/>
  <c r="Q112" i="9"/>
  <c r="AR110" i="9"/>
  <c r="Q110" i="9"/>
  <c r="AR108" i="9"/>
  <c r="Q108" i="9"/>
  <c r="AR105" i="9"/>
  <c r="Q105" i="9"/>
  <c r="AR104" i="9"/>
  <c r="Q104" i="9"/>
  <c r="AR103" i="9"/>
  <c r="Q103" i="9"/>
  <c r="AR102" i="9"/>
  <c r="Q102" i="9"/>
  <c r="AR101" i="9"/>
  <c r="Q101" i="9"/>
  <c r="AO96" i="9"/>
  <c r="O96" i="9"/>
  <c r="AO95" i="9"/>
  <c r="O95" i="9"/>
  <c r="AQ86" i="9"/>
  <c r="AQ84" i="9" s="1"/>
  <c r="AO83" i="9"/>
  <c r="O83" i="9"/>
  <c r="AO94" i="9"/>
  <c r="O94" i="9"/>
  <c r="AR16" i="9"/>
  <c r="Q16" i="9"/>
  <c r="AR15" i="9"/>
  <c r="Q15" i="9"/>
  <c r="AO28" i="9"/>
  <c r="O28" i="9"/>
  <c r="M27" i="9"/>
  <c r="AO27" i="9" s="1"/>
  <c r="I74" i="9"/>
  <c r="AI9" i="9"/>
  <c r="AT11" i="9"/>
  <c r="AQ10" i="9"/>
  <c r="AV8" i="9"/>
  <c r="AW8" i="9" s="1"/>
  <c r="AU8" i="9"/>
  <c r="AO86" i="9"/>
  <c r="O86" i="9"/>
  <c r="AO85" i="9"/>
  <c r="O85" i="9"/>
  <c r="M84" i="9"/>
  <c r="AO84" i="9" s="1"/>
  <c r="AO61" i="9"/>
  <c r="O61" i="9"/>
  <c r="AO58" i="9"/>
  <c r="O58" i="9"/>
  <c r="AO53" i="9"/>
  <c r="O53" i="9"/>
  <c r="AO40" i="9"/>
  <c r="O40" i="9"/>
  <c r="AL38" i="9"/>
  <c r="K37" i="9"/>
  <c r="AO35" i="9"/>
  <c r="O35" i="9"/>
  <c r="AO33" i="9"/>
  <c r="O33" i="9"/>
  <c r="AO31" i="9"/>
  <c r="O31" i="9"/>
  <c r="AO29" i="9"/>
  <c r="O29" i="9"/>
  <c r="AO26" i="9"/>
  <c r="O26" i="9"/>
  <c r="AO24" i="9"/>
  <c r="O24" i="9"/>
  <c r="AO22" i="9"/>
  <c r="O22" i="9"/>
  <c r="AO20" i="9"/>
  <c r="O20" i="9"/>
  <c r="AO18" i="9"/>
  <c r="O18" i="9"/>
  <c r="AO14" i="9"/>
  <c r="O14" i="9"/>
  <c r="AO12" i="9"/>
  <c r="O12" i="9"/>
  <c r="AO56" i="9"/>
  <c r="O56" i="9"/>
  <c r="AO11" i="9"/>
  <c r="O11" i="9"/>
  <c r="M10" i="9"/>
  <c r="AN84" i="9"/>
  <c r="AN37" i="9"/>
  <c r="AO92" i="9"/>
  <c r="O92" i="9"/>
  <c r="M91" i="9"/>
  <c r="AO91" i="9" s="1"/>
  <c r="AO80" i="9"/>
  <c r="O80" i="9"/>
  <c r="AL78" i="9"/>
  <c r="AT28" i="9"/>
  <c r="AQ27" i="9"/>
  <c r="AO82" i="9"/>
  <c r="O82" i="9"/>
  <c r="M81" i="9"/>
  <c r="AO81" i="9" s="1"/>
  <c r="AO45" i="9"/>
  <c r="O45" i="9"/>
  <c r="AO44" i="9"/>
  <c r="O44" i="9"/>
  <c r="AO43" i="9"/>
  <c r="O43" i="9"/>
  <c r="AO42" i="9"/>
  <c r="O42" i="9"/>
  <c r="AJ118" i="9"/>
  <c r="AK118" i="9" s="1"/>
  <c r="AM114" i="9"/>
  <c r="AN114" i="9" s="1"/>
  <c r="N114" i="9"/>
  <c r="AO36" i="9"/>
  <c r="O36" i="9"/>
  <c r="AO34" i="9"/>
  <c r="O34" i="9"/>
  <c r="AO32" i="9"/>
  <c r="O32" i="9"/>
  <c r="AO30" i="9"/>
  <c r="O30" i="9"/>
  <c r="AN9" i="9"/>
  <c r="AH75" i="9"/>
  <c r="AH76" i="9"/>
  <c r="AO39" i="9"/>
  <c r="O39" i="9"/>
  <c r="M38" i="9"/>
  <c r="AT92" i="9"/>
  <c r="AQ91" i="9"/>
  <c r="AO55" i="9"/>
  <c r="O55" i="9"/>
  <c r="M47" i="9"/>
  <c r="AO47" i="9" s="1"/>
  <c r="AO25" i="9"/>
  <c r="O25" i="9"/>
  <c r="AO23" i="9"/>
  <c r="O23" i="9"/>
  <c r="AO21" i="9"/>
  <c r="O21" i="9"/>
  <c r="AO19" i="9"/>
  <c r="O19" i="9"/>
  <c r="AO17" i="9"/>
  <c r="O17" i="9"/>
  <c r="AO13" i="9"/>
  <c r="O13" i="9"/>
  <c r="AL10" i="9"/>
  <c r="K9" i="9"/>
  <c r="AT85" i="9"/>
  <c r="AT82" i="9"/>
  <c r="AQ81" i="9"/>
  <c r="AT79" i="9"/>
  <c r="AQ78" i="9"/>
  <c r="AT55" i="9"/>
  <c r="AQ47" i="9"/>
  <c r="AT39" i="9"/>
  <c r="AQ38" i="9"/>
  <c r="AK76" i="9"/>
  <c r="AR112" i="8"/>
  <c r="Q112" i="8"/>
  <c r="AR110" i="8"/>
  <c r="Q110" i="8"/>
  <c r="AR108" i="8"/>
  <c r="Q108" i="8"/>
  <c r="AR105" i="8"/>
  <c r="Q105" i="8"/>
  <c r="AR104" i="8"/>
  <c r="Q104" i="8"/>
  <c r="AR103" i="8"/>
  <c r="Q103" i="8"/>
  <c r="AR102" i="8"/>
  <c r="Q102" i="8"/>
  <c r="AR101" i="8"/>
  <c r="Q101" i="8"/>
  <c r="AO96" i="8"/>
  <c r="O96" i="8"/>
  <c r="AO95" i="8"/>
  <c r="O95" i="8"/>
  <c r="AQ86" i="8"/>
  <c r="AQ84" i="8" s="1"/>
  <c r="AO83" i="8"/>
  <c r="O83" i="8"/>
  <c r="AO26" i="8"/>
  <c r="O26" i="8"/>
  <c r="AO25" i="8"/>
  <c r="O25" i="8"/>
  <c r="AO39" i="8"/>
  <c r="O39" i="8"/>
  <c r="M38" i="8"/>
  <c r="AO11" i="8"/>
  <c r="O11" i="8"/>
  <c r="M10" i="8"/>
  <c r="Q16" i="8"/>
  <c r="AR16" i="8"/>
  <c r="Q15" i="8"/>
  <c r="AR15" i="8"/>
  <c r="AO55" i="8"/>
  <c r="O55" i="8"/>
  <c r="M47" i="8"/>
  <c r="AO47" i="8" s="1"/>
  <c r="AT11" i="8"/>
  <c r="AQ10" i="8"/>
  <c r="AO92" i="8"/>
  <c r="O92" i="8"/>
  <c r="M91" i="8"/>
  <c r="AO91" i="8" s="1"/>
  <c r="AO80" i="8"/>
  <c r="O80" i="8"/>
  <c r="AL78" i="8"/>
  <c r="AO36" i="8"/>
  <c r="O36" i="8"/>
  <c r="AO35" i="8"/>
  <c r="O35" i="8"/>
  <c r="AO34" i="8"/>
  <c r="O34" i="8"/>
  <c r="AO33" i="8"/>
  <c r="O33" i="8"/>
  <c r="AO32" i="8"/>
  <c r="O32" i="8"/>
  <c r="AO31" i="8"/>
  <c r="O31" i="8"/>
  <c r="AO30" i="8"/>
  <c r="O30" i="8"/>
  <c r="AO29" i="8"/>
  <c r="O29" i="8"/>
  <c r="AO82" i="8"/>
  <c r="O82" i="8"/>
  <c r="M81" i="8"/>
  <c r="AO81" i="8" s="1"/>
  <c r="AO45" i="8"/>
  <c r="O45" i="8"/>
  <c r="AO44" i="8"/>
  <c r="O44" i="8"/>
  <c r="AO43" i="8"/>
  <c r="O43" i="8"/>
  <c r="AO42" i="8"/>
  <c r="O42" i="8"/>
  <c r="AO94" i="8"/>
  <c r="O94" i="8"/>
  <c r="AJ118" i="8"/>
  <c r="AK118" i="8" s="1"/>
  <c r="AM114" i="8"/>
  <c r="AN114" i="8" s="1"/>
  <c r="AO86" i="8"/>
  <c r="O86" i="8"/>
  <c r="AO85" i="8"/>
  <c r="O85" i="8"/>
  <c r="M84" i="8"/>
  <c r="AO84" i="8" s="1"/>
  <c r="AO61" i="8"/>
  <c r="O61" i="8"/>
  <c r="AO58" i="8"/>
  <c r="O58" i="8"/>
  <c r="AO53" i="8"/>
  <c r="O53" i="8"/>
  <c r="AO40" i="8"/>
  <c r="O40" i="8"/>
  <c r="AL38" i="8"/>
  <c r="K37" i="8"/>
  <c r="AT92" i="8"/>
  <c r="AQ91" i="8"/>
  <c r="AO24" i="8"/>
  <c r="O24" i="8"/>
  <c r="AO23" i="8"/>
  <c r="O23" i="8"/>
  <c r="AO22" i="8"/>
  <c r="O22" i="8"/>
  <c r="AO21" i="8"/>
  <c r="O21" i="8"/>
  <c r="AO20" i="8"/>
  <c r="O20" i="8"/>
  <c r="AO19" i="8"/>
  <c r="O19" i="8"/>
  <c r="AO18" i="8"/>
  <c r="O18" i="8"/>
  <c r="AO17" i="8"/>
  <c r="O17" i="8"/>
  <c r="AO14" i="8"/>
  <c r="O14" i="8"/>
  <c r="AO13" i="8"/>
  <c r="O13" i="8"/>
  <c r="AO12" i="8"/>
  <c r="O12" i="8"/>
  <c r="AL10" i="8"/>
  <c r="K9" i="8"/>
  <c r="AT85" i="8"/>
  <c r="AT82" i="8"/>
  <c r="AQ81" i="8"/>
  <c r="AT79" i="8"/>
  <c r="AQ78" i="8"/>
  <c r="AT55" i="8"/>
  <c r="AQ47" i="8"/>
  <c r="AT39" i="8"/>
  <c r="AQ38" i="8"/>
  <c r="AT28" i="8"/>
  <c r="AQ27" i="8"/>
  <c r="AV8" i="8"/>
  <c r="AW8" i="8" s="1"/>
  <c r="AU8" i="8"/>
  <c r="AO56" i="8"/>
  <c r="O56" i="8"/>
  <c r="AN9" i="8"/>
  <c r="AO131" i="8"/>
  <c r="AR111" i="8"/>
  <c r="Q111" i="8"/>
  <c r="AR109" i="8"/>
  <c r="Q109" i="8"/>
  <c r="AR107" i="8"/>
  <c r="Q107" i="8"/>
  <c r="AR106" i="8"/>
  <c r="Q106" i="8"/>
  <c r="AO100" i="8"/>
  <c r="O100" i="8"/>
  <c r="AO99" i="8"/>
  <c r="O99" i="8"/>
  <c r="AO98" i="8"/>
  <c r="O98" i="8"/>
  <c r="AO97" i="8"/>
  <c r="O97" i="8"/>
  <c r="AO93" i="8"/>
  <c r="O93" i="8"/>
  <c r="AO79" i="8"/>
  <c r="O79" i="8"/>
  <c r="M78" i="8"/>
  <c r="AI37" i="8"/>
  <c r="I87" i="8"/>
  <c r="AO28" i="8"/>
  <c r="O28" i="8"/>
  <c r="M27" i="8"/>
  <c r="AO27" i="8" s="1"/>
  <c r="I74" i="8"/>
  <c r="AI9" i="8"/>
  <c r="AN84" i="8"/>
  <c r="AN37" i="8"/>
  <c r="AK87" i="8"/>
  <c r="AK77" i="8" s="1"/>
  <c r="AK76" i="8"/>
  <c r="AG26" i="5"/>
  <c r="BA15" i="5"/>
  <c r="DU15" i="5"/>
  <c r="BA20" i="5"/>
  <c r="AG14" i="5"/>
  <c r="BN64" i="5"/>
  <c r="BN65" i="5"/>
  <c r="CB74" i="5"/>
  <c r="AB74" i="5"/>
  <c r="X73" i="5"/>
  <c r="CB73" i="5" s="1"/>
  <c r="BU67" i="5"/>
  <c r="BZ70" i="5"/>
  <c r="CF71" i="5"/>
  <c r="CB67" i="5"/>
  <c r="CA42" i="5"/>
  <c r="AA42" i="5"/>
  <c r="CA39" i="5"/>
  <c r="AA39" i="5"/>
  <c r="CB34" i="5"/>
  <c r="AB34" i="5"/>
  <c r="AE52" i="5"/>
  <c r="CG52" i="5"/>
  <c r="X9" i="5"/>
  <c r="CB10" i="5"/>
  <c r="AB10" i="5"/>
  <c r="BU10" i="5"/>
  <c r="W10" i="5"/>
  <c r="S9" i="5"/>
  <c r="BO36" i="5"/>
  <c r="BI76" i="5"/>
  <c r="K66" i="5"/>
  <c r="AL63" i="5"/>
  <c r="AL76" i="5"/>
  <c r="AL66" i="5" s="1"/>
  <c r="CB111" i="5"/>
  <c r="AB111" i="5"/>
  <c r="CG96" i="5"/>
  <c r="AE96" i="5"/>
  <c r="CG95" i="5"/>
  <c r="AE95" i="5"/>
  <c r="CG94" i="5"/>
  <c r="AE94" i="5"/>
  <c r="CG93" i="5"/>
  <c r="AE93" i="5"/>
  <c r="CG92" i="5"/>
  <c r="AE92" i="5"/>
  <c r="CN94" i="5"/>
  <c r="AJ94" i="5"/>
  <c r="CN92" i="5"/>
  <c r="AJ92" i="5"/>
  <c r="CH89" i="5"/>
  <c r="AF89" i="5"/>
  <c r="CG91" i="5"/>
  <c r="AE91" i="5"/>
  <c r="BU87" i="5"/>
  <c r="W87" i="5"/>
  <c r="CB75" i="5"/>
  <c r="AB75" i="5"/>
  <c r="CA75" i="5"/>
  <c r="AA75" i="5"/>
  <c r="AB22" i="5"/>
  <c r="CB22" i="5"/>
  <c r="AB17" i="5"/>
  <c r="CB17" i="5"/>
  <c r="W12" i="5"/>
  <c r="BU12" i="5"/>
  <c r="AA11" i="5"/>
  <c r="CA11" i="5"/>
  <c r="U9" i="5"/>
  <c r="Y10" i="5"/>
  <c r="M63" i="5"/>
  <c r="M76" i="5"/>
  <c r="M66" i="5" s="1"/>
  <c r="CB11" i="5"/>
  <c r="AB11" i="5"/>
  <c r="CF9" i="5"/>
  <c r="CL10" i="5"/>
  <c r="BU20" i="5"/>
  <c r="W20" i="5"/>
  <c r="CA25" i="5"/>
  <c r="AA25" i="5"/>
  <c r="BV67" i="5"/>
  <c r="AK24" i="5"/>
  <c r="AO24" i="5" s="1"/>
  <c r="CA57" i="5"/>
  <c r="AA57" i="5"/>
  <c r="CA23" i="5"/>
  <c r="AA23" i="5"/>
  <c r="CA16" i="5"/>
  <c r="AA16" i="5"/>
  <c r="CB39" i="5"/>
  <c r="AB39" i="5"/>
  <c r="AA34" i="5"/>
  <c r="CA34" i="5"/>
  <c r="CA29" i="5"/>
  <c r="AA29" i="5"/>
  <c r="AF13" i="5"/>
  <c r="CH13" i="5"/>
  <c r="K63" i="5"/>
  <c r="BI8" i="5"/>
  <c r="S36" i="5"/>
  <c r="BY8" i="5"/>
  <c r="AO25" i="5"/>
  <c r="E25" i="5" s="1"/>
  <c r="CB69" i="5"/>
  <c r="AB69" i="5"/>
  <c r="AB67" i="5" s="1"/>
  <c r="AB55" i="5"/>
  <c r="CB55" i="5"/>
  <c r="BP36" i="5"/>
  <c r="P76" i="5"/>
  <c r="CB33" i="5"/>
  <c r="AB33" i="5"/>
  <c r="CA31" i="5"/>
  <c r="AA31" i="5"/>
  <c r="CB29" i="5"/>
  <c r="AB29" i="5"/>
  <c r="CH28" i="5"/>
  <c r="AF28" i="5"/>
  <c r="CA24" i="5"/>
  <c r="AA24" i="5"/>
  <c r="CB19" i="5"/>
  <c r="AB19" i="5"/>
  <c r="CA55" i="5"/>
  <c r="AA55" i="5"/>
  <c r="CE46" i="5"/>
  <c r="CK54" i="5"/>
  <c r="CB42" i="5"/>
  <c r="AB42" i="5"/>
  <c r="CA41" i="5"/>
  <c r="AA41" i="5"/>
  <c r="BG64" i="5"/>
  <c r="BG65" i="5"/>
  <c r="CA35" i="5"/>
  <c r="AA35" i="5"/>
  <c r="CA33" i="5"/>
  <c r="AA33" i="5"/>
  <c r="CB32" i="5"/>
  <c r="AB32" i="5"/>
  <c r="CB31" i="5"/>
  <c r="AB31" i="5"/>
  <c r="CA30" i="5"/>
  <c r="AA30" i="5"/>
  <c r="BU22" i="5"/>
  <c r="W22" i="5"/>
  <c r="BU17" i="5"/>
  <c r="W17" i="5"/>
  <c r="BU15" i="5"/>
  <c r="W15" i="5"/>
  <c r="CB12" i="5"/>
  <c r="AB12" i="5"/>
  <c r="AF41" i="5"/>
  <c r="CH41" i="5"/>
  <c r="CR38" i="5"/>
  <c r="CL37" i="5"/>
  <c r="AJ24" i="5"/>
  <c r="CN24" i="5"/>
  <c r="BU19" i="5"/>
  <c r="W19" i="5"/>
  <c r="CA28" i="5"/>
  <c r="AA28" i="5"/>
  <c r="DU16" i="5"/>
  <c r="BA16" i="5"/>
  <c r="DV16" i="5"/>
  <c r="AK19" i="5"/>
  <c r="AO19" i="5" s="1"/>
  <c r="BT65" i="5"/>
  <c r="AG17" i="5"/>
  <c r="DU22" i="5"/>
  <c r="BA22" i="5"/>
  <c r="DV22" i="5"/>
  <c r="Y26" i="5"/>
  <c r="AK28" i="5"/>
  <c r="AK26" i="5" s="1"/>
  <c r="CA111" i="5"/>
  <c r="AA111" i="5"/>
  <c r="CN96" i="5"/>
  <c r="AJ96" i="5"/>
  <c r="CN90" i="5"/>
  <c r="AJ90" i="5"/>
  <c r="CM88" i="5"/>
  <c r="AI88" i="5"/>
  <c r="CA86" i="5"/>
  <c r="AA86" i="5"/>
  <c r="CN88" i="5"/>
  <c r="AJ88" i="5"/>
  <c r="CH87" i="5"/>
  <c r="AF87" i="5"/>
  <c r="CB85" i="5"/>
  <c r="AB85" i="5"/>
  <c r="CB82" i="5"/>
  <c r="AB82" i="5"/>
  <c r="CA68" i="5"/>
  <c r="AA68" i="5"/>
  <c r="W67" i="5"/>
  <c r="W73" i="5"/>
  <c r="CA74" i="5"/>
  <c r="AA74" i="5"/>
  <c r="CB54" i="5"/>
  <c r="AB54" i="5"/>
  <c r="X46" i="5"/>
  <c r="CB46" i="5" s="1"/>
  <c r="CH68" i="5"/>
  <c r="AF68" i="5"/>
  <c r="CA27" i="5"/>
  <c r="AA27" i="5"/>
  <c r="W26" i="5"/>
  <c r="CA26" i="5" s="1"/>
  <c r="CB23" i="5"/>
  <c r="AB23" i="5"/>
  <c r="BU21" i="5"/>
  <c r="W21" i="5"/>
  <c r="CB18" i="5"/>
  <c r="AB18" i="5"/>
  <c r="W18" i="5"/>
  <c r="BU18" i="5"/>
  <c r="BU14" i="5"/>
  <c r="W14" i="5"/>
  <c r="CA13" i="5"/>
  <c r="AA13" i="5"/>
  <c r="P63" i="5"/>
  <c r="BP8" i="5"/>
  <c r="BV9" i="5"/>
  <c r="BV65" i="5" s="1"/>
  <c r="T8" i="5"/>
  <c r="BO9" i="5"/>
  <c r="BO65" i="5" s="1"/>
  <c r="O8" i="5"/>
  <c r="AE32" i="5"/>
  <c r="CG32" i="5"/>
  <c r="CA84" i="5"/>
  <c r="AA84" i="5"/>
  <c r="CB81" i="5"/>
  <c r="AB81" i="5"/>
  <c r="X80" i="5"/>
  <c r="CA72" i="5"/>
  <c r="AA72" i="5"/>
  <c r="BR98" i="5"/>
  <c r="BP98" i="5"/>
  <c r="CB60" i="5"/>
  <c r="AB60" i="5"/>
  <c r="CB52" i="5"/>
  <c r="AB52" i="5"/>
  <c r="CA44" i="5"/>
  <c r="AA44" i="5"/>
  <c r="CA43" i="5"/>
  <c r="AA43" i="5"/>
  <c r="CA83" i="5"/>
  <c r="AA83" i="5"/>
  <c r="BV37" i="5"/>
  <c r="T36" i="5"/>
  <c r="CB38" i="5"/>
  <c r="AB38" i="5"/>
  <c r="X37" i="5"/>
  <c r="BY38" i="5"/>
  <c r="CA38" i="5" s="1"/>
  <c r="BS37" i="5"/>
  <c r="BS36" i="5" s="1"/>
  <c r="BS76" i="5" s="1"/>
  <c r="BS66" i="5" s="1"/>
  <c r="CL54" i="5"/>
  <c r="CF46" i="5"/>
  <c r="CF36" i="5" s="1"/>
  <c r="AF44" i="5"/>
  <c r="CH44" i="5"/>
  <c r="CH43" i="5"/>
  <c r="AF43" i="5"/>
  <c r="Q8" i="5"/>
  <c r="BZ8" i="5"/>
  <c r="BZ63" i="5" s="1"/>
  <c r="BZ64" i="5" s="1"/>
  <c r="BB28" i="5"/>
  <c r="F26" i="5"/>
  <c r="BB26" i="5" s="1"/>
  <c r="BB10" i="5"/>
  <c r="F9" i="5"/>
  <c r="AP8" i="5"/>
  <c r="CA71" i="5"/>
  <c r="AA71" i="5"/>
  <c r="W70" i="5"/>
  <c r="CA70" i="5" s="1"/>
  <c r="BO98" i="5"/>
  <c r="BQ98" i="5"/>
  <c r="CA85" i="5"/>
  <c r="AA85" i="5"/>
  <c r="CA82" i="5"/>
  <c r="AA82" i="5"/>
  <c r="BY73" i="5"/>
  <c r="CE74" i="5"/>
  <c r="CB83" i="5"/>
  <c r="AB83" i="5"/>
  <c r="CA81" i="5"/>
  <c r="AA81" i="5"/>
  <c r="W80" i="5"/>
  <c r="AF72" i="5"/>
  <c r="CH72" i="5"/>
  <c r="AE69" i="5"/>
  <c r="CG69" i="5"/>
  <c r="CF81" i="5"/>
  <c r="BZ80" i="5"/>
  <c r="CL74" i="5"/>
  <c r="CK71" i="5"/>
  <c r="CE70" i="5"/>
  <c r="CK68" i="5"/>
  <c r="CE67" i="5"/>
  <c r="CA60" i="5"/>
  <c r="AA60" i="5"/>
  <c r="CB27" i="5"/>
  <c r="AB27" i="5"/>
  <c r="X26" i="5"/>
  <c r="CB26" i="5" s="1"/>
  <c r="AB21" i="5"/>
  <c r="CB21" i="5"/>
  <c r="AB16" i="5"/>
  <c r="CB16" i="5"/>
  <c r="AA54" i="5"/>
  <c r="W46" i="5"/>
  <c r="CA46" i="5" s="1"/>
  <c r="CA54" i="5"/>
  <c r="AA38" i="5"/>
  <c r="W37" i="5"/>
  <c r="AF35" i="5"/>
  <c r="CH35" i="5"/>
  <c r="CK27" i="5"/>
  <c r="CE26" i="5"/>
  <c r="CL27" i="5"/>
  <c r="CF26" i="5"/>
  <c r="CK10" i="5"/>
  <c r="CE9" i="5"/>
  <c r="CO7" i="5"/>
  <c r="CQ7" i="5" s="1"/>
  <c r="CM7" i="5"/>
  <c r="CP7" i="5"/>
  <c r="CR7" i="5" s="1"/>
  <c r="CN7" i="5"/>
  <c r="AA90" i="5"/>
  <c r="CA90" i="5"/>
  <c r="CG89" i="5"/>
  <c r="AE89" i="5"/>
  <c r="CB86" i="5"/>
  <c r="AB86" i="5"/>
  <c r="CB84" i="5"/>
  <c r="AB84" i="5"/>
  <c r="CF75" i="5"/>
  <c r="CF73" i="5" s="1"/>
  <c r="AJ95" i="5"/>
  <c r="CN95" i="5"/>
  <c r="AJ93" i="5"/>
  <c r="CN93" i="5"/>
  <c r="CE75" i="5"/>
  <c r="X70" i="5"/>
  <c r="CB71" i="5"/>
  <c r="AB71" i="5"/>
  <c r="AJ91" i="5"/>
  <c r="CN91" i="5"/>
  <c r="CE81" i="5"/>
  <c r="BY80" i="5"/>
  <c r="AF57" i="5"/>
  <c r="CH57" i="5"/>
  <c r="CH30" i="5"/>
  <c r="AF30" i="5"/>
  <c r="CN25" i="5"/>
  <c r="AJ25" i="5"/>
  <c r="CH20" i="5"/>
  <c r="AF20" i="5"/>
  <c r="BV73" i="5"/>
  <c r="AO30" i="5"/>
  <c r="E30" i="5" s="1"/>
  <c r="BU38" i="5"/>
  <c r="BV70" i="5"/>
  <c r="AA77" i="11" l="1"/>
  <c r="BZ76" i="5"/>
  <c r="BA12" i="5"/>
  <c r="DU12" i="5"/>
  <c r="BM65" i="5"/>
  <c r="DU20" i="5"/>
  <c r="AN74" i="9"/>
  <c r="AN75" i="9" s="1"/>
  <c r="BA13" i="5"/>
  <c r="DU13" i="5"/>
  <c r="DV13" i="5"/>
  <c r="O114" i="10"/>
  <c r="P114" i="10" s="1"/>
  <c r="Q114" i="10" s="1"/>
  <c r="AR114" i="10"/>
  <c r="BL115" i="8"/>
  <c r="BN115" i="8" s="1"/>
  <c r="AT115" i="8"/>
  <c r="CZ115" i="8" s="1"/>
  <c r="AH115" i="8"/>
  <c r="CN115" i="8" s="1"/>
  <c r="AE115" i="8"/>
  <c r="BF115" i="8"/>
  <c r="BC115" i="8"/>
  <c r="AZ115" i="8"/>
  <c r="DF115" i="8" s="1"/>
  <c r="AK115" i="8"/>
  <c r="AN115" i="8"/>
  <c r="CT115" i="8" s="1"/>
  <c r="AQ115" i="8"/>
  <c r="AB115" i="8"/>
  <c r="CH115" i="8" s="1"/>
  <c r="BJ115" i="8"/>
  <c r="AW115" i="8"/>
  <c r="BJ76" i="5"/>
  <c r="L66" i="5"/>
  <c r="CB70" i="5"/>
  <c r="BZ65" i="5"/>
  <c r="E24" i="5"/>
  <c r="DU24" i="5" s="1"/>
  <c r="DV12" i="5"/>
  <c r="AQ37" i="9"/>
  <c r="AQ37" i="8"/>
  <c r="AQ37" i="10"/>
  <c r="AJ94" i="11"/>
  <c r="AF91" i="11"/>
  <c r="CN91" i="11" s="1"/>
  <c r="CN94" i="11"/>
  <c r="BL116" i="8"/>
  <c r="BN116" i="8" s="1"/>
  <c r="AN116" i="8"/>
  <c r="CT116" i="8" s="1"/>
  <c r="AB116" i="8"/>
  <c r="CH116" i="8" s="1"/>
  <c r="AQ116" i="8"/>
  <c r="BY116" i="8" s="1"/>
  <c r="AT116" i="8"/>
  <c r="CZ116" i="8" s="1"/>
  <c r="AH116" i="8"/>
  <c r="CN116" i="8" s="1"/>
  <c r="AE116" i="8"/>
  <c r="BM116" i="8" s="1"/>
  <c r="BF116" i="8"/>
  <c r="BC116" i="8"/>
  <c r="CK116" i="8" s="1"/>
  <c r="AZ116" i="8"/>
  <c r="DF116" i="8" s="1"/>
  <c r="AK116" i="8"/>
  <c r="BS116" i="8" s="1"/>
  <c r="BJ116" i="8"/>
  <c r="AW116" i="8"/>
  <c r="CE116" i="8" s="1"/>
  <c r="AO28" i="5"/>
  <c r="AO26" i="5" s="1"/>
  <c r="O114" i="9"/>
  <c r="AR114" i="9"/>
  <c r="CJ112" i="1"/>
  <c r="AH112" i="1"/>
  <c r="AG112" i="1"/>
  <c r="CI112" i="1"/>
  <c r="CK87" i="11"/>
  <c r="CK77" i="11" s="1"/>
  <c r="CU110" i="1"/>
  <c r="AO110" i="1"/>
  <c r="DA111" i="1"/>
  <c r="AS111" i="1"/>
  <c r="AL109" i="1"/>
  <c r="CP109" i="1"/>
  <c r="CU109" i="1"/>
  <c r="AO109" i="1"/>
  <c r="BH117" i="8"/>
  <c r="DL117" i="8"/>
  <c r="CP110" i="1"/>
  <c r="AL110" i="1"/>
  <c r="CP111" i="1"/>
  <c r="AL111" i="1"/>
  <c r="Y117" i="8"/>
  <c r="Y116" i="8"/>
  <c r="Y115" i="8"/>
  <c r="CM94" i="11"/>
  <c r="AI94" i="11"/>
  <c r="AE91" i="11"/>
  <c r="CM91" i="11" s="1"/>
  <c r="CR94" i="11"/>
  <c r="CL91" i="11"/>
  <c r="CQ94" i="11"/>
  <c r="CK91" i="11"/>
  <c r="AN87" i="10"/>
  <c r="AN77" i="10" s="1"/>
  <c r="AF87" i="11"/>
  <c r="CN87" i="11" s="1"/>
  <c r="AB87" i="8"/>
  <c r="D77" i="8"/>
  <c r="AN87" i="8"/>
  <c r="AN77" i="8" s="1"/>
  <c r="BV114" i="1"/>
  <c r="BY12" i="11"/>
  <c r="BS76" i="11"/>
  <c r="BS75" i="11"/>
  <c r="Q114" i="1"/>
  <c r="O118" i="1"/>
  <c r="M118" i="11"/>
  <c r="O114" i="11"/>
  <c r="BO114" i="11" s="1"/>
  <c r="BZ12" i="11"/>
  <c r="BT76" i="11"/>
  <c r="BT75" i="11"/>
  <c r="BL87" i="10"/>
  <c r="D77" i="10"/>
  <c r="AB87" i="10"/>
  <c r="BT114" i="11"/>
  <c r="BR118" i="11"/>
  <c r="BT118" i="11" s="1"/>
  <c r="BX114" i="11"/>
  <c r="BW114" i="11"/>
  <c r="BU114" i="1"/>
  <c r="R114" i="1"/>
  <c r="P118" i="1"/>
  <c r="J114" i="8"/>
  <c r="P114" i="11"/>
  <c r="BP114" i="11" s="1"/>
  <c r="N118" i="11"/>
  <c r="BQ118" i="11"/>
  <c r="BS118" i="11" s="1"/>
  <c r="BS114" i="11"/>
  <c r="AN87" i="9"/>
  <c r="CZ108" i="11"/>
  <c r="AR108" i="11"/>
  <c r="DE112" i="11"/>
  <c r="AU112" i="11"/>
  <c r="DK112" i="11" s="1"/>
  <c r="DE111" i="11"/>
  <c r="AU111" i="11"/>
  <c r="DK111" i="11" s="1"/>
  <c r="DE110" i="11"/>
  <c r="AU110" i="11"/>
  <c r="DK110" i="11" s="1"/>
  <c r="DE109" i="11"/>
  <c r="AU109" i="11"/>
  <c r="DK109" i="11" s="1"/>
  <c r="DF112" i="11"/>
  <c r="AV112" i="11"/>
  <c r="DL112" i="11" s="1"/>
  <c r="DF111" i="11"/>
  <c r="AV111" i="11"/>
  <c r="DL111" i="11" s="1"/>
  <c r="DF110" i="11"/>
  <c r="AV110" i="11"/>
  <c r="DL110" i="11" s="1"/>
  <c r="DF109" i="11"/>
  <c r="AV109" i="11"/>
  <c r="DL109" i="11" s="1"/>
  <c r="CW86" i="11"/>
  <c r="CW84" i="11" s="1"/>
  <c r="CY83" i="11"/>
  <c r="AQ83" i="11"/>
  <c r="CS10" i="11"/>
  <c r="AI9" i="11"/>
  <c r="DC82" i="11"/>
  <c r="CW81" i="11"/>
  <c r="DD85" i="11"/>
  <c r="DC85" i="11"/>
  <c r="CY28" i="11"/>
  <c r="AQ28" i="11"/>
  <c r="AM27" i="11"/>
  <c r="CY27" i="11" s="1"/>
  <c r="AB75" i="11"/>
  <c r="AB76" i="11"/>
  <c r="CZ92" i="11"/>
  <c r="AR92" i="11"/>
  <c r="DC92" i="11"/>
  <c r="CZ39" i="11"/>
  <c r="AR39" i="11"/>
  <c r="AN38" i="11"/>
  <c r="DC11" i="11"/>
  <c r="CW10" i="11"/>
  <c r="CZ55" i="11"/>
  <c r="AR55" i="11"/>
  <c r="AN47" i="11"/>
  <c r="CZ47" i="11" s="1"/>
  <c r="CT86" i="11"/>
  <c r="AN86" i="11"/>
  <c r="CY82" i="11"/>
  <c r="AQ82" i="11"/>
  <c r="AM81" i="11"/>
  <c r="CY81" i="11" s="1"/>
  <c r="CS86" i="11"/>
  <c r="AM86" i="11"/>
  <c r="AM84" i="11" s="1"/>
  <c r="CY84" i="11" s="1"/>
  <c r="CY85" i="11"/>
  <c r="AQ85" i="11"/>
  <c r="AF74" i="11"/>
  <c r="CN9" i="11"/>
  <c r="DC28" i="11"/>
  <c r="CW27" i="11"/>
  <c r="DM8" i="11"/>
  <c r="DK8" i="11"/>
  <c r="DD28" i="11"/>
  <c r="CX27" i="11"/>
  <c r="DN8" i="11"/>
  <c r="DL8" i="11"/>
  <c r="CY36" i="11"/>
  <c r="AQ36" i="11"/>
  <c r="CY35" i="11"/>
  <c r="AQ35" i="11"/>
  <c r="CY34" i="11"/>
  <c r="AQ34" i="11"/>
  <c r="CY33" i="11"/>
  <c r="AQ33" i="11"/>
  <c r="CY32" i="11"/>
  <c r="AQ32" i="11"/>
  <c r="CY31" i="11"/>
  <c r="AQ31" i="11"/>
  <c r="CY30" i="11"/>
  <c r="AQ30" i="11"/>
  <c r="CZ53" i="11"/>
  <c r="AR53" i="11"/>
  <c r="CZ45" i="11"/>
  <c r="AR45" i="11"/>
  <c r="CZ44" i="11"/>
  <c r="AR44" i="11"/>
  <c r="CZ43" i="11"/>
  <c r="AR43" i="11"/>
  <c r="CZ42" i="11"/>
  <c r="AR42" i="11"/>
  <c r="CZ40" i="11"/>
  <c r="AR40" i="11"/>
  <c r="CS38" i="11"/>
  <c r="AI37" i="11"/>
  <c r="CS37" i="11" s="1"/>
  <c r="CZ79" i="11"/>
  <c r="AR79" i="11"/>
  <c r="AN78" i="11"/>
  <c r="CR9" i="11"/>
  <c r="CR74" i="11" s="1"/>
  <c r="CY61" i="11"/>
  <c r="AQ61" i="11"/>
  <c r="CY58" i="11"/>
  <c r="AQ58" i="11"/>
  <c r="CY56" i="11"/>
  <c r="AQ56" i="11"/>
  <c r="CY53" i="11"/>
  <c r="AQ53" i="11"/>
  <c r="CY45" i="11"/>
  <c r="AQ45" i="11"/>
  <c r="CY44" i="11"/>
  <c r="AQ44" i="11"/>
  <c r="CY43" i="11"/>
  <c r="AQ43" i="11"/>
  <c r="CY42" i="11"/>
  <c r="AQ42" i="11"/>
  <c r="CY40" i="11"/>
  <c r="AQ40" i="11"/>
  <c r="CZ29" i="11"/>
  <c r="AR29" i="11"/>
  <c r="CZ85" i="11"/>
  <c r="AR85" i="11"/>
  <c r="AN84" i="11"/>
  <c r="CZ84" i="11" s="1"/>
  <c r="DE108" i="11"/>
  <c r="AU108" i="11"/>
  <c r="DK108" i="11" s="1"/>
  <c r="DE107" i="11"/>
  <c r="AU107" i="11"/>
  <c r="DK107" i="11" s="1"/>
  <c r="DE106" i="11"/>
  <c r="AU106" i="11"/>
  <c r="DK106" i="11" s="1"/>
  <c r="DE105" i="11"/>
  <c r="AU105" i="11"/>
  <c r="DK105" i="11" s="1"/>
  <c r="DE104" i="11"/>
  <c r="AU104" i="11"/>
  <c r="DK104" i="11" s="1"/>
  <c r="DE103" i="11"/>
  <c r="AU103" i="11"/>
  <c r="DK103" i="11" s="1"/>
  <c r="CY101" i="11"/>
  <c r="AQ101" i="11"/>
  <c r="CX86" i="11"/>
  <c r="CS78" i="11"/>
  <c r="CY16" i="11"/>
  <c r="AQ16" i="11"/>
  <c r="CY15" i="11"/>
  <c r="AQ15" i="11"/>
  <c r="CZ11" i="11"/>
  <c r="AR11" i="11"/>
  <c r="AN10" i="11"/>
  <c r="AE87" i="11"/>
  <c r="CY11" i="11"/>
  <c r="AQ11" i="11"/>
  <c r="AM10" i="11"/>
  <c r="CY26" i="11"/>
  <c r="AQ26" i="11"/>
  <c r="CY25" i="11"/>
  <c r="AQ25" i="11"/>
  <c r="CY24" i="11"/>
  <c r="AQ24" i="11"/>
  <c r="CY23" i="11"/>
  <c r="AQ23" i="11"/>
  <c r="CY22" i="11"/>
  <c r="AQ22" i="11"/>
  <c r="CY21" i="11"/>
  <c r="AQ21" i="11"/>
  <c r="CY20" i="11"/>
  <c r="AQ20" i="11"/>
  <c r="CY19" i="11"/>
  <c r="AQ19" i="11"/>
  <c r="CY18" i="11"/>
  <c r="AQ18" i="11"/>
  <c r="CY17" i="11"/>
  <c r="AQ17" i="11"/>
  <c r="CY14" i="11"/>
  <c r="AQ14" i="11"/>
  <c r="CY13" i="11"/>
  <c r="AQ13" i="11"/>
  <c r="CY12" i="11"/>
  <c r="AQ12" i="11"/>
  <c r="CZ26" i="11"/>
  <c r="AR26" i="11"/>
  <c r="CZ25" i="11"/>
  <c r="AR25" i="11"/>
  <c r="CZ24" i="11"/>
  <c r="AR24" i="11"/>
  <c r="CZ23" i="11"/>
  <c r="AR23" i="11"/>
  <c r="CZ22" i="11"/>
  <c r="AR22" i="11"/>
  <c r="CZ21" i="11"/>
  <c r="AR21" i="11"/>
  <c r="CZ20" i="11"/>
  <c r="AR20" i="11"/>
  <c r="CZ19" i="11"/>
  <c r="AR19" i="11"/>
  <c r="CZ18" i="11"/>
  <c r="AR18" i="11"/>
  <c r="CZ17" i="11"/>
  <c r="AR17" i="11"/>
  <c r="CZ14" i="11"/>
  <c r="AR14" i="11"/>
  <c r="CZ13" i="11"/>
  <c r="AR13" i="11"/>
  <c r="CZ12" i="11"/>
  <c r="AR12" i="11"/>
  <c r="CT101" i="11"/>
  <c r="AN101" i="11"/>
  <c r="CZ93" i="11"/>
  <c r="AR93" i="11"/>
  <c r="DJ55" i="11"/>
  <c r="DJ47" i="11" s="1"/>
  <c r="DD47" i="11"/>
  <c r="DD39" i="11"/>
  <c r="CX38" i="11"/>
  <c r="CX37" i="11" s="1"/>
  <c r="CY92" i="11"/>
  <c r="AQ92" i="11"/>
  <c r="AA75" i="11"/>
  <c r="AA76" i="11"/>
  <c r="CZ28" i="11"/>
  <c r="AR28" i="11"/>
  <c r="AN27" i="11"/>
  <c r="CZ27" i="11" s="1"/>
  <c r="CT38" i="11"/>
  <c r="AJ37" i="11"/>
  <c r="CT37" i="11" s="1"/>
  <c r="CZ82" i="11"/>
  <c r="AR82" i="11"/>
  <c r="AN81" i="11"/>
  <c r="CZ81" i="11" s="1"/>
  <c r="CQ9" i="11"/>
  <c r="CQ74" i="11" s="1"/>
  <c r="AE74" i="11"/>
  <c r="CM9" i="11"/>
  <c r="CY39" i="11"/>
  <c r="AQ39" i="11"/>
  <c r="AM38" i="11"/>
  <c r="CY80" i="11"/>
  <c r="AQ80" i="11"/>
  <c r="CZ83" i="11"/>
  <c r="AR83" i="11"/>
  <c r="CZ80" i="11"/>
  <c r="AR80" i="11"/>
  <c r="CZ61" i="11"/>
  <c r="AR61" i="11"/>
  <c r="CZ58" i="11"/>
  <c r="AR58" i="11"/>
  <c r="CZ56" i="11"/>
  <c r="AR56" i="11"/>
  <c r="DF102" i="11"/>
  <c r="AV102" i="11"/>
  <c r="DL102" i="11" s="1"/>
  <c r="CZ100" i="11"/>
  <c r="AR100" i="11"/>
  <c r="CZ99" i="11"/>
  <c r="AR99" i="11"/>
  <c r="CZ98" i="11"/>
  <c r="AR98" i="11"/>
  <c r="CZ97" i="11"/>
  <c r="AR97" i="11"/>
  <c r="CZ96" i="11"/>
  <c r="AR96" i="11"/>
  <c r="CZ95" i="11"/>
  <c r="AR95" i="11"/>
  <c r="DE102" i="11"/>
  <c r="AU102" i="11"/>
  <c r="DK102" i="11" s="1"/>
  <c r="CY100" i="11"/>
  <c r="AQ100" i="11"/>
  <c r="CY99" i="11"/>
  <c r="AQ99" i="11"/>
  <c r="CY98" i="11"/>
  <c r="AQ98" i="11"/>
  <c r="CY97" i="11"/>
  <c r="AQ97" i="11"/>
  <c r="CY96" i="11"/>
  <c r="AQ96" i="11"/>
  <c r="CY95" i="11"/>
  <c r="AQ95" i="11"/>
  <c r="DF107" i="11"/>
  <c r="AV107" i="11"/>
  <c r="DL107" i="11" s="1"/>
  <c r="DF106" i="11"/>
  <c r="AV106" i="11"/>
  <c r="DL106" i="11" s="1"/>
  <c r="DF105" i="11"/>
  <c r="AV105" i="11"/>
  <c r="DL105" i="11" s="1"/>
  <c r="DF104" i="11"/>
  <c r="AV104" i="11"/>
  <c r="DL104" i="11" s="1"/>
  <c r="DF103" i="11"/>
  <c r="AV103" i="11"/>
  <c r="DL103" i="11" s="1"/>
  <c r="CY93" i="11"/>
  <c r="AQ93" i="11"/>
  <c r="CT78" i="11"/>
  <c r="DD82" i="11"/>
  <c r="CX81" i="11"/>
  <c r="DD79" i="11"/>
  <c r="CX78" i="11"/>
  <c r="DD11" i="11"/>
  <c r="CX10" i="11"/>
  <c r="DI55" i="11"/>
  <c r="DI47" i="11" s="1"/>
  <c r="DC47" i="11"/>
  <c r="DC39" i="11"/>
  <c r="CW38" i="11"/>
  <c r="CW37" i="11" s="1"/>
  <c r="DC79" i="11"/>
  <c r="CW78" i="11"/>
  <c r="DD92" i="11"/>
  <c r="CY55" i="11"/>
  <c r="AQ55" i="11"/>
  <c r="AM47" i="11"/>
  <c r="CY47" i="11" s="1"/>
  <c r="CY79" i="11"/>
  <c r="AQ79" i="11"/>
  <c r="AM78" i="11"/>
  <c r="CZ36" i="11"/>
  <c r="AR36" i="11"/>
  <c r="CZ35" i="11"/>
  <c r="AR35" i="11"/>
  <c r="CZ34" i="11"/>
  <c r="AR34" i="11"/>
  <c r="CZ33" i="11"/>
  <c r="AR33" i="11"/>
  <c r="CZ32" i="11"/>
  <c r="AR32" i="11"/>
  <c r="CZ31" i="11"/>
  <c r="AR31" i="11"/>
  <c r="CZ30" i="11"/>
  <c r="AR30" i="11"/>
  <c r="CY29" i="11"/>
  <c r="AQ29" i="11"/>
  <c r="CT10" i="11"/>
  <c r="AJ9" i="11"/>
  <c r="CQ84" i="11"/>
  <c r="AI84" i="11"/>
  <c r="CS84" i="11" s="1"/>
  <c r="AJ84" i="11"/>
  <c r="CT84" i="11" s="1"/>
  <c r="CL87" i="11"/>
  <c r="CL77" i="11" s="1"/>
  <c r="BY114" i="1"/>
  <c r="BZ114" i="1"/>
  <c r="AW92" i="10"/>
  <c r="AT91" i="10"/>
  <c r="AR39" i="10"/>
  <c r="Q39" i="10"/>
  <c r="O38" i="10"/>
  <c r="AO10" i="10"/>
  <c r="M9" i="10"/>
  <c r="AR56" i="10"/>
  <c r="Q56" i="10"/>
  <c r="AR92" i="10"/>
  <c r="Q92" i="10"/>
  <c r="O91" i="10"/>
  <c r="AR91" i="10" s="1"/>
  <c r="AQ9" i="10"/>
  <c r="AR94" i="10"/>
  <c r="Q94" i="10"/>
  <c r="AL37" i="10"/>
  <c r="K87" i="10"/>
  <c r="AR40" i="10"/>
  <c r="Q40" i="10"/>
  <c r="AR53" i="10"/>
  <c r="Q53" i="10"/>
  <c r="AR58" i="10"/>
  <c r="Q58" i="10"/>
  <c r="AR61" i="10"/>
  <c r="Q61" i="10"/>
  <c r="AW39" i="10"/>
  <c r="AT38" i="10"/>
  <c r="AW55" i="10"/>
  <c r="AT47" i="10"/>
  <c r="AW79" i="10"/>
  <c r="AT78" i="10"/>
  <c r="AW82" i="10"/>
  <c r="AT81" i="10"/>
  <c r="AW85" i="10"/>
  <c r="AR13" i="10"/>
  <c r="Q13" i="10"/>
  <c r="AR15" i="10"/>
  <c r="Q15" i="10"/>
  <c r="AR17" i="10"/>
  <c r="Q17" i="10"/>
  <c r="AR19" i="10"/>
  <c r="Q19" i="10"/>
  <c r="AR21" i="10"/>
  <c r="Q21" i="10"/>
  <c r="AR23" i="10"/>
  <c r="Q23" i="10"/>
  <c r="AR25" i="10"/>
  <c r="Q25" i="10"/>
  <c r="AI87" i="10"/>
  <c r="I77" i="10"/>
  <c r="AO78" i="10"/>
  <c r="AP114" i="10"/>
  <c r="AQ114" i="10" s="1"/>
  <c r="AR42" i="10"/>
  <c r="Q42" i="10"/>
  <c r="AR43" i="10"/>
  <c r="Q43" i="10"/>
  <c r="AR44" i="10"/>
  <c r="Q44" i="10"/>
  <c r="AR45" i="10"/>
  <c r="Q45" i="10"/>
  <c r="AO38" i="10"/>
  <c r="M37" i="10"/>
  <c r="AR11" i="10"/>
  <c r="Q11" i="10"/>
  <c r="O10" i="10"/>
  <c r="AR80" i="10"/>
  <c r="Q80" i="10"/>
  <c r="AW28" i="10"/>
  <c r="AT27" i="10"/>
  <c r="AY8" i="10"/>
  <c r="AZ8" i="10" s="1"/>
  <c r="AX8" i="10"/>
  <c r="AW11" i="10"/>
  <c r="AT10" i="10"/>
  <c r="I75" i="10"/>
  <c r="I76" i="10"/>
  <c r="AR28" i="10"/>
  <c r="Q28" i="10"/>
  <c r="O27" i="10"/>
  <c r="AR27" i="10" s="1"/>
  <c r="AR83" i="10"/>
  <c r="Q83" i="10"/>
  <c r="AT86" i="10"/>
  <c r="AR95" i="10"/>
  <c r="Q95" i="10"/>
  <c r="AR96" i="10"/>
  <c r="Q96" i="10"/>
  <c r="AU101" i="10"/>
  <c r="S101" i="10"/>
  <c r="AU102" i="10"/>
  <c r="S102" i="10"/>
  <c r="AU103" i="10"/>
  <c r="S103" i="10"/>
  <c r="AU104" i="10"/>
  <c r="S104" i="10"/>
  <c r="AU105" i="10"/>
  <c r="S105" i="10"/>
  <c r="AU108" i="10"/>
  <c r="S108" i="10"/>
  <c r="AU110" i="10"/>
  <c r="S110" i="10"/>
  <c r="AU112" i="10"/>
  <c r="S112" i="10"/>
  <c r="AR12" i="10"/>
  <c r="Q12" i="10"/>
  <c r="AR14" i="10"/>
  <c r="Q14" i="10"/>
  <c r="AR16" i="10"/>
  <c r="Q16" i="10"/>
  <c r="AR18" i="10"/>
  <c r="Q18" i="10"/>
  <c r="AR20" i="10"/>
  <c r="Q20" i="10"/>
  <c r="AR22" i="10"/>
  <c r="Q22" i="10"/>
  <c r="AR24" i="10"/>
  <c r="Q24" i="10"/>
  <c r="AR26" i="10"/>
  <c r="Q26" i="10"/>
  <c r="AR29" i="10"/>
  <c r="Q29" i="10"/>
  <c r="AR31" i="10"/>
  <c r="Q31" i="10"/>
  <c r="AR33" i="10"/>
  <c r="Q33" i="10"/>
  <c r="AR35" i="10"/>
  <c r="Q35" i="10"/>
  <c r="AR85" i="10"/>
  <c r="Q85" i="10"/>
  <c r="O84" i="10"/>
  <c r="AR84" i="10" s="1"/>
  <c r="AR86" i="10"/>
  <c r="Q86" i="10"/>
  <c r="K74" i="10"/>
  <c r="AL9" i="10"/>
  <c r="AR55" i="10"/>
  <c r="Q55" i="10"/>
  <c r="O47" i="10"/>
  <c r="AR47" i="10" s="1"/>
  <c r="AR79" i="10"/>
  <c r="Q79" i="10"/>
  <c r="O78" i="10"/>
  <c r="AR93" i="10"/>
  <c r="Q93" i="10"/>
  <c r="AR97" i="10"/>
  <c r="Q97" i="10"/>
  <c r="AR98" i="10"/>
  <c r="Q98" i="10"/>
  <c r="AR99" i="10"/>
  <c r="Q99" i="10"/>
  <c r="AR100" i="10"/>
  <c r="Q100" i="10"/>
  <c r="AU106" i="10"/>
  <c r="S106" i="10"/>
  <c r="AU107" i="10"/>
  <c r="S107" i="10"/>
  <c r="AU109" i="10"/>
  <c r="S109" i="10"/>
  <c r="AU111" i="10"/>
  <c r="S111" i="10"/>
  <c r="AR128" i="10"/>
  <c r="AR30" i="10"/>
  <c r="Q30" i="10"/>
  <c r="AR32" i="10"/>
  <c r="Q32" i="10"/>
  <c r="AR34" i="10"/>
  <c r="Q34" i="10"/>
  <c r="AR36" i="10"/>
  <c r="Q36" i="10"/>
  <c r="AR82" i="10"/>
  <c r="Q82" i="10"/>
  <c r="O81" i="10"/>
  <c r="AR81" i="10" s="1"/>
  <c r="AQ84" i="10"/>
  <c r="AN74" i="10"/>
  <c r="AN77" i="9"/>
  <c r="AW39" i="9"/>
  <c r="AT38" i="9"/>
  <c r="AW55" i="9"/>
  <c r="AT47" i="9"/>
  <c r="AW79" i="9"/>
  <c r="AT78" i="9"/>
  <c r="AW82" i="9"/>
  <c r="AT81" i="9"/>
  <c r="AW85" i="9"/>
  <c r="AR13" i="9"/>
  <c r="Q13" i="9"/>
  <c r="AR17" i="9"/>
  <c r="Q17" i="9"/>
  <c r="AR19" i="9"/>
  <c r="Q19" i="9"/>
  <c r="AR21" i="9"/>
  <c r="Q21" i="9"/>
  <c r="AR23" i="9"/>
  <c r="Q23" i="9"/>
  <c r="AR25" i="9"/>
  <c r="Q25" i="9"/>
  <c r="AW92" i="9"/>
  <c r="AT91" i="9"/>
  <c r="AR39" i="9"/>
  <c r="Q39" i="9"/>
  <c r="O38" i="9"/>
  <c r="AR30" i="9"/>
  <c r="Q30" i="9"/>
  <c r="AR32" i="9"/>
  <c r="Q32" i="9"/>
  <c r="AR34" i="9"/>
  <c r="Q34" i="9"/>
  <c r="AR36" i="9"/>
  <c r="Q36" i="9"/>
  <c r="AR82" i="9"/>
  <c r="Q82" i="9"/>
  <c r="O81" i="9"/>
  <c r="AR81" i="9" s="1"/>
  <c r="K74" i="9"/>
  <c r="AL9" i="9"/>
  <c r="AR55" i="9"/>
  <c r="Q55" i="9"/>
  <c r="O47" i="9"/>
  <c r="AR47" i="9" s="1"/>
  <c r="AO38" i="9"/>
  <c r="M37" i="9"/>
  <c r="P114" i="9"/>
  <c r="Q114" i="9" s="1"/>
  <c r="AM118" i="9"/>
  <c r="AN118" i="9" s="1"/>
  <c r="AP114" i="9"/>
  <c r="AQ114" i="9" s="1"/>
  <c r="AR42" i="9"/>
  <c r="Q42" i="9"/>
  <c r="AR43" i="9"/>
  <c r="Q43" i="9"/>
  <c r="AR44" i="9"/>
  <c r="Q44" i="9"/>
  <c r="AR45" i="9"/>
  <c r="Q45" i="9"/>
  <c r="AW28" i="9"/>
  <c r="AT27" i="9"/>
  <c r="AR80" i="9"/>
  <c r="Q80" i="9"/>
  <c r="AO10" i="9"/>
  <c r="M9" i="9"/>
  <c r="AR56" i="9"/>
  <c r="Q56" i="9"/>
  <c r="AR12" i="9"/>
  <c r="Q12" i="9"/>
  <c r="AR14" i="9"/>
  <c r="Q14" i="9"/>
  <c r="AR18" i="9"/>
  <c r="Q18" i="9"/>
  <c r="AR20" i="9"/>
  <c r="Q20" i="9"/>
  <c r="AR22" i="9"/>
  <c r="Q22" i="9"/>
  <c r="AR24" i="9"/>
  <c r="Q24" i="9"/>
  <c r="AR26" i="9"/>
  <c r="Q26" i="9"/>
  <c r="AR29" i="9"/>
  <c r="Q29" i="9"/>
  <c r="AR31" i="9"/>
  <c r="Q31" i="9"/>
  <c r="AR33" i="9"/>
  <c r="Q33" i="9"/>
  <c r="AR35" i="9"/>
  <c r="Q35" i="9"/>
  <c r="AR85" i="9"/>
  <c r="Q85" i="9"/>
  <c r="O84" i="9"/>
  <c r="AR84" i="9" s="1"/>
  <c r="AR86" i="9"/>
  <c r="Q86" i="9"/>
  <c r="AQ9" i="9"/>
  <c r="AU15" i="9"/>
  <c r="S15" i="9"/>
  <c r="AU16" i="9"/>
  <c r="S16" i="9"/>
  <c r="AR94" i="9"/>
  <c r="Q94" i="9"/>
  <c r="AI87" i="9"/>
  <c r="I77" i="9"/>
  <c r="AO78" i="9"/>
  <c r="AN76" i="9"/>
  <c r="AR92" i="9"/>
  <c r="Q92" i="9"/>
  <c r="O91" i="9"/>
  <c r="AR91" i="9" s="1"/>
  <c r="AR11" i="9"/>
  <c r="Q11" i="9"/>
  <c r="O10" i="9"/>
  <c r="AL37" i="9"/>
  <c r="K87" i="9"/>
  <c r="AR40" i="9"/>
  <c r="Q40" i="9"/>
  <c r="AR53" i="9"/>
  <c r="Q53" i="9"/>
  <c r="AR58" i="9"/>
  <c r="Q58" i="9"/>
  <c r="AR61" i="9"/>
  <c r="Q61" i="9"/>
  <c r="AY8" i="9"/>
  <c r="AZ8" i="9" s="1"/>
  <c r="AX8" i="9"/>
  <c r="AW11" i="9"/>
  <c r="AT10" i="9"/>
  <c r="I75" i="9"/>
  <c r="I76" i="9"/>
  <c r="AR28" i="9"/>
  <c r="Q28" i="9"/>
  <c r="O27" i="9"/>
  <c r="AR27" i="9" s="1"/>
  <c r="AR83" i="9"/>
  <c r="Q83" i="9"/>
  <c r="AT86" i="9"/>
  <c r="AR95" i="9"/>
  <c r="Q95" i="9"/>
  <c r="AR96" i="9"/>
  <c r="Q96" i="9"/>
  <c r="AU101" i="9"/>
  <c r="S101" i="9"/>
  <c r="AU102" i="9"/>
  <c r="S102" i="9"/>
  <c r="AU103" i="9"/>
  <c r="S103" i="9"/>
  <c r="AU104" i="9"/>
  <c r="S104" i="9"/>
  <c r="AU105" i="9"/>
  <c r="S105" i="9"/>
  <c r="AU108" i="9"/>
  <c r="S108" i="9"/>
  <c r="AU110" i="9"/>
  <c r="S110" i="9"/>
  <c r="AU112" i="9"/>
  <c r="S112" i="9"/>
  <c r="AR79" i="9"/>
  <c r="Q79" i="9"/>
  <c r="O78" i="9"/>
  <c r="AR93" i="9"/>
  <c r="Q93" i="9"/>
  <c r="AR97" i="9"/>
  <c r="Q97" i="9"/>
  <c r="AR98" i="9"/>
  <c r="Q98" i="9"/>
  <c r="AR99" i="9"/>
  <c r="Q99" i="9"/>
  <c r="AR100" i="9"/>
  <c r="Q100" i="9"/>
  <c r="AU106" i="9"/>
  <c r="S106" i="9"/>
  <c r="AU107" i="9"/>
  <c r="S107" i="9"/>
  <c r="AU109" i="9"/>
  <c r="S109" i="9"/>
  <c r="AU111" i="9"/>
  <c r="S111" i="9"/>
  <c r="AR131" i="9"/>
  <c r="AR79" i="8"/>
  <c r="Q79" i="8"/>
  <c r="O78" i="8"/>
  <c r="AR93" i="8"/>
  <c r="Q93" i="8"/>
  <c r="AR97" i="8"/>
  <c r="Q97" i="8"/>
  <c r="AR98" i="8"/>
  <c r="Q98" i="8"/>
  <c r="AR99" i="8"/>
  <c r="Q99" i="8"/>
  <c r="AR100" i="8"/>
  <c r="Q100" i="8"/>
  <c r="AU106" i="8"/>
  <c r="S106" i="8"/>
  <c r="AU107" i="8"/>
  <c r="S107" i="8"/>
  <c r="AU109" i="8"/>
  <c r="S109" i="8"/>
  <c r="AU111" i="8"/>
  <c r="S111" i="8"/>
  <c r="AR131" i="8"/>
  <c r="AY8" i="8"/>
  <c r="AZ8" i="8" s="1"/>
  <c r="AX8" i="8"/>
  <c r="AW28" i="8"/>
  <c r="AT27" i="8"/>
  <c r="K74" i="8"/>
  <c r="AL9" i="8"/>
  <c r="AL37" i="8"/>
  <c r="K87" i="8"/>
  <c r="AR40" i="8"/>
  <c r="Q40" i="8"/>
  <c r="AR53" i="8"/>
  <c r="Q53" i="8"/>
  <c r="AR58" i="8"/>
  <c r="Q58" i="8"/>
  <c r="AR61" i="8"/>
  <c r="Q61" i="8"/>
  <c r="AR82" i="8"/>
  <c r="Q82" i="8"/>
  <c r="O81" i="8"/>
  <c r="AR81" i="8" s="1"/>
  <c r="AR80" i="8"/>
  <c r="Q80" i="8"/>
  <c r="AW11" i="8"/>
  <c r="AT10" i="8"/>
  <c r="AR55" i="8"/>
  <c r="Q55" i="8"/>
  <c r="O47" i="8"/>
  <c r="AR47" i="8" s="1"/>
  <c r="AO10" i="8"/>
  <c r="M9" i="8"/>
  <c r="AR39" i="8"/>
  <c r="Q39" i="8"/>
  <c r="O38" i="8"/>
  <c r="AR25" i="8"/>
  <c r="Q25" i="8"/>
  <c r="AR26" i="8"/>
  <c r="Q26" i="8"/>
  <c r="AN74" i="8"/>
  <c r="I75" i="8"/>
  <c r="I76" i="8"/>
  <c r="AR28" i="8"/>
  <c r="Q28" i="8"/>
  <c r="O27" i="8"/>
  <c r="AR27" i="8" s="1"/>
  <c r="AI87" i="8"/>
  <c r="I77" i="8"/>
  <c r="AO78" i="8"/>
  <c r="AR56" i="8"/>
  <c r="Q56" i="8"/>
  <c r="AW39" i="8"/>
  <c r="AT38" i="8"/>
  <c r="AW55" i="8"/>
  <c r="AT47" i="8"/>
  <c r="AW79" i="8"/>
  <c r="AT78" i="8"/>
  <c r="AW82" i="8"/>
  <c r="AT81" i="8"/>
  <c r="AW85" i="8"/>
  <c r="AR12" i="8"/>
  <c r="Q12" i="8"/>
  <c r="AR13" i="8"/>
  <c r="Q13" i="8"/>
  <c r="AR14" i="8"/>
  <c r="Q14" i="8"/>
  <c r="AR17" i="8"/>
  <c r="Q17" i="8"/>
  <c r="AR18" i="8"/>
  <c r="Q18" i="8"/>
  <c r="AR19" i="8"/>
  <c r="Q19" i="8"/>
  <c r="AR20" i="8"/>
  <c r="Q20" i="8"/>
  <c r="AR21" i="8"/>
  <c r="Q21" i="8"/>
  <c r="AR22" i="8"/>
  <c r="Q22" i="8"/>
  <c r="AR23" i="8"/>
  <c r="Q23" i="8"/>
  <c r="AR24" i="8"/>
  <c r="Q24" i="8"/>
  <c r="AW92" i="8"/>
  <c r="AT91" i="8"/>
  <c r="AR85" i="8"/>
  <c r="Q85" i="8"/>
  <c r="O84" i="8"/>
  <c r="AR84" i="8" s="1"/>
  <c r="AR86" i="8"/>
  <c r="Q86" i="8"/>
  <c r="AM118" i="8"/>
  <c r="AN118" i="8" s="1"/>
  <c r="AP114" i="8"/>
  <c r="AQ114" i="8" s="1"/>
  <c r="AR94" i="8"/>
  <c r="Q94" i="8"/>
  <c r="AR42" i="8"/>
  <c r="Q42" i="8"/>
  <c r="AR43" i="8"/>
  <c r="Q43" i="8"/>
  <c r="AR44" i="8"/>
  <c r="Q44" i="8"/>
  <c r="AR45" i="8"/>
  <c r="Q45" i="8"/>
  <c r="AR29" i="8"/>
  <c r="Q29" i="8"/>
  <c r="AR30" i="8"/>
  <c r="Q30" i="8"/>
  <c r="AR31" i="8"/>
  <c r="Q31" i="8"/>
  <c r="AR32" i="8"/>
  <c r="Q32" i="8"/>
  <c r="AR33" i="8"/>
  <c r="Q33" i="8"/>
  <c r="AR34" i="8"/>
  <c r="Q34" i="8"/>
  <c r="AR35" i="8"/>
  <c r="Q35" i="8"/>
  <c r="AR36" i="8"/>
  <c r="Q36" i="8"/>
  <c r="AR92" i="8"/>
  <c r="Q92" i="8"/>
  <c r="O91" i="8"/>
  <c r="AR91" i="8" s="1"/>
  <c r="AQ9" i="8"/>
  <c r="AU15" i="8"/>
  <c r="S15" i="8"/>
  <c r="AU16" i="8"/>
  <c r="S16" i="8"/>
  <c r="AR11" i="8"/>
  <c r="Q11" i="8"/>
  <c r="O10" i="8"/>
  <c r="AO38" i="8"/>
  <c r="M37" i="8"/>
  <c r="AR83" i="8"/>
  <c r="Q83" i="8"/>
  <c r="AT86" i="8"/>
  <c r="AR95" i="8"/>
  <c r="Q95" i="8"/>
  <c r="AR96" i="8"/>
  <c r="Q96" i="8"/>
  <c r="AU101" i="8"/>
  <c r="S101" i="8"/>
  <c r="AU102" i="8"/>
  <c r="S102" i="8"/>
  <c r="AU103" i="8"/>
  <c r="S103" i="8"/>
  <c r="AU104" i="8"/>
  <c r="S104" i="8"/>
  <c r="AU105" i="8"/>
  <c r="S105" i="8"/>
  <c r="AU108" i="8"/>
  <c r="S108" i="8"/>
  <c r="AU110" i="8"/>
  <c r="S110" i="8"/>
  <c r="AU112" i="8"/>
  <c r="S112" i="8"/>
  <c r="DU30" i="5"/>
  <c r="BA30" i="5"/>
  <c r="DV30" i="5"/>
  <c r="DU25" i="5"/>
  <c r="DV25" i="5"/>
  <c r="BA25" i="5"/>
  <c r="CN20" i="5"/>
  <c r="AJ20" i="5"/>
  <c r="CT25" i="5"/>
  <c r="AN25" i="5"/>
  <c r="CN30" i="5"/>
  <c r="AJ30" i="5"/>
  <c r="AB70" i="5"/>
  <c r="CH71" i="5"/>
  <c r="AF71" i="5"/>
  <c r="CT93" i="5"/>
  <c r="AN93" i="5"/>
  <c r="CT95" i="5"/>
  <c r="AN95" i="5"/>
  <c r="CG90" i="5"/>
  <c r="AE90" i="5"/>
  <c r="CV7" i="5"/>
  <c r="CX7" i="5" s="1"/>
  <c r="CT7" i="5"/>
  <c r="CU7" i="5"/>
  <c r="CW7" i="5" s="1"/>
  <c r="CS7" i="5"/>
  <c r="CQ10" i="5"/>
  <c r="CK9" i="5"/>
  <c r="CR27" i="5"/>
  <c r="CL26" i="5"/>
  <c r="CQ27" i="5"/>
  <c r="CK26" i="5"/>
  <c r="AJ35" i="5"/>
  <c r="CN35" i="5"/>
  <c r="AA37" i="5"/>
  <c r="AE38" i="5"/>
  <c r="AA46" i="5"/>
  <c r="CG46" i="5" s="1"/>
  <c r="CG54" i="5"/>
  <c r="AE54" i="5"/>
  <c r="AF16" i="5"/>
  <c r="CH16" i="5"/>
  <c r="AF21" i="5"/>
  <c r="CH21" i="5"/>
  <c r="CH27" i="5"/>
  <c r="AF27" i="5"/>
  <c r="AB26" i="5"/>
  <c r="CH26" i="5" s="1"/>
  <c r="CG60" i="5"/>
  <c r="AE60" i="5"/>
  <c r="CG71" i="5"/>
  <c r="AE71" i="5"/>
  <c r="AA70" i="5"/>
  <c r="CG70" i="5" s="1"/>
  <c r="AP63" i="5"/>
  <c r="AP76" i="5"/>
  <c r="AP66" i="5" s="1"/>
  <c r="F99" i="5"/>
  <c r="BB9" i="5"/>
  <c r="BB65" i="5" s="1"/>
  <c r="F8" i="5"/>
  <c r="Q63" i="5"/>
  <c r="Q76" i="5"/>
  <c r="Q66" i="5" s="1"/>
  <c r="CN43" i="5"/>
  <c r="AJ43" i="5"/>
  <c r="CB37" i="5"/>
  <c r="X36" i="5"/>
  <c r="BR99" i="5"/>
  <c r="BT98" i="5"/>
  <c r="CH81" i="5"/>
  <c r="AB80" i="5"/>
  <c r="AF81" i="5"/>
  <c r="CG84" i="5"/>
  <c r="AE84" i="5"/>
  <c r="O63" i="5"/>
  <c r="BO8" i="5"/>
  <c r="CG13" i="5"/>
  <c r="AE13" i="5"/>
  <c r="CA14" i="5"/>
  <c r="AA14" i="5"/>
  <c r="CH18" i="5"/>
  <c r="AF18" i="5"/>
  <c r="CA21" i="5"/>
  <c r="AA21" i="5"/>
  <c r="CH23" i="5"/>
  <c r="AF23" i="5"/>
  <c r="CN68" i="5"/>
  <c r="AJ68" i="5"/>
  <c r="CA67" i="5"/>
  <c r="AN24" i="5"/>
  <c r="CT24" i="5"/>
  <c r="CX38" i="5"/>
  <c r="CR37" i="5"/>
  <c r="AJ41" i="5"/>
  <c r="CN41" i="5"/>
  <c r="CH55" i="5"/>
  <c r="AF55" i="5"/>
  <c r="K64" i="5"/>
  <c r="K65" i="5"/>
  <c r="AJ13" i="5"/>
  <c r="CN13" i="5"/>
  <c r="AE34" i="5"/>
  <c r="CG34" i="5"/>
  <c r="CF8" i="5"/>
  <c r="CF63" i="5" s="1"/>
  <c r="CF64" i="5" s="1"/>
  <c r="M64" i="5"/>
  <c r="M65" i="5"/>
  <c r="U8" i="5"/>
  <c r="CG11" i="5"/>
  <c r="AE11" i="5"/>
  <c r="CA12" i="5"/>
  <c r="AA12" i="5"/>
  <c r="AF17" i="5"/>
  <c r="CH17" i="5"/>
  <c r="AF22" i="5"/>
  <c r="CH22" i="5"/>
  <c r="CH75" i="5"/>
  <c r="AF75" i="5"/>
  <c r="AL64" i="5"/>
  <c r="AL65" i="5"/>
  <c r="CA10" i="5"/>
  <c r="AA10" i="5"/>
  <c r="W9" i="5"/>
  <c r="AB9" i="5"/>
  <c r="CH10" i="5"/>
  <c r="AF10" i="5"/>
  <c r="CB9" i="5"/>
  <c r="CB65" i="5" s="1"/>
  <c r="X8" i="5"/>
  <c r="AI52" i="5"/>
  <c r="CM52" i="5"/>
  <c r="CH74" i="5"/>
  <c r="AF74" i="5"/>
  <c r="AB73" i="5"/>
  <c r="CH73" i="5" s="1"/>
  <c r="CA80" i="5"/>
  <c r="E19" i="5"/>
  <c r="BU37" i="5"/>
  <c r="BZ66" i="5"/>
  <c r="AK14" i="5"/>
  <c r="AO14" i="5" s="1"/>
  <c r="AJ57" i="5"/>
  <c r="CN57" i="5"/>
  <c r="CK81" i="5"/>
  <c r="CE80" i="5"/>
  <c r="AN91" i="5"/>
  <c r="CT91" i="5"/>
  <c r="CK75" i="5"/>
  <c r="CL75" i="5"/>
  <c r="CL73" i="5" s="1"/>
  <c r="CH84" i="5"/>
  <c r="AF84" i="5"/>
  <c r="CH86" i="5"/>
  <c r="AF86" i="5"/>
  <c r="CM89" i="5"/>
  <c r="AI89" i="5"/>
  <c r="CE8" i="5"/>
  <c r="W36" i="5"/>
  <c r="CQ68" i="5"/>
  <c r="CK67" i="5"/>
  <c r="CQ71" i="5"/>
  <c r="CK70" i="5"/>
  <c r="CR74" i="5"/>
  <c r="CL81" i="5"/>
  <c r="CF80" i="5"/>
  <c r="CM69" i="5"/>
  <c r="AI69" i="5"/>
  <c r="AJ72" i="5"/>
  <c r="CN72" i="5"/>
  <c r="AE81" i="5"/>
  <c r="CG81" i="5"/>
  <c r="AA80" i="5"/>
  <c r="CH83" i="5"/>
  <c r="AF83" i="5"/>
  <c r="CE73" i="5"/>
  <c r="CK74" i="5"/>
  <c r="CG82" i="5"/>
  <c r="AE82" i="5"/>
  <c r="CG85" i="5"/>
  <c r="AE85" i="5"/>
  <c r="BQ99" i="5"/>
  <c r="BS98" i="5"/>
  <c r="CN44" i="5"/>
  <c r="AJ44" i="5"/>
  <c r="CR54" i="5"/>
  <c r="CL46" i="5"/>
  <c r="CL36" i="5" s="1"/>
  <c r="CE38" i="5"/>
  <c r="BY37" i="5"/>
  <c r="BY36" i="5" s="1"/>
  <c r="BY76" i="5" s="1"/>
  <c r="BY66" i="5" s="1"/>
  <c r="AF38" i="5"/>
  <c r="CH38" i="5"/>
  <c r="AB37" i="5"/>
  <c r="BV36" i="5"/>
  <c r="T76" i="5"/>
  <c r="CG83" i="5"/>
  <c r="AE83" i="5"/>
  <c r="CG43" i="5"/>
  <c r="AE43" i="5"/>
  <c r="CG44" i="5"/>
  <c r="AE44" i="5"/>
  <c r="CH52" i="5"/>
  <c r="AF52" i="5"/>
  <c r="CH60" i="5"/>
  <c r="AF60" i="5"/>
  <c r="CG72" i="5"/>
  <c r="AE72" i="5"/>
  <c r="AI32" i="5"/>
  <c r="CM32" i="5"/>
  <c r="T63" i="5"/>
  <c r="BV8" i="5"/>
  <c r="P64" i="5"/>
  <c r="P65" i="5"/>
  <c r="CA18" i="5"/>
  <c r="AA18" i="5"/>
  <c r="CG27" i="5"/>
  <c r="AE27" i="5"/>
  <c r="AA26" i="5"/>
  <c r="CG26" i="5" s="1"/>
  <c r="CH67" i="5"/>
  <c r="CH54" i="5"/>
  <c r="AF54" i="5"/>
  <c r="AB46" i="5"/>
  <c r="CH46" i="5" s="1"/>
  <c r="AA73" i="5"/>
  <c r="CG74" i="5"/>
  <c r="AE74" i="5"/>
  <c r="CG68" i="5"/>
  <c r="AE68" i="5"/>
  <c r="AA67" i="5"/>
  <c r="CH82" i="5"/>
  <c r="AF82" i="5"/>
  <c r="CH85" i="5"/>
  <c r="AF85" i="5"/>
  <c r="CN87" i="5"/>
  <c r="AJ87" i="5"/>
  <c r="CT88" i="5"/>
  <c r="AN88" i="5"/>
  <c r="CG86" i="5"/>
  <c r="AE86" i="5"/>
  <c r="CS88" i="5"/>
  <c r="AM88" i="5"/>
  <c r="CT90" i="5"/>
  <c r="AN90" i="5"/>
  <c r="CT96" i="5"/>
  <c r="AN96" i="5"/>
  <c r="CG111" i="5"/>
  <c r="AE111" i="5"/>
  <c r="AK17" i="5"/>
  <c r="CG28" i="5"/>
  <c r="AE28" i="5"/>
  <c r="AA19" i="5"/>
  <c r="CA19" i="5"/>
  <c r="CH12" i="5"/>
  <c r="AF12" i="5"/>
  <c r="CA15" i="5"/>
  <c r="AA15" i="5"/>
  <c r="CA17" i="5"/>
  <c r="AA17" i="5"/>
  <c r="CA22" i="5"/>
  <c r="AA22" i="5"/>
  <c r="CG30" i="5"/>
  <c r="AE30" i="5"/>
  <c r="CH31" i="5"/>
  <c r="AF31" i="5"/>
  <c r="CH32" i="5"/>
  <c r="AF32" i="5"/>
  <c r="CG33" i="5"/>
  <c r="AE33" i="5"/>
  <c r="CG35" i="5"/>
  <c r="AE35" i="5"/>
  <c r="CG41" i="5"/>
  <c r="AE41" i="5"/>
  <c r="CH42" i="5"/>
  <c r="AF42" i="5"/>
  <c r="CK46" i="5"/>
  <c r="CQ54" i="5"/>
  <c r="CG55" i="5"/>
  <c r="AE55" i="5"/>
  <c r="CH19" i="5"/>
  <c r="AF19" i="5"/>
  <c r="CG24" i="5"/>
  <c r="AE24" i="5"/>
  <c r="CN28" i="5"/>
  <c r="AJ28" i="5"/>
  <c r="CH29" i="5"/>
  <c r="AF29" i="5"/>
  <c r="CG31" i="5"/>
  <c r="AE31" i="5"/>
  <c r="CH33" i="5"/>
  <c r="AF33" i="5"/>
  <c r="BP76" i="5"/>
  <c r="P66" i="5"/>
  <c r="CH69" i="5"/>
  <c r="AF69" i="5"/>
  <c r="BU36" i="5"/>
  <c r="CG29" i="5"/>
  <c r="AE29" i="5"/>
  <c r="CH39" i="5"/>
  <c r="AF39" i="5"/>
  <c r="CG16" i="5"/>
  <c r="AE16" i="5"/>
  <c r="CG23" i="5"/>
  <c r="AE23" i="5"/>
  <c r="CG57" i="5"/>
  <c r="AE57" i="5"/>
  <c r="CG25" i="5"/>
  <c r="AE25" i="5"/>
  <c r="CA20" i="5"/>
  <c r="AA20" i="5"/>
  <c r="CL9" i="5"/>
  <c r="CR10" i="5"/>
  <c r="CH11" i="5"/>
  <c r="AF11" i="5"/>
  <c r="AG10" i="5"/>
  <c r="AK10" i="5" s="1"/>
  <c r="Y9" i="5"/>
  <c r="CG75" i="5"/>
  <c r="AE75" i="5"/>
  <c r="CA87" i="5"/>
  <c r="AA87" i="5"/>
  <c r="CM91" i="5"/>
  <c r="AI91" i="5"/>
  <c r="CN89" i="5"/>
  <c r="AJ89" i="5"/>
  <c r="CT92" i="5"/>
  <c r="AN92" i="5"/>
  <c r="CT94" i="5"/>
  <c r="AN94" i="5"/>
  <c r="CM92" i="5"/>
  <c r="AI92" i="5"/>
  <c r="CM93" i="5"/>
  <c r="AI93" i="5"/>
  <c r="CM94" i="5"/>
  <c r="AI94" i="5"/>
  <c r="CM95" i="5"/>
  <c r="AI95" i="5"/>
  <c r="CM96" i="5"/>
  <c r="AI96" i="5"/>
  <c r="CH111" i="5"/>
  <c r="AF111" i="5"/>
  <c r="BU9" i="5"/>
  <c r="BU65" i="5" s="1"/>
  <c r="S8" i="5"/>
  <c r="CH34" i="5"/>
  <c r="AF34" i="5"/>
  <c r="CG39" i="5"/>
  <c r="AE39" i="5"/>
  <c r="CG42" i="5"/>
  <c r="AE42" i="5"/>
  <c r="CF70" i="5"/>
  <c r="CL71" i="5"/>
  <c r="CB80" i="5"/>
  <c r="CA73" i="5"/>
  <c r="AO17" i="5"/>
  <c r="E17" i="5" s="1"/>
  <c r="BS63" i="5"/>
  <c r="O76" i="5"/>
  <c r="AQ74" i="9" l="1"/>
  <c r="AQ75" i="9" s="1"/>
  <c r="CR87" i="11"/>
  <c r="CR77" i="11" s="1"/>
  <c r="CG80" i="5"/>
  <c r="BY63" i="5"/>
  <c r="CG73" i="5"/>
  <c r="DV24" i="5"/>
  <c r="BA24" i="5"/>
  <c r="AQ74" i="10"/>
  <c r="AQ75" i="10" s="1"/>
  <c r="CT94" i="11"/>
  <c r="AJ91" i="11"/>
  <c r="CT91" i="11" s="1"/>
  <c r="AN94" i="11"/>
  <c r="CF76" i="5"/>
  <c r="CF66" i="5" s="1"/>
  <c r="AF77" i="11"/>
  <c r="DL115" i="8"/>
  <c r="BH115" i="8"/>
  <c r="E28" i="5"/>
  <c r="BA28" i="5" s="1"/>
  <c r="AQ74" i="8"/>
  <c r="AQ75" i="8" s="1"/>
  <c r="AQ87" i="10"/>
  <c r="AL112" i="1"/>
  <c r="CP112" i="1"/>
  <c r="CO112" i="1"/>
  <c r="AK112" i="1"/>
  <c r="CV109" i="1"/>
  <c r="AP109" i="1"/>
  <c r="AS109" i="1"/>
  <c r="DA109" i="1"/>
  <c r="DG111" i="1"/>
  <c r="AW111" i="1"/>
  <c r="DM111" i="1" s="1"/>
  <c r="DA110" i="1"/>
  <c r="AS110" i="1"/>
  <c r="DL116" i="8"/>
  <c r="BH116" i="8"/>
  <c r="CV111" i="1"/>
  <c r="AP111" i="1"/>
  <c r="CV110" i="1"/>
  <c r="AP110" i="1"/>
  <c r="AA115" i="8"/>
  <c r="AA116" i="8"/>
  <c r="CX94" i="11"/>
  <c r="CR91" i="11"/>
  <c r="CS94" i="11"/>
  <c r="AM94" i="11"/>
  <c r="AI91" i="11"/>
  <c r="CS91" i="11" s="1"/>
  <c r="CW94" i="11"/>
  <c r="CQ91" i="11"/>
  <c r="AQ87" i="9"/>
  <c r="AQ77" i="9" s="1"/>
  <c r="AQ76" i="9"/>
  <c r="AQ77" i="10"/>
  <c r="CA114" i="1"/>
  <c r="R114" i="11"/>
  <c r="Q114" i="11"/>
  <c r="K114" i="8"/>
  <c r="AO114" i="8" s="1"/>
  <c r="T114" i="1"/>
  <c r="S114" i="1"/>
  <c r="BY114" i="11"/>
  <c r="BW118" i="11"/>
  <c r="BY118" i="11" s="1"/>
  <c r="CE12" i="11"/>
  <c r="BY75" i="11"/>
  <c r="BY76" i="11"/>
  <c r="CD114" i="11"/>
  <c r="CC114" i="11"/>
  <c r="CB114" i="1"/>
  <c r="BX118" i="11"/>
  <c r="BZ118" i="11" s="1"/>
  <c r="BZ114" i="11"/>
  <c r="CF12" i="11"/>
  <c r="BZ75" i="11"/>
  <c r="BZ76" i="11"/>
  <c r="DE29" i="11"/>
  <c r="AU29" i="11"/>
  <c r="DK29" i="11" s="1"/>
  <c r="DF30" i="11"/>
  <c r="AV30" i="11"/>
  <c r="DL30" i="11" s="1"/>
  <c r="DF31" i="11"/>
  <c r="AV31" i="11"/>
  <c r="DL31" i="11" s="1"/>
  <c r="DF32" i="11"/>
  <c r="AV32" i="11"/>
  <c r="DL32" i="11" s="1"/>
  <c r="DF33" i="11"/>
  <c r="AV33" i="11"/>
  <c r="DL33" i="11" s="1"/>
  <c r="DF34" i="11"/>
  <c r="AV34" i="11"/>
  <c r="DL34" i="11" s="1"/>
  <c r="DF35" i="11"/>
  <c r="AV35" i="11"/>
  <c r="DL35" i="11" s="1"/>
  <c r="DF36" i="11"/>
  <c r="AV36" i="11"/>
  <c r="DL36" i="11" s="1"/>
  <c r="CY78" i="11"/>
  <c r="DE55" i="11"/>
  <c r="AU55" i="11"/>
  <c r="AQ47" i="11"/>
  <c r="DE47" i="11" s="1"/>
  <c r="CX9" i="11"/>
  <c r="CX74" i="11" s="1"/>
  <c r="DE93" i="11"/>
  <c r="AU93" i="11"/>
  <c r="DK93" i="11" s="1"/>
  <c r="DE95" i="11"/>
  <c r="AU95" i="11"/>
  <c r="DK95" i="11" s="1"/>
  <c r="DE96" i="11"/>
  <c r="AU96" i="11"/>
  <c r="DK96" i="11" s="1"/>
  <c r="DE97" i="11"/>
  <c r="AU97" i="11"/>
  <c r="DK97" i="11" s="1"/>
  <c r="DE98" i="11"/>
  <c r="AU98" i="11"/>
  <c r="DK98" i="11" s="1"/>
  <c r="DE99" i="11"/>
  <c r="AU99" i="11"/>
  <c r="DK99" i="11" s="1"/>
  <c r="DE100" i="11"/>
  <c r="AU100" i="11"/>
  <c r="DK100" i="11" s="1"/>
  <c r="DF95" i="11"/>
  <c r="AV95" i="11"/>
  <c r="DL95" i="11" s="1"/>
  <c r="DF96" i="11"/>
  <c r="AV96" i="11"/>
  <c r="DL96" i="11" s="1"/>
  <c r="DF97" i="11"/>
  <c r="AV97" i="11"/>
  <c r="DL97" i="11" s="1"/>
  <c r="DF98" i="11"/>
  <c r="AV98" i="11"/>
  <c r="DL98" i="11" s="1"/>
  <c r="DF99" i="11"/>
  <c r="AV99" i="11"/>
  <c r="DL99" i="11" s="1"/>
  <c r="DF100" i="11"/>
  <c r="AV100" i="11"/>
  <c r="DL100" i="11" s="1"/>
  <c r="DF56" i="11"/>
  <c r="AV56" i="11"/>
  <c r="DL56" i="11" s="1"/>
  <c r="DF58" i="11"/>
  <c r="AV58" i="11"/>
  <c r="DL58" i="11" s="1"/>
  <c r="DF61" i="11"/>
  <c r="AV61" i="11"/>
  <c r="DL61" i="11" s="1"/>
  <c r="DF80" i="11"/>
  <c r="AV80" i="11"/>
  <c r="DL80" i="11" s="1"/>
  <c r="DF83" i="11"/>
  <c r="AV83" i="11"/>
  <c r="DL83" i="11" s="1"/>
  <c r="DE80" i="11"/>
  <c r="AU80" i="11"/>
  <c r="DK80" i="11" s="1"/>
  <c r="CY38" i="11"/>
  <c r="AM37" i="11"/>
  <c r="CY37" i="11" s="1"/>
  <c r="AE75" i="11"/>
  <c r="AE76" i="11"/>
  <c r="DF82" i="11"/>
  <c r="AV82" i="11"/>
  <c r="AR81" i="11"/>
  <c r="DF81" i="11" s="1"/>
  <c r="DE92" i="11"/>
  <c r="AU92" i="11"/>
  <c r="DF93" i="11"/>
  <c r="AV93" i="11"/>
  <c r="DL93" i="11" s="1"/>
  <c r="CZ101" i="11"/>
  <c r="AR101" i="11"/>
  <c r="DF12" i="11"/>
  <c r="AV12" i="11"/>
  <c r="DL12" i="11" s="1"/>
  <c r="DF13" i="11"/>
  <c r="AV13" i="11"/>
  <c r="DL13" i="11" s="1"/>
  <c r="DF14" i="11"/>
  <c r="AV14" i="11"/>
  <c r="DL14" i="11" s="1"/>
  <c r="DF17" i="11"/>
  <c r="AV17" i="11"/>
  <c r="DL17" i="11" s="1"/>
  <c r="DF18" i="11"/>
  <c r="AV18" i="11"/>
  <c r="DL18" i="11" s="1"/>
  <c r="DF19" i="11"/>
  <c r="AV19" i="11"/>
  <c r="DL19" i="11" s="1"/>
  <c r="DF20" i="11"/>
  <c r="AV20" i="11"/>
  <c r="DL20" i="11" s="1"/>
  <c r="DF21" i="11"/>
  <c r="AV21" i="11"/>
  <c r="DL21" i="11" s="1"/>
  <c r="DF22" i="11"/>
  <c r="AV22" i="11"/>
  <c r="DL22" i="11" s="1"/>
  <c r="DF23" i="11"/>
  <c r="AV23" i="11"/>
  <c r="DL23" i="11" s="1"/>
  <c r="DF24" i="11"/>
  <c r="AV24" i="11"/>
  <c r="DL24" i="11" s="1"/>
  <c r="DF25" i="11"/>
  <c r="AV25" i="11"/>
  <c r="DL25" i="11" s="1"/>
  <c r="DF26" i="11"/>
  <c r="AV26" i="11"/>
  <c r="DL26" i="11" s="1"/>
  <c r="DE12" i="11"/>
  <c r="AU12" i="11"/>
  <c r="DK12" i="11" s="1"/>
  <c r="DE13" i="11"/>
  <c r="AU13" i="11"/>
  <c r="DK13" i="11" s="1"/>
  <c r="DE14" i="11"/>
  <c r="AU14" i="11"/>
  <c r="DK14" i="11" s="1"/>
  <c r="DE17" i="11"/>
  <c r="AU17" i="11"/>
  <c r="DK17" i="11" s="1"/>
  <c r="DE18" i="11"/>
  <c r="AU18" i="11"/>
  <c r="DK18" i="11" s="1"/>
  <c r="DE19" i="11"/>
  <c r="AU19" i="11"/>
  <c r="DK19" i="11" s="1"/>
  <c r="DE20" i="11"/>
  <c r="AU20" i="11"/>
  <c r="DK20" i="11" s="1"/>
  <c r="DE21" i="11"/>
  <c r="AU21" i="11"/>
  <c r="DK21" i="11" s="1"/>
  <c r="DE22" i="11"/>
  <c r="AU22" i="11"/>
  <c r="DK22" i="11" s="1"/>
  <c r="DE23" i="11"/>
  <c r="AU23" i="11"/>
  <c r="DK23" i="11" s="1"/>
  <c r="DE24" i="11"/>
  <c r="AU24" i="11"/>
  <c r="DK24" i="11" s="1"/>
  <c r="DE25" i="11"/>
  <c r="AU25" i="11"/>
  <c r="DK25" i="11" s="1"/>
  <c r="DE26" i="11"/>
  <c r="AU26" i="11"/>
  <c r="DK26" i="11" s="1"/>
  <c r="CY10" i="11"/>
  <c r="AM9" i="11"/>
  <c r="DF11" i="11"/>
  <c r="AV11" i="11"/>
  <c r="AR10" i="11"/>
  <c r="AU15" i="11"/>
  <c r="DK15" i="11" s="1"/>
  <c r="DE15" i="11"/>
  <c r="AU16" i="11"/>
  <c r="DK16" i="11" s="1"/>
  <c r="DE16" i="11"/>
  <c r="DD86" i="11"/>
  <c r="DE101" i="11"/>
  <c r="AU101" i="11"/>
  <c r="DK101" i="11" s="1"/>
  <c r="DF79" i="11"/>
  <c r="AV79" i="11"/>
  <c r="AR78" i="11"/>
  <c r="DF40" i="11"/>
  <c r="AV40" i="11"/>
  <c r="DL40" i="11" s="1"/>
  <c r="DF42" i="11"/>
  <c r="AV42" i="11"/>
  <c r="DL42" i="11" s="1"/>
  <c r="DF43" i="11"/>
  <c r="AV43" i="11"/>
  <c r="DL43" i="11" s="1"/>
  <c r="DF44" i="11"/>
  <c r="AV44" i="11"/>
  <c r="DL44" i="11" s="1"/>
  <c r="DF45" i="11"/>
  <c r="AV45" i="11"/>
  <c r="DL45" i="11" s="1"/>
  <c r="DF53" i="11"/>
  <c r="AV53" i="11"/>
  <c r="DL53" i="11" s="1"/>
  <c r="DE30" i="11"/>
  <c r="AU30" i="11"/>
  <c r="DK30" i="11" s="1"/>
  <c r="DE31" i="11"/>
  <c r="AU31" i="11"/>
  <c r="DK31" i="11" s="1"/>
  <c r="DE32" i="11"/>
  <c r="AU32" i="11"/>
  <c r="DK32" i="11" s="1"/>
  <c r="DE33" i="11"/>
  <c r="AU33" i="11"/>
  <c r="DK33" i="11" s="1"/>
  <c r="DE34" i="11"/>
  <c r="AU34" i="11"/>
  <c r="DK34" i="11" s="1"/>
  <c r="DE35" i="11"/>
  <c r="AU35" i="11"/>
  <c r="DK35" i="11" s="1"/>
  <c r="DE36" i="11"/>
  <c r="AU36" i="11"/>
  <c r="DK36" i="11" s="1"/>
  <c r="DI11" i="11"/>
  <c r="DI10" i="11" s="1"/>
  <c r="DC10" i="11"/>
  <c r="DF39" i="11"/>
  <c r="AV39" i="11"/>
  <c r="AR38" i="11"/>
  <c r="DE28" i="11"/>
  <c r="AU28" i="11"/>
  <c r="AQ27" i="11"/>
  <c r="DE27" i="11" s="1"/>
  <c r="AI74" i="11"/>
  <c r="CS9" i="11"/>
  <c r="CX84" i="11"/>
  <c r="CQ87" i="11"/>
  <c r="CQ77" i="11" s="1"/>
  <c r="AJ74" i="11"/>
  <c r="CT9" i="11"/>
  <c r="DE79" i="11"/>
  <c r="AU79" i="11"/>
  <c r="AQ78" i="11"/>
  <c r="DJ92" i="11"/>
  <c r="DI79" i="11"/>
  <c r="DI78" i="11" s="1"/>
  <c r="DC78" i="11"/>
  <c r="DI39" i="11"/>
  <c r="DI38" i="11" s="1"/>
  <c r="DI37" i="11" s="1"/>
  <c r="DC38" i="11"/>
  <c r="DC37" i="11" s="1"/>
  <c r="DJ11" i="11"/>
  <c r="DJ10" i="11" s="1"/>
  <c r="DD10" i="11"/>
  <c r="DJ79" i="11"/>
  <c r="DJ78" i="11" s="1"/>
  <c r="DD78" i="11"/>
  <c r="DJ82" i="11"/>
  <c r="DJ81" i="11" s="1"/>
  <c r="DD81" i="11"/>
  <c r="DE39" i="11"/>
  <c r="AU39" i="11"/>
  <c r="AQ38" i="11"/>
  <c r="DF28" i="11"/>
  <c r="AV28" i="11"/>
  <c r="AR27" i="11"/>
  <c r="DF27" i="11" s="1"/>
  <c r="DJ39" i="11"/>
  <c r="DJ38" i="11" s="1"/>
  <c r="DJ37" i="11" s="1"/>
  <c r="DD38" i="11"/>
  <c r="DD37" i="11" s="1"/>
  <c r="DE11" i="11"/>
  <c r="AU11" i="11"/>
  <c r="AQ10" i="11"/>
  <c r="CM87" i="11"/>
  <c r="AE77" i="11"/>
  <c r="CZ10" i="11"/>
  <c r="AN9" i="11"/>
  <c r="DF85" i="11"/>
  <c r="AV85" i="11"/>
  <c r="DF29" i="11"/>
  <c r="AV29" i="11"/>
  <c r="DL29" i="11" s="1"/>
  <c r="DE40" i="11"/>
  <c r="AU40" i="11"/>
  <c r="DK40" i="11" s="1"/>
  <c r="DE42" i="11"/>
  <c r="AU42" i="11"/>
  <c r="DK42" i="11" s="1"/>
  <c r="DE43" i="11"/>
  <c r="AU43" i="11"/>
  <c r="DK43" i="11" s="1"/>
  <c r="DE44" i="11"/>
  <c r="AU44" i="11"/>
  <c r="DK44" i="11" s="1"/>
  <c r="DE45" i="11"/>
  <c r="AU45" i="11"/>
  <c r="DK45" i="11" s="1"/>
  <c r="DE53" i="11"/>
  <c r="AU53" i="11"/>
  <c r="DK53" i="11" s="1"/>
  <c r="DE56" i="11"/>
  <c r="AU56" i="11"/>
  <c r="DK56" i="11" s="1"/>
  <c r="DE58" i="11"/>
  <c r="AU58" i="11"/>
  <c r="DK58" i="11" s="1"/>
  <c r="DE61" i="11"/>
  <c r="AU61" i="11"/>
  <c r="DK61" i="11" s="1"/>
  <c r="CZ78" i="11"/>
  <c r="DJ28" i="11"/>
  <c r="DJ27" i="11" s="1"/>
  <c r="DD27" i="11"/>
  <c r="DI28" i="11"/>
  <c r="DI27" i="11" s="1"/>
  <c r="DC27" i="11"/>
  <c r="AF75" i="11"/>
  <c r="AF76" i="11"/>
  <c r="DE85" i="11"/>
  <c r="AU85" i="11"/>
  <c r="CY86" i="11"/>
  <c r="AQ86" i="11"/>
  <c r="AQ84" i="11" s="1"/>
  <c r="DE84" i="11" s="1"/>
  <c r="DE82" i="11"/>
  <c r="AU82" i="11"/>
  <c r="AQ81" i="11"/>
  <c r="DE81" i="11" s="1"/>
  <c r="CZ86" i="11"/>
  <c r="AR86" i="11"/>
  <c r="DF55" i="11"/>
  <c r="AV55" i="11"/>
  <c r="AR47" i="11"/>
  <c r="DF47" i="11" s="1"/>
  <c r="CW9" i="11"/>
  <c r="CW74" i="11" s="1"/>
  <c r="CZ38" i="11"/>
  <c r="AN37" i="11"/>
  <c r="CZ37" i="11" s="1"/>
  <c r="DI92" i="11"/>
  <c r="DF92" i="11"/>
  <c r="AV92" i="11"/>
  <c r="DI85" i="11"/>
  <c r="DJ85" i="11"/>
  <c r="DD84" i="11"/>
  <c r="DI82" i="11"/>
  <c r="DI81" i="11" s="1"/>
  <c r="DC81" i="11"/>
  <c r="DE83" i="11"/>
  <c r="AU83" i="11"/>
  <c r="DK83" i="11" s="1"/>
  <c r="DC86" i="11"/>
  <c r="DF108" i="11"/>
  <c r="AV108" i="11"/>
  <c r="DL108" i="11" s="1"/>
  <c r="AI87" i="11"/>
  <c r="CS87" i="11" s="1"/>
  <c r="AJ87" i="11"/>
  <c r="CT87" i="11" s="1"/>
  <c r="CE114" i="1"/>
  <c r="CF114" i="1"/>
  <c r="AN75" i="10"/>
  <c r="AN76" i="10"/>
  <c r="AU82" i="10"/>
  <c r="S82" i="10"/>
  <c r="Q81" i="10"/>
  <c r="AU81" i="10" s="1"/>
  <c r="AU79" i="10"/>
  <c r="S79" i="10"/>
  <c r="Q78" i="10"/>
  <c r="K75" i="10"/>
  <c r="K76" i="10"/>
  <c r="AU86" i="10"/>
  <c r="S86" i="10"/>
  <c r="AU85" i="10"/>
  <c r="S85" i="10"/>
  <c r="Q84" i="10"/>
  <c r="AU84" i="10" s="1"/>
  <c r="AU35" i="10"/>
  <c r="S35" i="10"/>
  <c r="AU33" i="10"/>
  <c r="S33" i="10"/>
  <c r="AU31" i="10"/>
  <c r="S31" i="10"/>
  <c r="AU29" i="10"/>
  <c r="S29" i="10"/>
  <c r="AU26" i="10"/>
  <c r="S26" i="10"/>
  <c r="AU24" i="10"/>
  <c r="S24" i="10"/>
  <c r="AU22" i="10"/>
  <c r="S22" i="10"/>
  <c r="AU20" i="10"/>
  <c r="S20" i="10"/>
  <c r="AU18" i="10"/>
  <c r="S18" i="10"/>
  <c r="AU16" i="10"/>
  <c r="S16" i="10"/>
  <c r="AU14" i="10"/>
  <c r="S14" i="10"/>
  <c r="AU12" i="10"/>
  <c r="S12" i="10"/>
  <c r="AX112" i="10"/>
  <c r="U112" i="10"/>
  <c r="AX110" i="10"/>
  <c r="U110" i="10"/>
  <c r="AX108" i="10"/>
  <c r="U108" i="10"/>
  <c r="AX105" i="10"/>
  <c r="U105" i="10"/>
  <c r="AX104" i="10"/>
  <c r="U104" i="10"/>
  <c r="AX103" i="10"/>
  <c r="U103" i="10"/>
  <c r="AX102" i="10"/>
  <c r="U102" i="10"/>
  <c r="AX101" i="10"/>
  <c r="U101" i="10"/>
  <c r="AU96" i="10"/>
  <c r="S96" i="10"/>
  <c r="AU95" i="10"/>
  <c r="S95" i="10"/>
  <c r="AW86" i="10"/>
  <c r="AW84" i="10" s="1"/>
  <c r="AU83" i="10"/>
  <c r="S83" i="10"/>
  <c r="AU28" i="10"/>
  <c r="S28" i="10"/>
  <c r="Q27" i="10"/>
  <c r="AU27" i="10" s="1"/>
  <c r="AT9" i="10"/>
  <c r="AU80" i="10"/>
  <c r="S80" i="10"/>
  <c r="AU11" i="10"/>
  <c r="S11" i="10"/>
  <c r="Q10" i="10"/>
  <c r="AO37" i="10"/>
  <c r="M87" i="10"/>
  <c r="AU45" i="10"/>
  <c r="S45" i="10"/>
  <c r="AU44" i="10"/>
  <c r="S44" i="10"/>
  <c r="AU43" i="10"/>
  <c r="S43" i="10"/>
  <c r="AU42" i="10"/>
  <c r="S42" i="10"/>
  <c r="AS114" i="10"/>
  <c r="AT114" i="10" s="1"/>
  <c r="AU114" i="10"/>
  <c r="R114" i="10"/>
  <c r="S114" i="10" s="1"/>
  <c r="AU25" i="10"/>
  <c r="S25" i="10"/>
  <c r="AU23" i="10"/>
  <c r="S23" i="10"/>
  <c r="AU21" i="10"/>
  <c r="S21" i="10"/>
  <c r="AU19" i="10"/>
  <c r="S19" i="10"/>
  <c r="AU17" i="10"/>
  <c r="S17" i="10"/>
  <c r="AU15" i="10"/>
  <c r="S15" i="10"/>
  <c r="AU13" i="10"/>
  <c r="S13" i="10"/>
  <c r="AU61" i="10"/>
  <c r="S61" i="10"/>
  <c r="AU58" i="10"/>
  <c r="S58" i="10"/>
  <c r="AU53" i="10"/>
  <c r="S53" i="10"/>
  <c r="AU40" i="10"/>
  <c r="S40" i="10"/>
  <c r="AL87" i="10"/>
  <c r="K77" i="10"/>
  <c r="AU92" i="10"/>
  <c r="S92" i="10"/>
  <c r="Q91" i="10"/>
  <c r="AU91" i="10" s="1"/>
  <c r="AU56" i="10"/>
  <c r="S56" i="10"/>
  <c r="AR38" i="10"/>
  <c r="O37" i="10"/>
  <c r="AZ92" i="10"/>
  <c r="AW91" i="10"/>
  <c r="AT84" i="10"/>
  <c r="AT37" i="10"/>
  <c r="AT87" i="10" s="1"/>
  <c r="AQ76" i="10"/>
  <c r="AU36" i="10"/>
  <c r="S36" i="10"/>
  <c r="AU34" i="10"/>
  <c r="S34" i="10"/>
  <c r="AU32" i="10"/>
  <c r="S32" i="10"/>
  <c r="AU30" i="10"/>
  <c r="S30" i="10"/>
  <c r="AU128" i="10"/>
  <c r="AX111" i="10"/>
  <c r="U111" i="10"/>
  <c r="AX109" i="10"/>
  <c r="U109" i="10"/>
  <c r="AX107" i="10"/>
  <c r="U107" i="10"/>
  <c r="AX106" i="10"/>
  <c r="U106" i="10"/>
  <c r="AU100" i="10"/>
  <c r="S100" i="10"/>
  <c r="AU99" i="10"/>
  <c r="S99" i="10"/>
  <c r="AU98" i="10"/>
  <c r="S98" i="10"/>
  <c r="AU97" i="10"/>
  <c r="S97" i="10"/>
  <c r="AU93" i="10"/>
  <c r="S93" i="10"/>
  <c r="AR78" i="10"/>
  <c r="AU55" i="10"/>
  <c r="S55" i="10"/>
  <c r="Q47" i="10"/>
  <c r="AU47" i="10" s="1"/>
  <c r="AZ11" i="10"/>
  <c r="AW10" i="10"/>
  <c r="BB8" i="10"/>
  <c r="BC8" i="10" s="1"/>
  <c r="BA8" i="10"/>
  <c r="AZ28" i="10"/>
  <c r="AW27" i="10"/>
  <c r="AR10" i="10"/>
  <c r="O9" i="10"/>
  <c r="AZ85" i="10"/>
  <c r="AZ82" i="10"/>
  <c r="AW81" i="10"/>
  <c r="AZ79" i="10"/>
  <c r="AW78" i="10"/>
  <c r="AZ55" i="10"/>
  <c r="AW47" i="10"/>
  <c r="AZ39" i="10"/>
  <c r="AW38" i="10"/>
  <c r="AU94" i="10"/>
  <c r="S94" i="10"/>
  <c r="M74" i="10"/>
  <c r="AO9" i="10"/>
  <c r="AU39" i="10"/>
  <c r="S39" i="10"/>
  <c r="Q38" i="10"/>
  <c r="AU79" i="9"/>
  <c r="S79" i="9"/>
  <c r="Q78" i="9"/>
  <c r="AX112" i="9"/>
  <c r="U112" i="9"/>
  <c r="AX110" i="9"/>
  <c r="U110" i="9"/>
  <c r="AX108" i="9"/>
  <c r="U108" i="9"/>
  <c r="AX105" i="9"/>
  <c r="U105" i="9"/>
  <c r="AX104" i="9"/>
  <c r="U104" i="9"/>
  <c r="AX103" i="9"/>
  <c r="U103" i="9"/>
  <c r="AX102" i="9"/>
  <c r="U102" i="9"/>
  <c r="AX101" i="9"/>
  <c r="U101" i="9"/>
  <c r="AU96" i="9"/>
  <c r="S96" i="9"/>
  <c r="AU95" i="9"/>
  <c r="S95" i="9"/>
  <c r="AW86" i="9"/>
  <c r="AW84" i="9" s="1"/>
  <c r="AU83" i="9"/>
  <c r="S83" i="9"/>
  <c r="AU28" i="9"/>
  <c r="S28" i="9"/>
  <c r="Q27" i="9"/>
  <c r="AU27" i="9" s="1"/>
  <c r="AT9" i="9"/>
  <c r="AU61" i="9"/>
  <c r="S61" i="9"/>
  <c r="AU58" i="9"/>
  <c r="S58" i="9"/>
  <c r="AU53" i="9"/>
  <c r="S53" i="9"/>
  <c r="AU40" i="9"/>
  <c r="S40" i="9"/>
  <c r="AL87" i="9"/>
  <c r="K77" i="9"/>
  <c r="AU11" i="9"/>
  <c r="S11" i="9"/>
  <c r="Q10" i="9"/>
  <c r="AU94" i="9"/>
  <c r="S94" i="9"/>
  <c r="AX16" i="9"/>
  <c r="U16" i="9"/>
  <c r="AX15" i="9"/>
  <c r="U15" i="9"/>
  <c r="M74" i="9"/>
  <c r="AO9" i="9"/>
  <c r="AU45" i="9"/>
  <c r="S45" i="9"/>
  <c r="AU44" i="9"/>
  <c r="S44" i="9"/>
  <c r="AU43" i="9"/>
  <c r="S43" i="9"/>
  <c r="AU42" i="9"/>
  <c r="S42" i="9"/>
  <c r="AP118" i="9"/>
  <c r="AQ118" i="9" s="1"/>
  <c r="AS114" i="9"/>
  <c r="AT114" i="9" s="1"/>
  <c r="AU114" i="9"/>
  <c r="R114" i="9"/>
  <c r="S114" i="9" s="1"/>
  <c r="AU55" i="9"/>
  <c r="S55" i="9"/>
  <c r="Q47" i="9"/>
  <c r="AU47" i="9" s="1"/>
  <c r="AU36" i="9"/>
  <c r="S36" i="9"/>
  <c r="AU34" i="9"/>
  <c r="S34" i="9"/>
  <c r="AU32" i="9"/>
  <c r="S32" i="9"/>
  <c r="AU30" i="9"/>
  <c r="S30" i="9"/>
  <c r="AR38" i="9"/>
  <c r="O37" i="9"/>
  <c r="AZ92" i="9"/>
  <c r="AW91" i="9"/>
  <c r="AZ85" i="9"/>
  <c r="AZ82" i="9"/>
  <c r="AW81" i="9"/>
  <c r="AZ79" i="9"/>
  <c r="AW78" i="9"/>
  <c r="AZ55" i="9"/>
  <c r="AW47" i="9"/>
  <c r="AZ39" i="9"/>
  <c r="AW38" i="9"/>
  <c r="AU131" i="9"/>
  <c r="AX111" i="9"/>
  <c r="U111" i="9"/>
  <c r="AX109" i="9"/>
  <c r="U109" i="9"/>
  <c r="AX107" i="9"/>
  <c r="U107" i="9"/>
  <c r="AX106" i="9"/>
  <c r="U106" i="9"/>
  <c r="AU100" i="9"/>
  <c r="S100" i="9"/>
  <c r="AU99" i="9"/>
  <c r="S99" i="9"/>
  <c r="AU98" i="9"/>
  <c r="S98" i="9"/>
  <c r="AU97" i="9"/>
  <c r="S97" i="9"/>
  <c r="AU93" i="9"/>
  <c r="S93" i="9"/>
  <c r="AR78" i="9"/>
  <c r="AZ11" i="9"/>
  <c r="AW10" i="9"/>
  <c r="BB8" i="9"/>
  <c r="BC8" i="9" s="1"/>
  <c r="BA8" i="9"/>
  <c r="AR10" i="9"/>
  <c r="O9" i="9"/>
  <c r="AU92" i="9"/>
  <c r="S92" i="9"/>
  <c r="Q91" i="9"/>
  <c r="AU91" i="9" s="1"/>
  <c r="AU86" i="9"/>
  <c r="S86" i="9"/>
  <c r="AU85" i="9"/>
  <c r="S85" i="9"/>
  <c r="Q84" i="9"/>
  <c r="AU84" i="9" s="1"/>
  <c r="AU35" i="9"/>
  <c r="S35" i="9"/>
  <c r="AU33" i="9"/>
  <c r="S33" i="9"/>
  <c r="AU31" i="9"/>
  <c r="S31" i="9"/>
  <c r="AU29" i="9"/>
  <c r="S29" i="9"/>
  <c r="AU26" i="9"/>
  <c r="S26" i="9"/>
  <c r="AU24" i="9"/>
  <c r="S24" i="9"/>
  <c r="AU22" i="9"/>
  <c r="S22" i="9"/>
  <c r="AU20" i="9"/>
  <c r="S20" i="9"/>
  <c r="AU18" i="9"/>
  <c r="S18" i="9"/>
  <c r="AU14" i="9"/>
  <c r="S14" i="9"/>
  <c r="AU12" i="9"/>
  <c r="S12" i="9"/>
  <c r="AU56" i="9"/>
  <c r="S56" i="9"/>
  <c r="AU80" i="9"/>
  <c r="S80" i="9"/>
  <c r="AZ28" i="9"/>
  <c r="AW27" i="9"/>
  <c r="AO37" i="9"/>
  <c r="M87" i="9"/>
  <c r="K75" i="9"/>
  <c r="K76" i="9"/>
  <c r="AU82" i="9"/>
  <c r="S82" i="9"/>
  <c r="Q81" i="9"/>
  <c r="AU81" i="9" s="1"/>
  <c r="AU39" i="9"/>
  <c r="S39" i="9"/>
  <c r="Q38" i="9"/>
  <c r="AU25" i="9"/>
  <c r="S25" i="9"/>
  <c r="AU23" i="9"/>
  <c r="S23" i="9"/>
  <c r="AU21" i="9"/>
  <c r="S21" i="9"/>
  <c r="AU19" i="9"/>
  <c r="S19" i="9"/>
  <c r="AU17" i="9"/>
  <c r="S17" i="9"/>
  <c r="AU13" i="9"/>
  <c r="S13" i="9"/>
  <c r="AT84" i="9"/>
  <c r="AT37" i="9"/>
  <c r="AT87" i="9" s="1"/>
  <c r="AX112" i="8"/>
  <c r="U112" i="8"/>
  <c r="AX108" i="8"/>
  <c r="U108" i="8"/>
  <c r="AX105" i="8"/>
  <c r="U105" i="8"/>
  <c r="AX102" i="8"/>
  <c r="U102" i="8"/>
  <c r="AU96" i="8"/>
  <c r="S96" i="8"/>
  <c r="AW86" i="8"/>
  <c r="AW84" i="8" s="1"/>
  <c r="AU11" i="8"/>
  <c r="S11" i="8"/>
  <c r="Q10" i="8"/>
  <c r="U16" i="8"/>
  <c r="AX16" i="8"/>
  <c r="AU23" i="8"/>
  <c r="S23" i="8"/>
  <c r="AU20" i="8"/>
  <c r="S20" i="8"/>
  <c r="AU19" i="8"/>
  <c r="S19" i="8"/>
  <c r="AU17" i="8"/>
  <c r="S17" i="8"/>
  <c r="AU13" i="8"/>
  <c r="S13" i="8"/>
  <c r="AU12" i="8"/>
  <c r="S12" i="8"/>
  <c r="AU56" i="8"/>
  <c r="S56" i="8"/>
  <c r="AU28" i="8"/>
  <c r="S28" i="8"/>
  <c r="Q27" i="8"/>
  <c r="AU27" i="8" s="1"/>
  <c r="AN75" i="8"/>
  <c r="AN76" i="8"/>
  <c r="AU39" i="8"/>
  <c r="S39" i="8"/>
  <c r="Q38" i="8"/>
  <c r="M74" i="8"/>
  <c r="AO9" i="8"/>
  <c r="AU55" i="8"/>
  <c r="S55" i="8"/>
  <c r="Q47" i="8"/>
  <c r="AU47" i="8" s="1"/>
  <c r="AT9" i="8"/>
  <c r="AU82" i="8"/>
  <c r="S82" i="8"/>
  <c r="Q81" i="8"/>
  <c r="AU81" i="8" s="1"/>
  <c r="AU58" i="8"/>
  <c r="S58" i="8"/>
  <c r="AU53" i="8"/>
  <c r="S53" i="8"/>
  <c r="AU40" i="8"/>
  <c r="S40" i="8"/>
  <c r="K75" i="8"/>
  <c r="K76" i="8"/>
  <c r="AU97" i="8"/>
  <c r="S97" i="8"/>
  <c r="AO37" i="8"/>
  <c r="M87" i="8"/>
  <c r="AR10" i="8"/>
  <c r="O9" i="8"/>
  <c r="AU92" i="8"/>
  <c r="S92" i="8"/>
  <c r="Q91" i="8"/>
  <c r="AU91" i="8" s="1"/>
  <c r="AU36" i="8"/>
  <c r="S36" i="8"/>
  <c r="AU35" i="8"/>
  <c r="S35" i="8"/>
  <c r="AU34" i="8"/>
  <c r="S34" i="8"/>
  <c r="AU33" i="8"/>
  <c r="S33" i="8"/>
  <c r="AU32" i="8"/>
  <c r="S32" i="8"/>
  <c r="AU31" i="8"/>
  <c r="S31" i="8"/>
  <c r="AU30" i="8"/>
  <c r="S30" i="8"/>
  <c r="AU29" i="8"/>
  <c r="S29" i="8"/>
  <c r="AU45" i="8"/>
  <c r="S45" i="8"/>
  <c r="AU44" i="8"/>
  <c r="S44" i="8"/>
  <c r="AU43" i="8"/>
  <c r="S43" i="8"/>
  <c r="AU42" i="8"/>
  <c r="S42" i="8"/>
  <c r="AU94" i="8"/>
  <c r="S94" i="8"/>
  <c r="AP118" i="8"/>
  <c r="AQ118" i="8" s="1"/>
  <c r="AS114" i="8"/>
  <c r="AT114" i="8" s="1"/>
  <c r="AZ92" i="8"/>
  <c r="AW91" i="8"/>
  <c r="AZ85" i="8"/>
  <c r="AZ82" i="8"/>
  <c r="AW81" i="8"/>
  <c r="AZ79" i="8"/>
  <c r="AW78" i="8"/>
  <c r="AZ55" i="8"/>
  <c r="AW47" i="8"/>
  <c r="AZ39" i="8"/>
  <c r="AW38" i="8"/>
  <c r="AU26" i="8"/>
  <c r="S26" i="8"/>
  <c r="AU25" i="8"/>
  <c r="S25" i="8"/>
  <c r="AR38" i="8"/>
  <c r="O37" i="8"/>
  <c r="AZ11" i="8"/>
  <c r="AW10" i="8"/>
  <c r="AZ28" i="8"/>
  <c r="AW27" i="8"/>
  <c r="BB8" i="8"/>
  <c r="BC8" i="8" s="1"/>
  <c r="BA8" i="8"/>
  <c r="AU79" i="8"/>
  <c r="S79" i="8"/>
  <c r="Q78" i="8"/>
  <c r="AQ87" i="8"/>
  <c r="AQ77" i="8" s="1"/>
  <c r="AQ76" i="8"/>
  <c r="AX110" i="8"/>
  <c r="U110" i="8"/>
  <c r="AX104" i="8"/>
  <c r="U104" i="8"/>
  <c r="AX103" i="8"/>
  <c r="U103" i="8"/>
  <c r="AX101" i="8"/>
  <c r="U101" i="8"/>
  <c r="AU95" i="8"/>
  <c r="S95" i="8"/>
  <c r="AU83" i="8"/>
  <c r="S83" i="8"/>
  <c r="U15" i="8"/>
  <c r="AX15" i="8"/>
  <c r="AU86" i="8"/>
  <c r="S86" i="8"/>
  <c r="AU85" i="8"/>
  <c r="S85" i="8"/>
  <c r="Q84" i="8"/>
  <c r="AU84" i="8" s="1"/>
  <c r="AU24" i="8"/>
  <c r="S24" i="8"/>
  <c r="AU22" i="8"/>
  <c r="S22" i="8"/>
  <c r="AU21" i="8"/>
  <c r="S21" i="8"/>
  <c r="AU18" i="8"/>
  <c r="S18" i="8"/>
  <c r="AU14" i="8"/>
  <c r="S14" i="8"/>
  <c r="AU80" i="8"/>
  <c r="S80" i="8"/>
  <c r="AU61" i="8"/>
  <c r="S61" i="8"/>
  <c r="AL87" i="8"/>
  <c r="K77" i="8"/>
  <c r="AU131" i="8"/>
  <c r="AX111" i="8"/>
  <c r="U111" i="8"/>
  <c r="AX109" i="8"/>
  <c r="U109" i="8"/>
  <c r="AX107" i="8"/>
  <c r="U107" i="8"/>
  <c r="AX106" i="8"/>
  <c r="U106" i="8"/>
  <c r="AU100" i="8"/>
  <c r="S100" i="8"/>
  <c r="AU99" i="8"/>
  <c r="S99" i="8"/>
  <c r="AU98" i="8"/>
  <c r="S98" i="8"/>
  <c r="AU93" i="8"/>
  <c r="S93" i="8"/>
  <c r="AR78" i="8"/>
  <c r="AT84" i="8"/>
  <c r="AT37" i="8"/>
  <c r="DU17" i="5"/>
  <c r="BA17" i="5"/>
  <c r="DV17" i="5"/>
  <c r="AK9" i="5"/>
  <c r="BY64" i="5"/>
  <c r="BY65" i="5"/>
  <c r="BS64" i="5"/>
  <c r="BS65" i="5"/>
  <c r="CL70" i="5"/>
  <c r="CR71" i="5"/>
  <c r="CM42" i="5"/>
  <c r="AI42" i="5"/>
  <c r="CM39" i="5"/>
  <c r="AI39" i="5"/>
  <c r="CN34" i="5"/>
  <c r="AJ34" i="5"/>
  <c r="S63" i="5"/>
  <c r="BU8" i="5"/>
  <c r="Y8" i="5"/>
  <c r="CN11" i="5"/>
  <c r="AJ11" i="5"/>
  <c r="CR9" i="5"/>
  <c r="CX10" i="5"/>
  <c r="CG20" i="5"/>
  <c r="AE20" i="5"/>
  <c r="CM25" i="5"/>
  <c r="AI25" i="5"/>
  <c r="CM57" i="5"/>
  <c r="AI57" i="5"/>
  <c r="CM23" i="5"/>
  <c r="AI23" i="5"/>
  <c r="CM16" i="5"/>
  <c r="AI16" i="5"/>
  <c r="CN39" i="5"/>
  <c r="AJ39" i="5"/>
  <c r="CM29" i="5"/>
  <c r="AI29" i="5"/>
  <c r="CN69" i="5"/>
  <c r="AJ69" i="5"/>
  <c r="AJ67" i="5" s="1"/>
  <c r="CN33" i="5"/>
  <c r="AJ33" i="5"/>
  <c r="CM31" i="5"/>
  <c r="AI31" i="5"/>
  <c r="CN29" i="5"/>
  <c r="AJ29" i="5"/>
  <c r="CT28" i="5"/>
  <c r="AN28" i="5"/>
  <c r="CM24" i="5"/>
  <c r="AI24" i="5"/>
  <c r="CN19" i="5"/>
  <c r="AJ19" i="5"/>
  <c r="CM55" i="5"/>
  <c r="AI55" i="5"/>
  <c r="CQ46" i="5"/>
  <c r="CW54" i="5"/>
  <c r="CN42" i="5"/>
  <c r="AJ42" i="5"/>
  <c r="CM41" i="5"/>
  <c r="AI41" i="5"/>
  <c r="CM35" i="5"/>
  <c r="AI35" i="5"/>
  <c r="CM33" i="5"/>
  <c r="AI33" i="5"/>
  <c r="CN32" i="5"/>
  <c r="AJ32" i="5"/>
  <c r="CN31" i="5"/>
  <c r="AJ31" i="5"/>
  <c r="CM30" i="5"/>
  <c r="AI30" i="5"/>
  <c r="CG22" i="5"/>
  <c r="AE22" i="5"/>
  <c r="CG17" i="5"/>
  <c r="AE17" i="5"/>
  <c r="CG15" i="5"/>
  <c r="AE15" i="5"/>
  <c r="CN12" i="5"/>
  <c r="AJ12" i="5"/>
  <c r="CM28" i="5"/>
  <c r="AI28" i="5"/>
  <c r="CM111" i="5"/>
  <c r="AI111" i="5"/>
  <c r="CZ96" i="5"/>
  <c r="AR96" i="5"/>
  <c r="CZ90" i="5"/>
  <c r="AR90" i="5"/>
  <c r="CY88" i="5"/>
  <c r="AQ88" i="5"/>
  <c r="CM86" i="5"/>
  <c r="AI86" i="5"/>
  <c r="CZ88" i="5"/>
  <c r="AR88" i="5"/>
  <c r="CT87" i="5"/>
  <c r="AN87" i="5"/>
  <c r="CN85" i="5"/>
  <c r="AJ85" i="5"/>
  <c r="CN82" i="5"/>
  <c r="AJ82" i="5"/>
  <c r="CG67" i="5"/>
  <c r="CM27" i="5"/>
  <c r="AI27" i="5"/>
  <c r="AE26" i="5"/>
  <c r="CM26" i="5" s="1"/>
  <c r="CG18" i="5"/>
  <c r="AE18" i="5"/>
  <c r="CM72" i="5"/>
  <c r="AI72" i="5"/>
  <c r="CN60" i="5"/>
  <c r="AJ60" i="5"/>
  <c r="CN52" i="5"/>
  <c r="AJ52" i="5"/>
  <c r="CM44" i="5"/>
  <c r="AI44" i="5"/>
  <c r="CM43" i="5"/>
  <c r="AI43" i="5"/>
  <c r="CM83" i="5"/>
  <c r="AI83" i="5"/>
  <c r="BV76" i="5"/>
  <c r="T66" i="5"/>
  <c r="CH37" i="5"/>
  <c r="AB36" i="5"/>
  <c r="AJ38" i="5"/>
  <c r="CN38" i="5"/>
  <c r="AF37" i="5"/>
  <c r="CK38" i="5"/>
  <c r="CM38" i="5" s="1"/>
  <c r="CE37" i="5"/>
  <c r="CE36" i="5" s="1"/>
  <c r="CE76" i="5" s="1"/>
  <c r="CE66" i="5" s="1"/>
  <c r="CX54" i="5"/>
  <c r="CR46" i="5"/>
  <c r="AM69" i="5"/>
  <c r="CS69" i="5"/>
  <c r="CA36" i="5"/>
  <c r="CS89" i="5"/>
  <c r="AM89" i="5"/>
  <c r="CN86" i="5"/>
  <c r="AJ86" i="5"/>
  <c r="CN84" i="5"/>
  <c r="AJ84" i="5"/>
  <c r="CR75" i="5"/>
  <c r="CR73" i="5" s="1"/>
  <c r="CQ75" i="5"/>
  <c r="AM52" i="5"/>
  <c r="CS52" i="5"/>
  <c r="AF9" i="5"/>
  <c r="CN10" i="5"/>
  <c r="AJ10" i="5"/>
  <c r="CH9" i="5"/>
  <c r="CH65" i="5" s="1"/>
  <c r="AB8" i="5"/>
  <c r="CG10" i="5"/>
  <c r="AE10" i="5"/>
  <c r="AA9" i="5"/>
  <c r="CN75" i="5"/>
  <c r="AJ75" i="5"/>
  <c r="AJ22" i="5"/>
  <c r="CN22" i="5"/>
  <c r="AJ17" i="5"/>
  <c r="CN17" i="5"/>
  <c r="CM34" i="5"/>
  <c r="AI34" i="5"/>
  <c r="AN13" i="5"/>
  <c r="CT13" i="5"/>
  <c r="AN41" i="5"/>
  <c r="CT41" i="5"/>
  <c r="DD38" i="5"/>
  <c r="CX37" i="5"/>
  <c r="AR24" i="5"/>
  <c r="CZ24" i="5"/>
  <c r="CN23" i="5"/>
  <c r="AJ23" i="5"/>
  <c r="CG21" i="5"/>
  <c r="AE21" i="5"/>
  <c r="CN18" i="5"/>
  <c r="AJ18" i="5"/>
  <c r="AE14" i="5"/>
  <c r="CG14" i="5"/>
  <c r="CM13" i="5"/>
  <c r="AI13" i="5"/>
  <c r="CM84" i="5"/>
  <c r="AI84" i="5"/>
  <c r="CN81" i="5"/>
  <c r="AJ81" i="5"/>
  <c r="AF80" i="5"/>
  <c r="Q64" i="5"/>
  <c r="Q65" i="5"/>
  <c r="AP64" i="5"/>
  <c r="AP65" i="5"/>
  <c r="CM71" i="5"/>
  <c r="AI71" i="5"/>
  <c r="AE70" i="5"/>
  <c r="CM70" i="5" s="1"/>
  <c r="CM60" i="5"/>
  <c r="AI60" i="5"/>
  <c r="AJ21" i="5"/>
  <c r="CN21" i="5"/>
  <c r="AJ16" i="5"/>
  <c r="CN16" i="5"/>
  <c r="AE37" i="5"/>
  <c r="AI38" i="5"/>
  <c r="AN35" i="5"/>
  <c r="CT35" i="5"/>
  <c r="CW27" i="5"/>
  <c r="CQ26" i="5"/>
  <c r="CX27" i="5"/>
  <c r="CR26" i="5"/>
  <c r="CW10" i="5"/>
  <c r="CQ9" i="5"/>
  <c r="DA7" i="5"/>
  <c r="DC7" i="5" s="1"/>
  <c r="CY7" i="5"/>
  <c r="DB7" i="5"/>
  <c r="DD7" i="5" s="1"/>
  <c r="CZ7" i="5"/>
  <c r="CT30" i="5"/>
  <c r="AN30" i="5"/>
  <c r="CZ25" i="5"/>
  <c r="AR25" i="5"/>
  <c r="AN20" i="5"/>
  <c r="CT20" i="5"/>
  <c r="S76" i="5"/>
  <c r="E14" i="5"/>
  <c r="CF65" i="5"/>
  <c r="AF67" i="5"/>
  <c r="CG38" i="5"/>
  <c r="BO76" i="5"/>
  <c r="O66" i="5"/>
  <c r="CN111" i="5"/>
  <c r="AJ111" i="5"/>
  <c r="CS96" i="5"/>
  <c r="AM96" i="5"/>
  <c r="CS95" i="5"/>
  <c r="AM95" i="5"/>
  <c r="CS94" i="5"/>
  <c r="AM94" i="5"/>
  <c r="CS93" i="5"/>
  <c r="AM93" i="5"/>
  <c r="CS92" i="5"/>
  <c r="AM92" i="5"/>
  <c r="CZ94" i="5"/>
  <c r="AR94" i="5"/>
  <c r="CZ92" i="5"/>
  <c r="AR92" i="5"/>
  <c r="CT89" i="5"/>
  <c r="AN89" i="5"/>
  <c r="CS91" i="5"/>
  <c r="AM91" i="5"/>
  <c r="CG87" i="5"/>
  <c r="AE87" i="5"/>
  <c r="CM75" i="5"/>
  <c r="AI75" i="5"/>
  <c r="AG9" i="5"/>
  <c r="AO10" i="5"/>
  <c r="AO9" i="5" s="1"/>
  <c r="CL8" i="5"/>
  <c r="CL63" i="5" s="1"/>
  <c r="CL64" i="5" s="1"/>
  <c r="CG19" i="5"/>
  <c r="AE19" i="5"/>
  <c r="CM68" i="5"/>
  <c r="AI68" i="5"/>
  <c r="AE67" i="5"/>
  <c r="AE73" i="5"/>
  <c r="CM74" i="5"/>
  <c r="AI74" i="5"/>
  <c r="CN54" i="5"/>
  <c r="AJ54" i="5"/>
  <c r="AF46" i="5"/>
  <c r="CN46" i="5" s="1"/>
  <c r="T64" i="5"/>
  <c r="T65" i="5"/>
  <c r="AM32" i="5"/>
  <c r="CS32" i="5"/>
  <c r="CT44" i="5"/>
  <c r="AN44" i="5"/>
  <c r="BW98" i="5"/>
  <c r="BU98" i="5"/>
  <c r="CM85" i="5"/>
  <c r="AI85" i="5"/>
  <c r="CM82" i="5"/>
  <c r="AI82" i="5"/>
  <c r="CK73" i="5"/>
  <c r="CQ74" i="5"/>
  <c r="CN83" i="5"/>
  <c r="AJ83" i="5"/>
  <c r="CM81" i="5"/>
  <c r="AI81" i="5"/>
  <c r="AE80" i="5"/>
  <c r="AN72" i="5"/>
  <c r="CT72" i="5"/>
  <c r="CR81" i="5"/>
  <c r="CL80" i="5"/>
  <c r="CX74" i="5"/>
  <c r="CW71" i="5"/>
  <c r="CQ70" i="5"/>
  <c r="CW68" i="5"/>
  <c r="CQ67" i="5"/>
  <c r="AR91" i="5"/>
  <c r="CZ91" i="5"/>
  <c r="CQ81" i="5"/>
  <c r="CK80" i="5"/>
  <c r="AN57" i="5"/>
  <c r="CT57" i="5"/>
  <c r="DV19" i="5"/>
  <c r="DU19" i="5"/>
  <c r="BA19" i="5"/>
  <c r="CN74" i="5"/>
  <c r="AJ74" i="5"/>
  <c r="AF73" i="5"/>
  <c r="CN73" i="5" s="1"/>
  <c r="X63" i="5"/>
  <c r="CB8" i="5"/>
  <c r="CA9" i="5"/>
  <c r="CA65" i="5" s="1"/>
  <c r="W8" i="5"/>
  <c r="CG12" i="5"/>
  <c r="AE12" i="5"/>
  <c r="AI11" i="5"/>
  <c r="CM11" i="5"/>
  <c r="U63" i="5"/>
  <c r="U76" i="5"/>
  <c r="U66" i="5" s="1"/>
  <c r="CN55" i="5"/>
  <c r="AJ55" i="5"/>
  <c r="AN68" i="5"/>
  <c r="CT68" i="5"/>
  <c r="O64" i="5"/>
  <c r="O65" i="5"/>
  <c r="BX98" i="5"/>
  <c r="BV98" i="5"/>
  <c r="CB36" i="5"/>
  <c r="X76" i="5"/>
  <c r="CT43" i="5"/>
  <c r="AN43" i="5"/>
  <c r="F63" i="5"/>
  <c r="BB8" i="5"/>
  <c r="F76" i="5"/>
  <c r="CN27" i="5"/>
  <c r="AJ27" i="5"/>
  <c r="AF26" i="5"/>
  <c r="CN26" i="5" s="1"/>
  <c r="AE46" i="5"/>
  <c r="CM46" i="5" s="1"/>
  <c r="CM54" i="5"/>
  <c r="AI54" i="5"/>
  <c r="AA36" i="5"/>
  <c r="CK8" i="5"/>
  <c r="AI90" i="5"/>
  <c r="CM90" i="5"/>
  <c r="AR95" i="5"/>
  <c r="CZ95" i="5"/>
  <c r="AR93" i="5"/>
  <c r="CZ93" i="5"/>
  <c r="AJ71" i="5"/>
  <c r="AF70" i="5"/>
  <c r="CN71" i="5"/>
  <c r="CA37" i="5"/>
  <c r="CR36" i="5"/>
  <c r="CH80" i="5"/>
  <c r="CH70" i="5"/>
  <c r="AW37" i="9" l="1"/>
  <c r="DU28" i="5"/>
  <c r="CG37" i="5"/>
  <c r="AW37" i="8"/>
  <c r="E26" i="5"/>
  <c r="CE63" i="5"/>
  <c r="DV28" i="5"/>
  <c r="CX87" i="11"/>
  <c r="CX77" i="11" s="1"/>
  <c r="AM87" i="11"/>
  <c r="CY87" i="11" s="1"/>
  <c r="CN70" i="5"/>
  <c r="AR94" i="11"/>
  <c r="AN91" i="11"/>
  <c r="CZ91" i="11" s="1"/>
  <c r="CZ94" i="11"/>
  <c r="AW37" i="10"/>
  <c r="AT87" i="8"/>
  <c r="AT77" i="8" s="1"/>
  <c r="AP112" i="1"/>
  <c r="CV112" i="1"/>
  <c r="CU112" i="1"/>
  <c r="AO112" i="1"/>
  <c r="AW109" i="1"/>
  <c r="DM109" i="1" s="1"/>
  <c r="DG109" i="1"/>
  <c r="DG110" i="1"/>
  <c r="AW110" i="1"/>
  <c r="DM110" i="1" s="1"/>
  <c r="AT109" i="1"/>
  <c r="DB109" i="1"/>
  <c r="DB110" i="1"/>
  <c r="AT110" i="1"/>
  <c r="DB111" i="1"/>
  <c r="AT111" i="1"/>
  <c r="DD94" i="11"/>
  <c r="CX91" i="11"/>
  <c r="CY94" i="11"/>
  <c r="AM91" i="11"/>
  <c r="CY91" i="11" s="1"/>
  <c r="AQ94" i="11"/>
  <c r="DC94" i="11"/>
  <c r="CW91" i="11"/>
  <c r="CJ114" i="11"/>
  <c r="CI114" i="11"/>
  <c r="CG114" i="1"/>
  <c r="CF114" i="11"/>
  <c r="CD118" i="11"/>
  <c r="CF118" i="11" s="1"/>
  <c r="U114" i="1"/>
  <c r="S118" i="1"/>
  <c r="L114" i="8"/>
  <c r="R118" i="11"/>
  <c r="T114" i="11"/>
  <c r="BV114" i="11" s="1"/>
  <c r="AT77" i="10"/>
  <c r="CW87" i="11"/>
  <c r="CW77" i="11" s="1"/>
  <c r="CH114" i="1"/>
  <c r="CL12" i="11"/>
  <c r="CF75" i="11"/>
  <c r="CF76" i="11"/>
  <c r="CC118" i="11"/>
  <c r="CE118" i="11" s="1"/>
  <c r="CE114" i="11"/>
  <c r="CK12" i="11"/>
  <c r="CE76" i="11"/>
  <c r="CE75" i="11"/>
  <c r="V114" i="1"/>
  <c r="T118" i="1"/>
  <c r="S114" i="11"/>
  <c r="BU114" i="11" s="1"/>
  <c r="Q118" i="11"/>
  <c r="DI86" i="11"/>
  <c r="DI84" i="11" s="1"/>
  <c r="DL55" i="11"/>
  <c r="AV47" i="11"/>
  <c r="DL47" i="11" s="1"/>
  <c r="DF86" i="11"/>
  <c r="AV86" i="11"/>
  <c r="AV84" i="11" s="1"/>
  <c r="DL84" i="11" s="1"/>
  <c r="DK82" i="11"/>
  <c r="AU81" i="11"/>
  <c r="DK81" i="11" s="1"/>
  <c r="DE86" i="11"/>
  <c r="AU86" i="11"/>
  <c r="DK85" i="11"/>
  <c r="AU84" i="11"/>
  <c r="DK84" i="11" s="1"/>
  <c r="DE10" i="11"/>
  <c r="AQ9" i="11"/>
  <c r="DL28" i="11"/>
  <c r="AV27" i="11"/>
  <c r="DL27" i="11" s="1"/>
  <c r="DE38" i="11"/>
  <c r="AQ37" i="11"/>
  <c r="DE37" i="11" s="1"/>
  <c r="DJ9" i="11"/>
  <c r="DJ74" i="11" s="1"/>
  <c r="DK79" i="11"/>
  <c r="AU78" i="11"/>
  <c r="DL39" i="11"/>
  <c r="AV38" i="11"/>
  <c r="DC9" i="11"/>
  <c r="DC74" i="11" s="1"/>
  <c r="DF78" i="11"/>
  <c r="DL11" i="11"/>
  <c r="AV10" i="11"/>
  <c r="AM74" i="11"/>
  <c r="CY9" i="11"/>
  <c r="DK92" i="11"/>
  <c r="DK55" i="11"/>
  <c r="AU47" i="11"/>
  <c r="DK47" i="11" s="1"/>
  <c r="DC84" i="11"/>
  <c r="AN87" i="11"/>
  <c r="AR84" i="11"/>
  <c r="DF84" i="11" s="1"/>
  <c r="DL92" i="11"/>
  <c r="DL85" i="11"/>
  <c r="AN74" i="11"/>
  <c r="CZ9" i="11"/>
  <c r="DK11" i="11"/>
  <c r="AU10" i="11"/>
  <c r="DK39" i="11"/>
  <c r="AU38" i="11"/>
  <c r="DD9" i="11"/>
  <c r="DD74" i="11" s="1"/>
  <c r="DE78" i="11"/>
  <c r="AJ75" i="11"/>
  <c r="AJ76" i="11"/>
  <c r="AI75" i="11"/>
  <c r="AI76" i="11"/>
  <c r="DK28" i="11"/>
  <c r="AU27" i="11"/>
  <c r="DK27" i="11" s="1"/>
  <c r="DF38" i="11"/>
  <c r="AR37" i="11"/>
  <c r="DF37" i="11" s="1"/>
  <c r="DI9" i="11"/>
  <c r="DI74" i="11" s="1"/>
  <c r="DL79" i="11"/>
  <c r="AV78" i="11"/>
  <c r="DJ86" i="11"/>
  <c r="DF10" i="11"/>
  <c r="AR9" i="11"/>
  <c r="DF101" i="11"/>
  <c r="AV101" i="11"/>
  <c r="DL101" i="11" s="1"/>
  <c r="DL82" i="11"/>
  <c r="AV81" i="11"/>
  <c r="DL81" i="11" s="1"/>
  <c r="AI77" i="11"/>
  <c r="AJ77" i="11"/>
  <c r="CK114" i="1"/>
  <c r="CL114" i="1"/>
  <c r="AU38" i="10"/>
  <c r="Q37" i="10"/>
  <c r="M75" i="10"/>
  <c r="M76" i="10"/>
  <c r="AX94" i="10"/>
  <c r="U94" i="10"/>
  <c r="BC39" i="10"/>
  <c r="AZ38" i="10"/>
  <c r="BC55" i="10"/>
  <c r="AZ47" i="10"/>
  <c r="BC79" i="10"/>
  <c r="AZ78" i="10"/>
  <c r="BC82" i="10"/>
  <c r="AZ81" i="10"/>
  <c r="BC85" i="10"/>
  <c r="O74" i="10"/>
  <c r="AR9" i="10"/>
  <c r="AW9" i="10"/>
  <c r="AW74" i="10" s="1"/>
  <c r="AW75" i="10" s="1"/>
  <c r="AX55" i="10"/>
  <c r="U55" i="10"/>
  <c r="S47" i="10"/>
  <c r="AX47" i="10" s="1"/>
  <c r="AX93" i="10"/>
  <c r="U93" i="10"/>
  <c r="AX97" i="10"/>
  <c r="U97" i="10"/>
  <c r="AX98" i="10"/>
  <c r="U98" i="10"/>
  <c r="AX99" i="10"/>
  <c r="U99" i="10"/>
  <c r="AX100" i="10"/>
  <c r="U100" i="10"/>
  <c r="BA106" i="10"/>
  <c r="W106" i="10"/>
  <c r="BA107" i="10"/>
  <c r="W107" i="10"/>
  <c r="BA109" i="10"/>
  <c r="W109" i="10"/>
  <c r="BA111" i="10"/>
  <c r="W111" i="10"/>
  <c r="AX128" i="10"/>
  <c r="AX30" i="10"/>
  <c r="U30" i="10"/>
  <c r="AX32" i="10"/>
  <c r="U32" i="10"/>
  <c r="AX34" i="10"/>
  <c r="U34" i="10"/>
  <c r="AX36" i="10"/>
  <c r="U36" i="10"/>
  <c r="BC92" i="10"/>
  <c r="AZ91" i="10"/>
  <c r="AX92" i="10"/>
  <c r="U92" i="10"/>
  <c r="S91" i="10"/>
  <c r="AX91" i="10" s="1"/>
  <c r="AX40" i="10"/>
  <c r="U40" i="10"/>
  <c r="AX53" i="10"/>
  <c r="U53" i="10"/>
  <c r="AX58" i="10"/>
  <c r="U58" i="10"/>
  <c r="AX61" i="10"/>
  <c r="U61" i="10"/>
  <c r="AX13" i="10"/>
  <c r="U13" i="10"/>
  <c r="AX15" i="10"/>
  <c r="U15" i="10"/>
  <c r="AX17" i="10"/>
  <c r="U17" i="10"/>
  <c r="AX19" i="10"/>
  <c r="U19" i="10"/>
  <c r="AX21" i="10"/>
  <c r="U21" i="10"/>
  <c r="AX23" i="10"/>
  <c r="U23" i="10"/>
  <c r="AX25" i="10"/>
  <c r="U25" i="10"/>
  <c r="T114" i="10"/>
  <c r="AV114" i="10"/>
  <c r="AW114" i="10" s="1"/>
  <c r="AX42" i="10"/>
  <c r="U42" i="10"/>
  <c r="AX43" i="10"/>
  <c r="U43" i="10"/>
  <c r="AX44" i="10"/>
  <c r="U44" i="10"/>
  <c r="AX45" i="10"/>
  <c r="U45" i="10"/>
  <c r="AO87" i="10"/>
  <c r="M77" i="10"/>
  <c r="AU10" i="10"/>
  <c r="Q9" i="10"/>
  <c r="AX28" i="10"/>
  <c r="U28" i="10"/>
  <c r="S27" i="10"/>
  <c r="AX27" i="10" s="1"/>
  <c r="AX83" i="10"/>
  <c r="U83" i="10"/>
  <c r="AZ86" i="10"/>
  <c r="AX95" i="10"/>
  <c r="U95" i="10"/>
  <c r="AX96" i="10"/>
  <c r="U96" i="10"/>
  <c r="BA101" i="10"/>
  <c r="W101" i="10"/>
  <c r="BA102" i="10"/>
  <c r="W102" i="10"/>
  <c r="BA103" i="10"/>
  <c r="W103" i="10"/>
  <c r="BA104" i="10"/>
  <c r="W104" i="10"/>
  <c r="BA105" i="10"/>
  <c r="W105" i="10"/>
  <c r="BA108" i="10"/>
  <c r="W108" i="10"/>
  <c r="BA110" i="10"/>
  <c r="W110" i="10"/>
  <c r="BA112" i="10"/>
  <c r="W112" i="10"/>
  <c r="AX12" i="10"/>
  <c r="U12" i="10"/>
  <c r="AX14" i="10"/>
  <c r="U14" i="10"/>
  <c r="AX16" i="10"/>
  <c r="U16" i="10"/>
  <c r="AX18" i="10"/>
  <c r="U18" i="10"/>
  <c r="AX20" i="10"/>
  <c r="U20" i="10"/>
  <c r="AX22" i="10"/>
  <c r="U22" i="10"/>
  <c r="AX24" i="10"/>
  <c r="U24" i="10"/>
  <c r="AX26" i="10"/>
  <c r="U26" i="10"/>
  <c r="AX29" i="10"/>
  <c r="U29" i="10"/>
  <c r="AX31" i="10"/>
  <c r="U31" i="10"/>
  <c r="AX33" i="10"/>
  <c r="U33" i="10"/>
  <c r="AX35" i="10"/>
  <c r="U35" i="10"/>
  <c r="AX79" i="10"/>
  <c r="U79" i="10"/>
  <c r="S78" i="10"/>
  <c r="AX39" i="10"/>
  <c r="U39" i="10"/>
  <c r="S38" i="10"/>
  <c r="BC28" i="10"/>
  <c r="AZ27" i="10"/>
  <c r="BE8" i="10"/>
  <c r="BF8" i="10" s="1"/>
  <c r="BD8" i="10"/>
  <c r="BC11" i="10"/>
  <c r="AZ10" i="10"/>
  <c r="AR37" i="10"/>
  <c r="O87" i="10"/>
  <c r="AX56" i="10"/>
  <c r="U56" i="10"/>
  <c r="AX11" i="10"/>
  <c r="U11" i="10"/>
  <c r="S10" i="10"/>
  <c r="AX80" i="10"/>
  <c r="U80" i="10"/>
  <c r="AX85" i="10"/>
  <c r="U85" i="10"/>
  <c r="S84" i="10"/>
  <c r="AX84" i="10" s="1"/>
  <c r="AX86" i="10"/>
  <c r="U86" i="10"/>
  <c r="AU78" i="10"/>
  <c r="AX82" i="10"/>
  <c r="U82" i="10"/>
  <c r="S81" i="10"/>
  <c r="AX81" i="10" s="1"/>
  <c r="AT74" i="10"/>
  <c r="AT77" i="9"/>
  <c r="AX39" i="9"/>
  <c r="U39" i="9"/>
  <c r="S38" i="9"/>
  <c r="AX80" i="9"/>
  <c r="U80" i="9"/>
  <c r="AX56" i="9"/>
  <c r="U56" i="9"/>
  <c r="AX12" i="9"/>
  <c r="U12" i="9"/>
  <c r="AX14" i="9"/>
  <c r="U14" i="9"/>
  <c r="AX18" i="9"/>
  <c r="U18" i="9"/>
  <c r="AX20" i="9"/>
  <c r="U20" i="9"/>
  <c r="AX22" i="9"/>
  <c r="U22" i="9"/>
  <c r="AX24" i="9"/>
  <c r="U24" i="9"/>
  <c r="AX26" i="9"/>
  <c r="U26" i="9"/>
  <c r="AX29" i="9"/>
  <c r="U29" i="9"/>
  <c r="AX31" i="9"/>
  <c r="U31" i="9"/>
  <c r="AX33" i="9"/>
  <c r="U33" i="9"/>
  <c r="AX35" i="9"/>
  <c r="U35" i="9"/>
  <c r="AX92" i="9"/>
  <c r="U92" i="9"/>
  <c r="S91" i="9"/>
  <c r="AX91" i="9" s="1"/>
  <c r="O74" i="9"/>
  <c r="AR9" i="9"/>
  <c r="AW9" i="9"/>
  <c r="AW74" i="9" s="1"/>
  <c r="AW75" i="9" s="1"/>
  <c r="BC39" i="9"/>
  <c r="AZ38" i="9"/>
  <c r="BC55" i="9"/>
  <c r="AZ47" i="9"/>
  <c r="BC79" i="9"/>
  <c r="AZ78" i="9"/>
  <c r="BC82" i="9"/>
  <c r="AZ81" i="9"/>
  <c r="BC85" i="9"/>
  <c r="BC92" i="9"/>
  <c r="AZ91" i="9"/>
  <c r="AX55" i="9"/>
  <c r="U55" i="9"/>
  <c r="S47" i="9"/>
  <c r="AX47" i="9" s="1"/>
  <c r="AU10" i="9"/>
  <c r="Q9" i="9"/>
  <c r="AX28" i="9"/>
  <c r="U28" i="9"/>
  <c r="S27" i="9"/>
  <c r="AX27" i="9" s="1"/>
  <c r="AX83" i="9"/>
  <c r="U83" i="9"/>
  <c r="AZ86" i="9"/>
  <c r="AZ84" i="9" s="1"/>
  <c r="AX95" i="9"/>
  <c r="U95" i="9"/>
  <c r="AX96" i="9"/>
  <c r="U96" i="9"/>
  <c r="BA101" i="9"/>
  <c r="W101" i="9"/>
  <c r="BA102" i="9"/>
  <c r="W102" i="9"/>
  <c r="BA103" i="9"/>
  <c r="W103" i="9"/>
  <c r="BA104" i="9"/>
  <c r="W104" i="9"/>
  <c r="BA105" i="9"/>
  <c r="W105" i="9"/>
  <c r="BA108" i="9"/>
  <c r="W108" i="9"/>
  <c r="BA110" i="9"/>
  <c r="W110" i="9"/>
  <c r="BA112" i="9"/>
  <c r="W112" i="9"/>
  <c r="AU78" i="9"/>
  <c r="AX13" i="9"/>
  <c r="U13" i="9"/>
  <c r="AX17" i="9"/>
  <c r="U17" i="9"/>
  <c r="AX19" i="9"/>
  <c r="U19" i="9"/>
  <c r="AX21" i="9"/>
  <c r="U21" i="9"/>
  <c r="AX23" i="9"/>
  <c r="U23" i="9"/>
  <c r="AX25" i="9"/>
  <c r="U25" i="9"/>
  <c r="AU38" i="9"/>
  <c r="Q37" i="9"/>
  <c r="AX82" i="9"/>
  <c r="U82" i="9"/>
  <c r="S81" i="9"/>
  <c r="AX81" i="9" s="1"/>
  <c r="AO87" i="9"/>
  <c r="M77" i="9"/>
  <c r="BC28" i="9"/>
  <c r="AZ27" i="9"/>
  <c r="AX85" i="9"/>
  <c r="U85" i="9"/>
  <c r="S84" i="9"/>
  <c r="AX84" i="9" s="1"/>
  <c r="AX86" i="9"/>
  <c r="U86" i="9"/>
  <c r="BE8" i="9"/>
  <c r="BF8" i="9" s="1"/>
  <c r="BD8" i="9"/>
  <c r="BC11" i="9"/>
  <c r="AZ10" i="9"/>
  <c r="AX93" i="9"/>
  <c r="U93" i="9"/>
  <c r="AX97" i="9"/>
  <c r="U97" i="9"/>
  <c r="AX98" i="9"/>
  <c r="U98" i="9"/>
  <c r="AX99" i="9"/>
  <c r="U99" i="9"/>
  <c r="AX100" i="9"/>
  <c r="U100" i="9"/>
  <c r="BA106" i="9"/>
  <c r="W106" i="9"/>
  <c r="BA107" i="9"/>
  <c r="W107" i="9"/>
  <c r="BA109" i="9"/>
  <c r="W109" i="9"/>
  <c r="BA111" i="9"/>
  <c r="W111" i="9"/>
  <c r="AX131" i="9"/>
  <c r="AR37" i="9"/>
  <c r="O87" i="9"/>
  <c r="AX30" i="9"/>
  <c r="U30" i="9"/>
  <c r="AX32" i="9"/>
  <c r="U32" i="9"/>
  <c r="AX34" i="9"/>
  <c r="U34" i="9"/>
  <c r="AX36" i="9"/>
  <c r="U36" i="9"/>
  <c r="T114" i="9"/>
  <c r="AS118" i="9"/>
  <c r="AT118" i="9" s="1"/>
  <c r="AV114" i="9"/>
  <c r="AW114" i="9" s="1"/>
  <c r="AX42" i="9"/>
  <c r="U42" i="9"/>
  <c r="AX43" i="9"/>
  <c r="U43" i="9"/>
  <c r="AX44" i="9"/>
  <c r="U44" i="9"/>
  <c r="AX45" i="9"/>
  <c r="U45" i="9"/>
  <c r="M75" i="9"/>
  <c r="M76" i="9"/>
  <c r="BA15" i="9"/>
  <c r="W15" i="9"/>
  <c r="BA16" i="9"/>
  <c r="W16" i="9"/>
  <c r="AX94" i="9"/>
  <c r="U94" i="9"/>
  <c r="AX11" i="9"/>
  <c r="U11" i="9"/>
  <c r="S10" i="9"/>
  <c r="AX40" i="9"/>
  <c r="U40" i="9"/>
  <c r="AX53" i="9"/>
  <c r="U53" i="9"/>
  <c r="AX58" i="9"/>
  <c r="U58" i="9"/>
  <c r="AX61" i="9"/>
  <c r="U61" i="9"/>
  <c r="AX79" i="9"/>
  <c r="U79" i="9"/>
  <c r="S78" i="9"/>
  <c r="AT74" i="9"/>
  <c r="AX14" i="8"/>
  <c r="U14" i="8"/>
  <c r="AX18" i="8"/>
  <c r="U18" i="8"/>
  <c r="AX21" i="8"/>
  <c r="U21" i="8"/>
  <c r="AX22" i="8"/>
  <c r="U22" i="8"/>
  <c r="AX24" i="8"/>
  <c r="U24" i="8"/>
  <c r="BA15" i="8"/>
  <c r="W15" i="8"/>
  <c r="AX79" i="8"/>
  <c r="U79" i="8"/>
  <c r="S78" i="8"/>
  <c r="AW9" i="8"/>
  <c r="AW74" i="8" s="1"/>
  <c r="AW75" i="8" s="1"/>
  <c r="AR37" i="8"/>
  <c r="O87" i="8"/>
  <c r="AX25" i="8"/>
  <c r="U25" i="8"/>
  <c r="AX26" i="8"/>
  <c r="U26" i="8"/>
  <c r="BC39" i="8"/>
  <c r="AZ38" i="8"/>
  <c r="BC55" i="8"/>
  <c r="AZ47" i="8"/>
  <c r="BC79" i="8"/>
  <c r="AZ78" i="8"/>
  <c r="BC82" i="8"/>
  <c r="AZ81" i="8"/>
  <c r="BC85" i="8"/>
  <c r="BC92" i="8"/>
  <c r="AZ91" i="8"/>
  <c r="AX92" i="8"/>
  <c r="U92" i="8"/>
  <c r="S91" i="8"/>
  <c r="AX91" i="8" s="1"/>
  <c r="O74" i="8"/>
  <c r="AR9" i="8"/>
  <c r="AX97" i="8"/>
  <c r="U97" i="8"/>
  <c r="AX82" i="8"/>
  <c r="U82" i="8"/>
  <c r="S81" i="8"/>
  <c r="AX81" i="8" s="1"/>
  <c r="AX55" i="8"/>
  <c r="U55" i="8"/>
  <c r="S47" i="8"/>
  <c r="AX47" i="8" s="1"/>
  <c r="AU38" i="8"/>
  <c r="Q37" i="8"/>
  <c r="AX28" i="8"/>
  <c r="U28" i="8"/>
  <c r="S27" i="8"/>
  <c r="AX27" i="8" s="1"/>
  <c r="AX56" i="8"/>
  <c r="U56" i="8"/>
  <c r="AX12" i="8"/>
  <c r="U12" i="8"/>
  <c r="AX13" i="8"/>
  <c r="U13" i="8"/>
  <c r="AX17" i="8"/>
  <c r="U17" i="8"/>
  <c r="AX19" i="8"/>
  <c r="U19" i="8"/>
  <c r="AX20" i="8"/>
  <c r="U20" i="8"/>
  <c r="AX23" i="8"/>
  <c r="U23" i="8"/>
  <c r="AU10" i="8"/>
  <c r="Q9" i="8"/>
  <c r="AX93" i="8"/>
  <c r="U93" i="8"/>
  <c r="AX98" i="8"/>
  <c r="U98" i="8"/>
  <c r="AX99" i="8"/>
  <c r="U99" i="8"/>
  <c r="AX100" i="8"/>
  <c r="U100" i="8"/>
  <c r="BA106" i="8"/>
  <c r="W106" i="8"/>
  <c r="BA107" i="8"/>
  <c r="W107" i="8"/>
  <c r="BA109" i="8"/>
  <c r="W109" i="8"/>
  <c r="BA111" i="8"/>
  <c r="W111" i="8"/>
  <c r="AX131" i="8"/>
  <c r="AX61" i="8"/>
  <c r="U61" i="8"/>
  <c r="AX80" i="8"/>
  <c r="U80" i="8"/>
  <c r="AX85" i="8"/>
  <c r="U85" i="8"/>
  <c r="S84" i="8"/>
  <c r="AX84" i="8" s="1"/>
  <c r="AX86" i="8"/>
  <c r="U86" i="8"/>
  <c r="AX83" i="8"/>
  <c r="U83" i="8"/>
  <c r="AX95" i="8"/>
  <c r="U95" i="8"/>
  <c r="BA101" i="8"/>
  <c r="W101" i="8"/>
  <c r="BA103" i="8"/>
  <c r="W103" i="8"/>
  <c r="BA104" i="8"/>
  <c r="W104" i="8"/>
  <c r="BA110" i="8"/>
  <c r="W110" i="8"/>
  <c r="AU78" i="8"/>
  <c r="BE8" i="8"/>
  <c r="BF8" i="8" s="1"/>
  <c r="BD8" i="8"/>
  <c r="BC28" i="8"/>
  <c r="AZ27" i="8"/>
  <c r="BC11" i="8"/>
  <c r="AZ10" i="8"/>
  <c r="AS118" i="8"/>
  <c r="AT118" i="8" s="1"/>
  <c r="AV114" i="8"/>
  <c r="AW114" i="8" s="1"/>
  <c r="AX94" i="8"/>
  <c r="U94" i="8"/>
  <c r="AX42" i="8"/>
  <c r="U42" i="8"/>
  <c r="AX43" i="8"/>
  <c r="U43" i="8"/>
  <c r="AX44" i="8"/>
  <c r="U44" i="8"/>
  <c r="AX45" i="8"/>
  <c r="U45" i="8"/>
  <c r="AX29" i="8"/>
  <c r="U29" i="8"/>
  <c r="AX30" i="8"/>
  <c r="U30" i="8"/>
  <c r="AX31" i="8"/>
  <c r="U31" i="8"/>
  <c r="AX32" i="8"/>
  <c r="U32" i="8"/>
  <c r="AX33" i="8"/>
  <c r="U33" i="8"/>
  <c r="AX34" i="8"/>
  <c r="U34" i="8"/>
  <c r="AX35" i="8"/>
  <c r="U35" i="8"/>
  <c r="AX36" i="8"/>
  <c r="U36" i="8"/>
  <c r="AO87" i="8"/>
  <c r="M77" i="8"/>
  <c r="AX40" i="8"/>
  <c r="U40" i="8"/>
  <c r="AX53" i="8"/>
  <c r="U53" i="8"/>
  <c r="AX58" i="8"/>
  <c r="U58" i="8"/>
  <c r="M75" i="8"/>
  <c r="M76" i="8"/>
  <c r="AX39" i="8"/>
  <c r="U39" i="8"/>
  <c r="S38" i="8"/>
  <c r="BA16" i="8"/>
  <c r="W16" i="8"/>
  <c r="AX11" i="8"/>
  <c r="U11" i="8"/>
  <c r="S10" i="8"/>
  <c r="AZ86" i="8"/>
  <c r="AZ84" i="8" s="1"/>
  <c r="AX96" i="8"/>
  <c r="U96" i="8"/>
  <c r="BA102" i="8"/>
  <c r="W102" i="8"/>
  <c r="BA105" i="8"/>
  <c r="W105" i="8"/>
  <c r="BA108" i="8"/>
  <c r="W108" i="8"/>
  <c r="BA112" i="8"/>
  <c r="W112" i="8"/>
  <c r="AT74" i="8"/>
  <c r="AJ70" i="5"/>
  <c r="CT71" i="5"/>
  <c r="AN71" i="5"/>
  <c r="DF93" i="5"/>
  <c r="AV93" i="5"/>
  <c r="DL93" i="5" s="1"/>
  <c r="DF95" i="5"/>
  <c r="AV95" i="5"/>
  <c r="DL95" i="5" s="1"/>
  <c r="CS90" i="5"/>
  <c r="AM90" i="5"/>
  <c r="CZ43" i="5"/>
  <c r="AR43" i="5"/>
  <c r="CB76" i="5"/>
  <c r="X66" i="5"/>
  <c r="CT67" i="5"/>
  <c r="AR68" i="5"/>
  <c r="CZ68" i="5"/>
  <c r="U64" i="5"/>
  <c r="U65" i="5"/>
  <c r="CS11" i="5"/>
  <c r="AM11" i="5"/>
  <c r="BW99" i="5"/>
  <c r="BY98" i="5"/>
  <c r="AQ32" i="5"/>
  <c r="CY32" i="5"/>
  <c r="CT54" i="5"/>
  <c r="AN54" i="5"/>
  <c r="AJ46" i="5"/>
  <c r="CT46" i="5" s="1"/>
  <c r="AI73" i="5"/>
  <c r="CS74" i="5"/>
  <c r="AM74" i="5"/>
  <c r="CS68" i="5"/>
  <c r="AM68" i="5"/>
  <c r="AI67" i="5"/>
  <c r="CM19" i="5"/>
  <c r="AI19" i="5"/>
  <c r="AO8" i="5"/>
  <c r="CS75" i="5"/>
  <c r="AM75" i="5"/>
  <c r="CN67" i="5"/>
  <c r="BA14" i="5"/>
  <c r="DU14" i="5"/>
  <c r="DF25" i="5"/>
  <c r="AV25" i="5"/>
  <c r="DL25" i="5" s="1"/>
  <c r="CZ30" i="5"/>
  <c r="AR30" i="5"/>
  <c r="CQ8" i="5"/>
  <c r="AI37" i="5"/>
  <c r="AM38" i="5"/>
  <c r="AN16" i="5"/>
  <c r="CT16" i="5"/>
  <c r="AN21" i="5"/>
  <c r="CT21" i="5"/>
  <c r="CS71" i="5"/>
  <c r="AM71" i="5"/>
  <c r="AI70" i="5"/>
  <c r="CS70" i="5" s="1"/>
  <c r="AI14" i="5"/>
  <c r="CM14" i="5"/>
  <c r="AV24" i="5"/>
  <c r="DL24" i="5" s="1"/>
  <c r="DF24" i="5"/>
  <c r="DJ38" i="5"/>
  <c r="DJ37" i="5" s="1"/>
  <c r="DD37" i="5"/>
  <c r="AR41" i="5"/>
  <c r="CZ41" i="5"/>
  <c r="AR13" i="5"/>
  <c r="CZ13" i="5"/>
  <c r="AN17" i="5"/>
  <c r="CT17" i="5"/>
  <c r="AN22" i="5"/>
  <c r="CT22" i="5"/>
  <c r="CG9" i="5"/>
  <c r="CG65" i="5" s="1"/>
  <c r="AA8" i="5"/>
  <c r="AA76" i="5" s="1"/>
  <c r="AJ9" i="5"/>
  <c r="CT10" i="5"/>
  <c r="AN10" i="5"/>
  <c r="CN9" i="5"/>
  <c r="CN65" i="5" s="1"/>
  <c r="AF8" i="5"/>
  <c r="AQ52" i="5"/>
  <c r="CY52" i="5"/>
  <c r="AQ69" i="5"/>
  <c r="CY69" i="5"/>
  <c r="DD54" i="5"/>
  <c r="CX46" i="5"/>
  <c r="CQ38" i="5"/>
  <c r="CK37" i="5"/>
  <c r="CK36" i="5" s="1"/>
  <c r="CK76" i="5" s="1"/>
  <c r="CK66" i="5" s="1"/>
  <c r="CH36" i="5"/>
  <c r="AB76" i="5"/>
  <c r="CS83" i="5"/>
  <c r="AM83" i="5"/>
  <c r="CS43" i="5"/>
  <c r="AM43" i="5"/>
  <c r="CS44" i="5"/>
  <c r="AM44" i="5"/>
  <c r="CT52" i="5"/>
  <c r="AN52" i="5"/>
  <c r="CT60" i="5"/>
  <c r="AN60" i="5"/>
  <c r="CS72" i="5"/>
  <c r="AM72" i="5"/>
  <c r="CM18" i="5"/>
  <c r="AI18" i="5"/>
  <c r="CR8" i="5"/>
  <c r="CR63" i="5" s="1"/>
  <c r="CR64" i="5" s="1"/>
  <c r="S64" i="5"/>
  <c r="S65" i="5"/>
  <c r="CM80" i="5"/>
  <c r="CM73" i="5"/>
  <c r="CN80" i="5"/>
  <c r="CL76" i="5"/>
  <c r="CL66" i="5" s="1"/>
  <c r="E10" i="5"/>
  <c r="CG36" i="5"/>
  <c r="AI46" i="5"/>
  <c r="CS46" i="5" s="1"/>
  <c r="CS54" i="5"/>
  <c r="AM54" i="5"/>
  <c r="CT27" i="5"/>
  <c r="AN27" i="5"/>
  <c r="AJ26" i="5"/>
  <c r="CT26" i="5" s="1"/>
  <c r="BB76" i="5"/>
  <c r="F66" i="5"/>
  <c r="F64" i="5"/>
  <c r="F65" i="5"/>
  <c r="BX99" i="5"/>
  <c r="BZ98" i="5"/>
  <c r="CT55" i="5"/>
  <c r="AN55" i="5"/>
  <c r="CM12" i="5"/>
  <c r="AI12" i="5"/>
  <c r="W63" i="5"/>
  <c r="CA8" i="5"/>
  <c r="X64" i="5"/>
  <c r="X65" i="5"/>
  <c r="CT74" i="5"/>
  <c r="AN74" i="5"/>
  <c r="AJ73" i="5"/>
  <c r="CT73" i="5" s="1"/>
  <c r="AR57" i="5"/>
  <c r="CZ57" i="5"/>
  <c r="CW81" i="5"/>
  <c r="CQ80" i="5"/>
  <c r="DF91" i="5"/>
  <c r="AV91" i="5"/>
  <c r="DL91" i="5" s="1"/>
  <c r="DC68" i="5"/>
  <c r="CW67" i="5"/>
  <c r="DC71" i="5"/>
  <c r="CW70" i="5"/>
  <c r="DD74" i="5"/>
  <c r="CX81" i="5"/>
  <c r="CR80" i="5"/>
  <c r="AR72" i="5"/>
  <c r="CZ72" i="5"/>
  <c r="AM81" i="5"/>
  <c r="CS81" i="5"/>
  <c r="AI80" i="5"/>
  <c r="CT83" i="5"/>
  <c r="AN83" i="5"/>
  <c r="CQ73" i="5"/>
  <c r="CW74" i="5"/>
  <c r="CS82" i="5"/>
  <c r="AM82" i="5"/>
  <c r="CS85" i="5"/>
  <c r="AM85" i="5"/>
  <c r="CZ44" i="5"/>
  <c r="AR44" i="5"/>
  <c r="CM67" i="5"/>
  <c r="AG8" i="5"/>
  <c r="CM87" i="5"/>
  <c r="AI87" i="5"/>
  <c r="CY91" i="5"/>
  <c r="AQ91" i="5"/>
  <c r="CZ89" i="5"/>
  <c r="AR89" i="5"/>
  <c r="DF92" i="5"/>
  <c r="AV92" i="5"/>
  <c r="DL92" i="5" s="1"/>
  <c r="DF94" i="5"/>
  <c r="AV94" i="5"/>
  <c r="DL94" i="5" s="1"/>
  <c r="CY92" i="5"/>
  <c r="AQ92" i="5"/>
  <c r="CY93" i="5"/>
  <c r="AQ93" i="5"/>
  <c r="CY94" i="5"/>
  <c r="AQ94" i="5"/>
  <c r="CY95" i="5"/>
  <c r="AQ95" i="5"/>
  <c r="CY96" i="5"/>
  <c r="AQ96" i="5"/>
  <c r="CT111" i="5"/>
  <c r="AN111" i="5"/>
  <c r="CE64" i="5"/>
  <c r="CE65" i="5"/>
  <c r="BU76" i="5"/>
  <c r="S66" i="5"/>
  <c r="AR20" i="5"/>
  <c r="CZ20" i="5"/>
  <c r="DH7" i="5"/>
  <c r="DJ7" i="5" s="1"/>
  <c r="DF7" i="5"/>
  <c r="DG7" i="5"/>
  <c r="DI7" i="5" s="1"/>
  <c r="DE7" i="5"/>
  <c r="DC10" i="5"/>
  <c r="CW9" i="5"/>
  <c r="DD27" i="5"/>
  <c r="CX26" i="5"/>
  <c r="DC27" i="5"/>
  <c r="CW26" i="5"/>
  <c r="AR35" i="5"/>
  <c r="CZ35" i="5"/>
  <c r="AE36" i="5"/>
  <c r="CS60" i="5"/>
  <c r="AM60" i="5"/>
  <c r="CT81" i="5"/>
  <c r="AJ80" i="5"/>
  <c r="AN81" i="5"/>
  <c r="CS84" i="5"/>
  <c r="AM84" i="5"/>
  <c r="CS13" i="5"/>
  <c r="AM13" i="5"/>
  <c r="CT18" i="5"/>
  <c r="AN18" i="5"/>
  <c r="CM21" i="5"/>
  <c r="AI21" i="5"/>
  <c r="CT23" i="5"/>
  <c r="AN23" i="5"/>
  <c r="CS34" i="5"/>
  <c r="AM34" i="5"/>
  <c r="CT75" i="5"/>
  <c r="AN75" i="5"/>
  <c r="CM10" i="5"/>
  <c r="AI10" i="5"/>
  <c r="AE9" i="5"/>
  <c r="AB63" i="5"/>
  <c r="CH8" i="5"/>
  <c r="CW75" i="5"/>
  <c r="CX75" i="5"/>
  <c r="CT84" i="5"/>
  <c r="AN84" i="5"/>
  <c r="CT86" i="5"/>
  <c r="AN86" i="5"/>
  <c r="CY89" i="5"/>
  <c r="AQ89" i="5"/>
  <c r="CN37" i="5"/>
  <c r="AF36" i="5"/>
  <c r="AN38" i="5"/>
  <c r="CT38" i="5"/>
  <c r="AJ37" i="5"/>
  <c r="CS27" i="5"/>
  <c r="AM27" i="5"/>
  <c r="AI26" i="5"/>
  <c r="CS26" i="5" s="1"/>
  <c r="CT82" i="5"/>
  <c r="AN82" i="5"/>
  <c r="CT85" i="5"/>
  <c r="AN85" i="5"/>
  <c r="CZ87" i="5"/>
  <c r="AR87" i="5"/>
  <c r="DF88" i="5"/>
  <c r="AV88" i="5"/>
  <c r="DL88" i="5" s="1"/>
  <c r="CS86" i="5"/>
  <c r="AM86" i="5"/>
  <c r="DE88" i="5"/>
  <c r="AU88" i="5"/>
  <c r="DK88" i="5" s="1"/>
  <c r="DF90" i="5"/>
  <c r="AV90" i="5"/>
  <c r="DL90" i="5" s="1"/>
  <c r="DF96" i="5"/>
  <c r="AV96" i="5"/>
  <c r="DL96" i="5" s="1"/>
  <c r="CS111" i="5"/>
  <c r="AM111" i="5"/>
  <c r="CS28" i="5"/>
  <c r="AM28" i="5"/>
  <c r="CT12" i="5"/>
  <c r="AN12" i="5"/>
  <c r="CM15" i="5"/>
  <c r="AI15" i="5"/>
  <c r="CM17" i="5"/>
  <c r="AI17" i="5"/>
  <c r="CM22" i="5"/>
  <c r="AI22" i="5"/>
  <c r="CS30" i="5"/>
  <c r="AM30" i="5"/>
  <c r="CT31" i="5"/>
  <c r="AN31" i="5"/>
  <c r="CT32" i="5"/>
  <c r="AN32" i="5"/>
  <c r="CS33" i="5"/>
  <c r="AM33" i="5"/>
  <c r="CS35" i="5"/>
  <c r="AM35" i="5"/>
  <c r="CS41" i="5"/>
  <c r="AM41" i="5"/>
  <c r="CT42" i="5"/>
  <c r="AN42" i="5"/>
  <c r="CW46" i="5"/>
  <c r="DC54" i="5"/>
  <c r="CS55" i="5"/>
  <c r="AM55" i="5"/>
  <c r="CT19" i="5"/>
  <c r="AN19" i="5"/>
  <c r="CS24" i="5"/>
  <c r="AM24" i="5"/>
  <c r="CZ28" i="5"/>
  <c r="AR28" i="5"/>
  <c r="CT29" i="5"/>
  <c r="AN29" i="5"/>
  <c r="CS31" i="5"/>
  <c r="AM31" i="5"/>
  <c r="CT33" i="5"/>
  <c r="AN33" i="5"/>
  <c r="CT69" i="5"/>
  <c r="AN69" i="5"/>
  <c r="AN67" i="5" s="1"/>
  <c r="CS29" i="5"/>
  <c r="AM29" i="5"/>
  <c r="CT39" i="5"/>
  <c r="AN39" i="5"/>
  <c r="CS16" i="5"/>
  <c r="AM16" i="5"/>
  <c r="CS23" i="5"/>
  <c r="AM23" i="5"/>
  <c r="CS57" i="5"/>
  <c r="AM57" i="5"/>
  <c r="CS25" i="5"/>
  <c r="AM25" i="5"/>
  <c r="CM20" i="5"/>
  <c r="AI20" i="5"/>
  <c r="CX9" i="5"/>
  <c r="DD10" i="5"/>
  <c r="CT11" i="5"/>
  <c r="AN11" i="5"/>
  <c r="Y63" i="5"/>
  <c r="Y76" i="5"/>
  <c r="Y66" i="5" s="1"/>
  <c r="CT34" i="5"/>
  <c r="AN34" i="5"/>
  <c r="CS39" i="5"/>
  <c r="AM39" i="5"/>
  <c r="CS42" i="5"/>
  <c r="AM42" i="5"/>
  <c r="CR70" i="5"/>
  <c r="CX71" i="5"/>
  <c r="DU26" i="5"/>
  <c r="BA26" i="5"/>
  <c r="DV26" i="5"/>
  <c r="AK8" i="5"/>
  <c r="CK63" i="5"/>
  <c r="CL65" i="5"/>
  <c r="CX36" i="5"/>
  <c r="W76" i="5"/>
  <c r="AM77" i="11" l="1"/>
  <c r="CR76" i="5"/>
  <c r="CR66" i="5" s="1"/>
  <c r="CS80" i="5"/>
  <c r="CM37" i="5"/>
  <c r="CR65" i="5"/>
  <c r="AW87" i="9"/>
  <c r="AW77" i="9" s="1"/>
  <c r="U114" i="10"/>
  <c r="V114" i="10" s="1"/>
  <c r="W114" i="10" s="1"/>
  <c r="BA114" i="10" s="1"/>
  <c r="AX114" i="10"/>
  <c r="AW87" i="8"/>
  <c r="AW77" i="8" s="1"/>
  <c r="U114" i="9"/>
  <c r="AX114" i="9"/>
  <c r="AV94" i="11"/>
  <c r="AR91" i="11"/>
  <c r="DF91" i="11" s="1"/>
  <c r="DF94" i="11"/>
  <c r="CT80" i="5"/>
  <c r="AT112" i="1"/>
  <c r="DB112" i="1"/>
  <c r="DA112" i="1"/>
  <c r="AS112" i="1"/>
  <c r="DH109" i="1"/>
  <c r="AX109" i="1"/>
  <c r="DN109" i="1" s="1"/>
  <c r="DH111" i="1"/>
  <c r="AX111" i="1"/>
  <c r="DN111" i="1" s="1"/>
  <c r="DH110" i="1"/>
  <c r="AX110" i="1"/>
  <c r="DN110" i="1" s="1"/>
  <c r="DJ94" i="11"/>
  <c r="DJ91" i="11" s="1"/>
  <c r="DD91" i="11"/>
  <c r="DE94" i="11"/>
  <c r="AU94" i="11"/>
  <c r="AQ91" i="11"/>
  <c r="DE91" i="11" s="1"/>
  <c r="DI94" i="11"/>
  <c r="DI91" i="11" s="1"/>
  <c r="DC91" i="11"/>
  <c r="DD87" i="11"/>
  <c r="DD77" i="11" s="1"/>
  <c r="AW87" i="10"/>
  <c r="AW77" i="10" s="1"/>
  <c r="DJ87" i="11"/>
  <c r="AW76" i="9"/>
  <c r="CP114" i="11"/>
  <c r="CO114" i="11"/>
  <c r="CN114" i="1"/>
  <c r="CQ12" i="11"/>
  <c r="CK76" i="11"/>
  <c r="CK75" i="11"/>
  <c r="M114" i="8"/>
  <c r="V114" i="11"/>
  <c r="U114" i="11"/>
  <c r="W114" i="1"/>
  <c r="X114" i="1"/>
  <c r="CJ118" i="11"/>
  <c r="CL118" i="11" s="1"/>
  <c r="CL114" i="11"/>
  <c r="DJ84" i="11"/>
  <c r="CM114" i="1"/>
  <c r="CR12" i="11"/>
  <c r="CL75" i="11"/>
  <c r="CL76" i="11"/>
  <c r="CK114" i="11"/>
  <c r="CI118" i="11"/>
  <c r="CK118" i="11" s="1"/>
  <c r="AW76" i="10"/>
  <c r="AR74" i="11"/>
  <c r="DF9" i="11"/>
  <c r="AN75" i="11"/>
  <c r="AN76" i="11"/>
  <c r="DL10" i="11"/>
  <c r="AV9" i="11"/>
  <c r="DL38" i="11"/>
  <c r="AV37" i="11"/>
  <c r="DL37" i="11" s="1"/>
  <c r="DK78" i="11"/>
  <c r="AQ74" i="11"/>
  <c r="DE9" i="11"/>
  <c r="DL86" i="11"/>
  <c r="AR87" i="11"/>
  <c r="DF87" i="11" s="1"/>
  <c r="DC87" i="11"/>
  <c r="DC77" i="11" s="1"/>
  <c r="DL78" i="11"/>
  <c r="DK38" i="11"/>
  <c r="AU37" i="11"/>
  <c r="DK37" i="11" s="1"/>
  <c r="DK10" i="11"/>
  <c r="AU9" i="11"/>
  <c r="CZ87" i="11"/>
  <c r="AN77" i="11"/>
  <c r="AM75" i="11"/>
  <c r="AM76" i="11"/>
  <c r="DK86" i="11"/>
  <c r="AQ87" i="11"/>
  <c r="DI87" i="11"/>
  <c r="DI77" i="11" s="1"/>
  <c r="CQ114" i="1"/>
  <c r="CR114" i="1"/>
  <c r="BA86" i="10"/>
  <c r="W86" i="10"/>
  <c r="BA85" i="10"/>
  <c r="W85" i="10"/>
  <c r="U84" i="10"/>
  <c r="BA84" i="10" s="1"/>
  <c r="BA80" i="10"/>
  <c r="W80" i="10"/>
  <c r="AX10" i="10"/>
  <c r="S9" i="10"/>
  <c r="BA56" i="10"/>
  <c r="W56" i="10"/>
  <c r="AR87" i="10"/>
  <c r="O77" i="10"/>
  <c r="BF11" i="10"/>
  <c r="BF10" i="10" s="1"/>
  <c r="BC10" i="10"/>
  <c r="BH8" i="10"/>
  <c r="BG8" i="10"/>
  <c r="BF28" i="10"/>
  <c r="BF27" i="10" s="1"/>
  <c r="BC27" i="10"/>
  <c r="BA39" i="10"/>
  <c r="W39" i="10"/>
  <c r="U38" i="10"/>
  <c r="BA79" i="10"/>
  <c r="W79" i="10"/>
  <c r="U78" i="10"/>
  <c r="BA35" i="10"/>
  <c r="W35" i="10"/>
  <c r="BA33" i="10"/>
  <c r="W33" i="10"/>
  <c r="BA31" i="10"/>
  <c r="W31" i="10"/>
  <c r="BA29" i="10"/>
  <c r="W29" i="10"/>
  <c r="BA26" i="10"/>
  <c r="W26" i="10"/>
  <c r="BA24" i="10"/>
  <c r="W24" i="10"/>
  <c r="BA22" i="10"/>
  <c r="W22" i="10"/>
  <c r="BA20" i="10"/>
  <c r="W20" i="10"/>
  <c r="BA18" i="10"/>
  <c r="W18" i="10"/>
  <c r="BA16" i="10"/>
  <c r="W16" i="10"/>
  <c r="BA14" i="10"/>
  <c r="W14" i="10"/>
  <c r="BA12" i="10"/>
  <c r="W12" i="10"/>
  <c r="BD112" i="10"/>
  <c r="Y112" i="10"/>
  <c r="BG112" i="10" s="1"/>
  <c r="BD110" i="10"/>
  <c r="Y110" i="10"/>
  <c r="BG110" i="10" s="1"/>
  <c r="BD108" i="10"/>
  <c r="Y108" i="10"/>
  <c r="BG108" i="10" s="1"/>
  <c r="BD105" i="10"/>
  <c r="Y105" i="10"/>
  <c r="BG105" i="10" s="1"/>
  <c r="BD104" i="10"/>
  <c r="Y104" i="10"/>
  <c r="BG104" i="10" s="1"/>
  <c r="BD103" i="10"/>
  <c r="Y103" i="10"/>
  <c r="BG103" i="10" s="1"/>
  <c r="BD102" i="10"/>
  <c r="Y102" i="10"/>
  <c r="BG102" i="10" s="1"/>
  <c r="BD101" i="10"/>
  <c r="Y101" i="10"/>
  <c r="BG101" i="10" s="1"/>
  <c r="BA96" i="10"/>
  <c r="W96" i="10"/>
  <c r="BA95" i="10"/>
  <c r="W95" i="10"/>
  <c r="BC86" i="10"/>
  <c r="BC84" i="10" s="1"/>
  <c r="BA83" i="10"/>
  <c r="W83" i="10"/>
  <c r="BA45" i="10"/>
  <c r="W45" i="10"/>
  <c r="BA44" i="10"/>
  <c r="W44" i="10"/>
  <c r="BA43" i="10"/>
  <c r="W43" i="10"/>
  <c r="BA42" i="10"/>
  <c r="W42" i="10"/>
  <c r="AY114" i="10"/>
  <c r="AZ114" i="10" s="1"/>
  <c r="BA25" i="10"/>
  <c r="W25" i="10"/>
  <c r="BA23" i="10"/>
  <c r="W23" i="10"/>
  <c r="BA21" i="10"/>
  <c r="W21" i="10"/>
  <c r="BA19" i="10"/>
  <c r="W19" i="10"/>
  <c r="BA17" i="10"/>
  <c r="W17" i="10"/>
  <c r="BA15" i="10"/>
  <c r="W15" i="10"/>
  <c r="BA13" i="10"/>
  <c r="W13" i="10"/>
  <c r="BA61" i="10"/>
  <c r="W61" i="10"/>
  <c r="BA58" i="10"/>
  <c r="W58" i="10"/>
  <c r="BA53" i="10"/>
  <c r="W53" i="10"/>
  <c r="BA40" i="10"/>
  <c r="W40" i="10"/>
  <c r="BF92" i="10"/>
  <c r="BF91" i="10" s="1"/>
  <c r="BC91" i="10"/>
  <c r="BA55" i="10"/>
  <c r="W55" i="10"/>
  <c r="U47" i="10"/>
  <c r="BA47" i="10" s="1"/>
  <c r="O75" i="10"/>
  <c r="O76" i="10"/>
  <c r="BA94" i="10"/>
  <c r="W94" i="10"/>
  <c r="AZ84" i="10"/>
  <c r="AZ37" i="10"/>
  <c r="AT75" i="10"/>
  <c r="AT76" i="10"/>
  <c r="BA82" i="10"/>
  <c r="W82" i="10"/>
  <c r="U81" i="10"/>
  <c r="BA81" i="10" s="1"/>
  <c r="BA11" i="10"/>
  <c r="W11" i="10"/>
  <c r="U10" i="10"/>
  <c r="AZ9" i="10"/>
  <c r="AX38" i="10"/>
  <c r="S37" i="10"/>
  <c r="AX78" i="10"/>
  <c r="BA28" i="10"/>
  <c r="W28" i="10"/>
  <c r="U27" i="10"/>
  <c r="BA27" i="10" s="1"/>
  <c r="Q74" i="10"/>
  <c r="AU9" i="10"/>
  <c r="BA92" i="10"/>
  <c r="W92" i="10"/>
  <c r="U91" i="10"/>
  <c r="BA91" i="10" s="1"/>
  <c r="BA36" i="10"/>
  <c r="W36" i="10"/>
  <c r="BA34" i="10"/>
  <c r="W34" i="10"/>
  <c r="BA32" i="10"/>
  <c r="W32" i="10"/>
  <c r="BA30" i="10"/>
  <c r="W30" i="10"/>
  <c r="BA128" i="10"/>
  <c r="BD111" i="10"/>
  <c r="Y111" i="10"/>
  <c r="BG111" i="10" s="1"/>
  <c r="BD109" i="10"/>
  <c r="Y109" i="10"/>
  <c r="BG109" i="10" s="1"/>
  <c r="BD107" i="10"/>
  <c r="Y107" i="10"/>
  <c r="BG107" i="10" s="1"/>
  <c r="BD106" i="10"/>
  <c r="Y106" i="10"/>
  <c r="BG106" i="10" s="1"/>
  <c r="BA100" i="10"/>
  <c r="W100" i="10"/>
  <c r="BA99" i="10"/>
  <c r="W99" i="10"/>
  <c r="BA98" i="10"/>
  <c r="W98" i="10"/>
  <c r="BA97" i="10"/>
  <c r="W97" i="10"/>
  <c r="BA93" i="10"/>
  <c r="W93" i="10"/>
  <c r="BF85" i="10"/>
  <c r="BF82" i="10"/>
  <c r="BF81" i="10" s="1"/>
  <c r="BC81" i="10"/>
  <c r="BF79" i="10"/>
  <c r="BF78" i="10" s="1"/>
  <c r="BC78" i="10"/>
  <c r="BF55" i="10"/>
  <c r="BF47" i="10" s="1"/>
  <c r="BC47" i="10"/>
  <c r="BF39" i="10"/>
  <c r="BF38" i="10" s="1"/>
  <c r="BC38" i="10"/>
  <c r="AU37" i="10"/>
  <c r="Q87" i="10"/>
  <c r="AT75" i="9"/>
  <c r="AT76" i="9"/>
  <c r="AX78" i="9"/>
  <c r="BA11" i="9"/>
  <c r="W11" i="9"/>
  <c r="U10" i="9"/>
  <c r="BA94" i="9"/>
  <c r="W94" i="9"/>
  <c r="BD16" i="9"/>
  <c r="Y16" i="9"/>
  <c r="BG16" i="9" s="1"/>
  <c r="BD15" i="9"/>
  <c r="Y15" i="9"/>
  <c r="BG15" i="9" s="1"/>
  <c r="AZ9" i="9"/>
  <c r="BF28" i="9"/>
  <c r="BF27" i="9" s="1"/>
  <c r="BC27" i="9"/>
  <c r="BA28" i="9"/>
  <c r="W28" i="9"/>
  <c r="U27" i="9"/>
  <c r="BA27" i="9" s="1"/>
  <c r="Q74" i="9"/>
  <c r="AU9" i="9"/>
  <c r="BA55" i="9"/>
  <c r="W55" i="9"/>
  <c r="U47" i="9"/>
  <c r="BA47" i="9" s="1"/>
  <c r="O75" i="9"/>
  <c r="O76" i="9"/>
  <c r="BA92" i="9"/>
  <c r="W92" i="9"/>
  <c r="U91" i="9"/>
  <c r="BA91" i="9" s="1"/>
  <c r="BA35" i="9"/>
  <c r="W35" i="9"/>
  <c r="BA33" i="9"/>
  <c r="W33" i="9"/>
  <c r="BA31" i="9"/>
  <c r="W31" i="9"/>
  <c r="BA29" i="9"/>
  <c r="W29" i="9"/>
  <c r="BA26" i="9"/>
  <c r="W26" i="9"/>
  <c r="BA24" i="9"/>
  <c r="W24" i="9"/>
  <c r="BA22" i="9"/>
  <c r="W22" i="9"/>
  <c r="BA20" i="9"/>
  <c r="W20" i="9"/>
  <c r="BA18" i="9"/>
  <c r="W18" i="9"/>
  <c r="BA14" i="9"/>
  <c r="W14" i="9"/>
  <c r="BA12" i="9"/>
  <c r="W12" i="9"/>
  <c r="BA56" i="9"/>
  <c r="W56" i="9"/>
  <c r="BA80" i="9"/>
  <c r="W80" i="9"/>
  <c r="BA39" i="9"/>
  <c r="W39" i="9"/>
  <c r="U38" i="9"/>
  <c r="AZ37" i="9"/>
  <c r="BA79" i="9"/>
  <c r="W79" i="9"/>
  <c r="U78" i="9"/>
  <c r="BA61" i="9"/>
  <c r="W61" i="9"/>
  <c r="BA58" i="9"/>
  <c r="W58" i="9"/>
  <c r="BA53" i="9"/>
  <c r="W53" i="9"/>
  <c r="BA40" i="9"/>
  <c r="W40" i="9"/>
  <c r="AX10" i="9"/>
  <c r="S9" i="9"/>
  <c r="BA45" i="9"/>
  <c r="W45" i="9"/>
  <c r="BA44" i="9"/>
  <c r="W44" i="9"/>
  <c r="BA43" i="9"/>
  <c r="W43" i="9"/>
  <c r="BA42" i="9"/>
  <c r="W42" i="9"/>
  <c r="AV118" i="9"/>
  <c r="AW118" i="9" s="1"/>
  <c r="AY114" i="9"/>
  <c r="AZ114" i="9" s="1"/>
  <c r="V114" i="9"/>
  <c r="W114" i="9" s="1"/>
  <c r="BA114" i="9" s="1"/>
  <c r="BA36" i="9"/>
  <c r="W36" i="9"/>
  <c r="BA34" i="9"/>
  <c r="W34" i="9"/>
  <c r="BA32" i="9"/>
  <c r="W32" i="9"/>
  <c r="BA30" i="9"/>
  <c r="W30" i="9"/>
  <c r="AR87" i="9"/>
  <c r="O77" i="9"/>
  <c r="BA131" i="9"/>
  <c r="BD111" i="9"/>
  <c r="Y111" i="9"/>
  <c r="BG111" i="9" s="1"/>
  <c r="BD109" i="9"/>
  <c r="Y109" i="9"/>
  <c r="BG109" i="9" s="1"/>
  <c r="BD107" i="9"/>
  <c r="Y107" i="9"/>
  <c r="BG107" i="9" s="1"/>
  <c r="BD106" i="9"/>
  <c r="Y106" i="9"/>
  <c r="BG106" i="9" s="1"/>
  <c r="BA100" i="9"/>
  <c r="W100" i="9"/>
  <c r="BA99" i="9"/>
  <c r="W99" i="9"/>
  <c r="BA98" i="9"/>
  <c r="W98" i="9"/>
  <c r="BA97" i="9"/>
  <c r="W97" i="9"/>
  <c r="BA93" i="9"/>
  <c r="W93" i="9"/>
  <c r="BF11" i="9"/>
  <c r="BF10" i="9" s="1"/>
  <c r="BC10" i="9"/>
  <c r="BH8" i="9"/>
  <c r="BG8" i="9"/>
  <c r="BA86" i="9"/>
  <c r="W86" i="9"/>
  <c r="BA85" i="9"/>
  <c r="W85" i="9"/>
  <c r="U84" i="9"/>
  <c r="BA84" i="9" s="1"/>
  <c r="BA82" i="9"/>
  <c r="W82" i="9"/>
  <c r="U81" i="9"/>
  <c r="BA81" i="9" s="1"/>
  <c r="AU37" i="9"/>
  <c r="Q87" i="9"/>
  <c r="BA25" i="9"/>
  <c r="W25" i="9"/>
  <c r="BA23" i="9"/>
  <c r="W23" i="9"/>
  <c r="BA21" i="9"/>
  <c r="W21" i="9"/>
  <c r="BA19" i="9"/>
  <c r="W19" i="9"/>
  <c r="BA17" i="9"/>
  <c r="W17" i="9"/>
  <c r="BA13" i="9"/>
  <c r="W13" i="9"/>
  <c r="BD112" i="9"/>
  <c r="Y112" i="9"/>
  <c r="BG112" i="9" s="1"/>
  <c r="BD110" i="9"/>
  <c r="Y110" i="9"/>
  <c r="BG110" i="9" s="1"/>
  <c r="BD108" i="9"/>
  <c r="Y108" i="9"/>
  <c r="BG108" i="9" s="1"/>
  <c r="BD105" i="9"/>
  <c r="Y105" i="9"/>
  <c r="BG105" i="9" s="1"/>
  <c r="BD104" i="9"/>
  <c r="Y104" i="9"/>
  <c r="BG104" i="9" s="1"/>
  <c r="BD103" i="9"/>
  <c r="Y103" i="9"/>
  <c r="BG103" i="9" s="1"/>
  <c r="BD102" i="9"/>
  <c r="Y102" i="9"/>
  <c r="BG102" i="9" s="1"/>
  <c r="BD101" i="9"/>
  <c r="Y101" i="9"/>
  <c r="BG101" i="9" s="1"/>
  <c r="BA96" i="9"/>
  <c r="W96" i="9"/>
  <c r="BA95" i="9"/>
  <c r="W95" i="9"/>
  <c r="BC86" i="9"/>
  <c r="BC84" i="9" s="1"/>
  <c r="BA83" i="9"/>
  <c r="W83" i="9"/>
  <c r="BF92" i="9"/>
  <c r="BF91" i="9" s="1"/>
  <c r="BC91" i="9"/>
  <c r="BF85" i="9"/>
  <c r="BF82" i="9"/>
  <c r="BF81" i="9" s="1"/>
  <c r="BC81" i="9"/>
  <c r="BF79" i="9"/>
  <c r="BF78" i="9" s="1"/>
  <c r="BC78" i="9"/>
  <c r="BF55" i="9"/>
  <c r="BF47" i="9" s="1"/>
  <c r="BC47" i="9"/>
  <c r="BF39" i="9"/>
  <c r="BF38" i="9" s="1"/>
  <c r="BC38" i="9"/>
  <c r="AX38" i="9"/>
  <c r="S37" i="9"/>
  <c r="AT75" i="8"/>
  <c r="AT76" i="8"/>
  <c r="BA11" i="8"/>
  <c r="W11" i="8"/>
  <c r="U10" i="8"/>
  <c r="Y16" i="8"/>
  <c r="BG16" i="8" s="1"/>
  <c r="BD16" i="8"/>
  <c r="AX38" i="8"/>
  <c r="S37" i="8"/>
  <c r="BA58" i="8"/>
  <c r="W58" i="8"/>
  <c r="BA53" i="8"/>
  <c r="W53" i="8"/>
  <c r="BA40" i="8"/>
  <c r="W40" i="8"/>
  <c r="AZ9" i="8"/>
  <c r="BF28" i="8"/>
  <c r="BF27" i="8" s="1"/>
  <c r="BC27" i="8"/>
  <c r="BH8" i="8"/>
  <c r="BG8" i="8"/>
  <c r="BA86" i="8"/>
  <c r="W86" i="8"/>
  <c r="BA85" i="8"/>
  <c r="W85" i="8"/>
  <c r="U84" i="8"/>
  <c r="BA84" i="8" s="1"/>
  <c r="Q74" i="8"/>
  <c r="AU9" i="8"/>
  <c r="BA28" i="8"/>
  <c r="W28" i="8"/>
  <c r="U27" i="8"/>
  <c r="BA27" i="8" s="1"/>
  <c r="AU37" i="8"/>
  <c r="Q87" i="8"/>
  <c r="BA82" i="8"/>
  <c r="W82" i="8"/>
  <c r="U81" i="8"/>
  <c r="BA81" i="8" s="1"/>
  <c r="BA97" i="8"/>
  <c r="W97" i="8"/>
  <c r="O75" i="8"/>
  <c r="O76" i="8"/>
  <c r="BA92" i="8"/>
  <c r="W92" i="8"/>
  <c r="U91" i="8"/>
  <c r="BA91" i="8" s="1"/>
  <c r="BA26" i="8"/>
  <c r="W26" i="8"/>
  <c r="BA25" i="8"/>
  <c r="W25" i="8"/>
  <c r="AR87" i="8"/>
  <c r="O77" i="8"/>
  <c r="BA79" i="8"/>
  <c r="W79" i="8"/>
  <c r="U78" i="8"/>
  <c r="Y15" i="8"/>
  <c r="BG15" i="8" s="1"/>
  <c r="BD15" i="8"/>
  <c r="BA24" i="8"/>
  <c r="W24" i="8"/>
  <c r="BA22" i="8"/>
  <c r="W22" i="8"/>
  <c r="BA21" i="8"/>
  <c r="W21" i="8"/>
  <c r="BA18" i="8"/>
  <c r="W18" i="8"/>
  <c r="BA14" i="8"/>
  <c r="W14" i="8"/>
  <c r="BD112" i="8"/>
  <c r="Y112" i="8"/>
  <c r="BG112" i="8" s="1"/>
  <c r="BD108" i="8"/>
  <c r="Y108" i="8"/>
  <c r="BG108" i="8" s="1"/>
  <c r="BD105" i="8"/>
  <c r="Y105" i="8"/>
  <c r="BG105" i="8" s="1"/>
  <c r="BD102" i="8"/>
  <c r="Y102" i="8"/>
  <c r="BG102" i="8" s="1"/>
  <c r="BA96" i="8"/>
  <c r="W96" i="8"/>
  <c r="BC86" i="8"/>
  <c r="BC84" i="8" s="1"/>
  <c r="AX10" i="8"/>
  <c r="S9" i="8"/>
  <c r="BA39" i="8"/>
  <c r="W39" i="8"/>
  <c r="U38" i="8"/>
  <c r="BA36" i="8"/>
  <c r="W36" i="8"/>
  <c r="BA35" i="8"/>
  <c r="W35" i="8"/>
  <c r="BA34" i="8"/>
  <c r="W34" i="8"/>
  <c r="BA33" i="8"/>
  <c r="W33" i="8"/>
  <c r="BA32" i="8"/>
  <c r="W32" i="8"/>
  <c r="BA31" i="8"/>
  <c r="W31" i="8"/>
  <c r="BA30" i="8"/>
  <c r="W30" i="8"/>
  <c r="BA29" i="8"/>
  <c r="W29" i="8"/>
  <c r="BA45" i="8"/>
  <c r="W45" i="8"/>
  <c r="BA44" i="8"/>
  <c r="W44" i="8"/>
  <c r="BA43" i="8"/>
  <c r="W43" i="8"/>
  <c r="BA42" i="8"/>
  <c r="W42" i="8"/>
  <c r="BA94" i="8"/>
  <c r="W94" i="8"/>
  <c r="AV118" i="8"/>
  <c r="AW118" i="8" s="1"/>
  <c r="AY114" i="8"/>
  <c r="AZ114" i="8" s="1"/>
  <c r="BF11" i="8"/>
  <c r="BF10" i="8" s="1"/>
  <c r="BC10" i="8"/>
  <c r="BD110" i="8"/>
  <c r="Y110" i="8"/>
  <c r="BG110" i="8" s="1"/>
  <c r="BD104" i="8"/>
  <c r="Y104" i="8"/>
  <c r="BG104" i="8" s="1"/>
  <c r="BD103" i="8"/>
  <c r="Y103" i="8"/>
  <c r="BG103" i="8" s="1"/>
  <c r="BD101" i="8"/>
  <c r="Y101" i="8"/>
  <c r="BG101" i="8" s="1"/>
  <c r="BA95" i="8"/>
  <c r="W95" i="8"/>
  <c r="BA83" i="8"/>
  <c r="W83" i="8"/>
  <c r="BA80" i="8"/>
  <c r="W80" i="8"/>
  <c r="BA61" i="8"/>
  <c r="W61" i="8"/>
  <c r="BA131" i="8"/>
  <c r="BD111" i="8"/>
  <c r="Y111" i="8"/>
  <c r="BG111" i="8" s="1"/>
  <c r="BD109" i="8"/>
  <c r="Y109" i="8"/>
  <c r="BG109" i="8" s="1"/>
  <c r="BD107" i="8"/>
  <c r="Y107" i="8"/>
  <c r="BG107" i="8" s="1"/>
  <c r="BD106" i="8"/>
  <c r="Y106" i="8"/>
  <c r="BG106" i="8" s="1"/>
  <c r="BA100" i="8"/>
  <c r="W100" i="8"/>
  <c r="BA99" i="8"/>
  <c r="W99" i="8"/>
  <c r="BA98" i="8"/>
  <c r="W98" i="8"/>
  <c r="BA93" i="8"/>
  <c r="W93" i="8"/>
  <c r="BA23" i="8"/>
  <c r="W23" i="8"/>
  <c r="BA20" i="8"/>
  <c r="W20" i="8"/>
  <c r="BA19" i="8"/>
  <c r="W19" i="8"/>
  <c r="BA17" i="8"/>
  <c r="W17" i="8"/>
  <c r="BA13" i="8"/>
  <c r="W13" i="8"/>
  <c r="BA12" i="8"/>
  <c r="W12" i="8"/>
  <c r="BA56" i="8"/>
  <c r="W56" i="8"/>
  <c r="BA55" i="8"/>
  <c r="W55" i="8"/>
  <c r="U47" i="8"/>
  <c r="BA47" i="8" s="1"/>
  <c r="BF92" i="8"/>
  <c r="BF91" i="8" s="1"/>
  <c r="BC91" i="8"/>
  <c r="BF85" i="8"/>
  <c r="BF82" i="8"/>
  <c r="BF81" i="8" s="1"/>
  <c r="BC81" i="8"/>
  <c r="BF79" i="8"/>
  <c r="BF78" i="8" s="1"/>
  <c r="BC78" i="8"/>
  <c r="BF55" i="8"/>
  <c r="BF47" i="8" s="1"/>
  <c r="BC47" i="8"/>
  <c r="BF39" i="8"/>
  <c r="BF38" i="8" s="1"/>
  <c r="BC38" i="8"/>
  <c r="AX78" i="8"/>
  <c r="AZ37" i="8"/>
  <c r="AZ87" i="8" s="1"/>
  <c r="AZ77" i="8" s="1"/>
  <c r="AW76" i="8"/>
  <c r="CZ67" i="5"/>
  <c r="CA76" i="5"/>
  <c r="W66" i="5"/>
  <c r="AK63" i="5"/>
  <c r="AK76" i="5"/>
  <c r="AK66" i="5" s="1"/>
  <c r="Y64" i="5"/>
  <c r="Y65" i="5"/>
  <c r="CX8" i="5"/>
  <c r="CX63" i="5" s="1"/>
  <c r="CX64" i="5" s="1"/>
  <c r="CY27" i="5"/>
  <c r="AQ27" i="5"/>
  <c r="AM26" i="5"/>
  <c r="CY26" i="5" s="1"/>
  <c r="CT37" i="5"/>
  <c r="AJ36" i="5"/>
  <c r="AR38" i="5"/>
  <c r="CZ38" i="5"/>
  <c r="AN37" i="5"/>
  <c r="AB64" i="5"/>
  <c r="AB65" i="5"/>
  <c r="CS10" i="5"/>
  <c r="AM10" i="5"/>
  <c r="AI9" i="5"/>
  <c r="CZ75" i="5"/>
  <c r="AR75" i="5"/>
  <c r="CY60" i="5"/>
  <c r="AQ60" i="5"/>
  <c r="CM36" i="5"/>
  <c r="CW8" i="5"/>
  <c r="CZ111" i="5"/>
  <c r="AR111" i="5"/>
  <c r="DE96" i="5"/>
  <c r="AU96" i="5"/>
  <c r="DK96" i="5" s="1"/>
  <c r="DE95" i="5"/>
  <c r="AU95" i="5"/>
  <c r="DK95" i="5" s="1"/>
  <c r="DE94" i="5"/>
  <c r="AU94" i="5"/>
  <c r="DK94" i="5" s="1"/>
  <c r="DE93" i="5"/>
  <c r="AU93" i="5"/>
  <c r="DK93" i="5" s="1"/>
  <c r="DE92" i="5"/>
  <c r="AU92" i="5"/>
  <c r="DK92" i="5" s="1"/>
  <c r="DF89" i="5"/>
  <c r="AV89" i="5"/>
  <c r="DL89" i="5" s="1"/>
  <c r="DE91" i="5"/>
  <c r="AU91" i="5"/>
  <c r="DK91" i="5" s="1"/>
  <c r="CS87" i="5"/>
  <c r="AM87" i="5"/>
  <c r="AG63" i="5"/>
  <c r="AG76" i="5"/>
  <c r="AG66" i="5" s="1"/>
  <c r="AV44" i="5"/>
  <c r="DL44" i="5" s="1"/>
  <c r="DF44" i="5"/>
  <c r="CY85" i="5"/>
  <c r="AQ85" i="5"/>
  <c r="CY82" i="5"/>
  <c r="AQ82" i="5"/>
  <c r="CW73" i="5"/>
  <c r="DC74" i="5"/>
  <c r="CZ83" i="5"/>
  <c r="AR83" i="5"/>
  <c r="CY81" i="5"/>
  <c r="AQ81" i="5"/>
  <c r="AM80" i="5"/>
  <c r="AV72" i="5"/>
  <c r="DL72" i="5" s="1"/>
  <c r="DF72" i="5"/>
  <c r="DD81" i="5"/>
  <c r="CX80" i="5"/>
  <c r="DJ74" i="5"/>
  <c r="DI71" i="5"/>
  <c r="DI70" i="5" s="1"/>
  <c r="DC70" i="5"/>
  <c r="DI68" i="5"/>
  <c r="DI67" i="5" s="1"/>
  <c r="DC67" i="5"/>
  <c r="DC81" i="5"/>
  <c r="CW80" i="5"/>
  <c r="AV57" i="5"/>
  <c r="DL57" i="5" s="1"/>
  <c r="DF57" i="5"/>
  <c r="CZ74" i="5"/>
  <c r="AR74" i="5"/>
  <c r="AN73" i="5"/>
  <c r="CS12" i="5"/>
  <c r="AM12" i="5"/>
  <c r="CZ55" i="5"/>
  <c r="AR55" i="5"/>
  <c r="CD98" i="5"/>
  <c r="CB98" i="5"/>
  <c r="CG76" i="5"/>
  <c r="AA66" i="5"/>
  <c r="DU10" i="5"/>
  <c r="DV10" i="5"/>
  <c r="BA10" i="5"/>
  <c r="E9" i="5"/>
  <c r="CW38" i="5"/>
  <c r="CQ37" i="5"/>
  <c r="CQ36" i="5" s="1"/>
  <c r="CQ76" i="5" s="1"/>
  <c r="CQ66" i="5" s="1"/>
  <c r="DJ54" i="5"/>
  <c r="DJ46" i="5" s="1"/>
  <c r="DD46" i="5"/>
  <c r="DD36" i="5" s="1"/>
  <c r="AU69" i="5"/>
  <c r="DK69" i="5" s="1"/>
  <c r="DE69" i="5"/>
  <c r="DE52" i="5"/>
  <c r="AU52" i="5"/>
  <c r="DK52" i="5" s="1"/>
  <c r="AN9" i="5"/>
  <c r="CZ10" i="5"/>
  <c r="AR10" i="5"/>
  <c r="CT9" i="5"/>
  <c r="CT65" i="5" s="1"/>
  <c r="AJ8" i="5"/>
  <c r="AR21" i="5"/>
  <c r="CZ21" i="5"/>
  <c r="AR16" i="5"/>
  <c r="CZ16" i="5"/>
  <c r="AI36" i="5"/>
  <c r="DF30" i="5"/>
  <c r="AV30" i="5"/>
  <c r="DL30" i="5" s="1"/>
  <c r="CY75" i="5"/>
  <c r="AQ75" i="5"/>
  <c r="CY68" i="5"/>
  <c r="AQ68" i="5"/>
  <c r="AM67" i="5"/>
  <c r="AM73" i="5"/>
  <c r="CY74" i="5"/>
  <c r="AQ74" i="5"/>
  <c r="CZ54" i="5"/>
  <c r="AR54" i="5"/>
  <c r="AN46" i="5"/>
  <c r="CZ46" i="5" s="1"/>
  <c r="CA98" i="5"/>
  <c r="CC98" i="5"/>
  <c r="CY11" i="5"/>
  <c r="AQ11" i="5"/>
  <c r="AV68" i="5"/>
  <c r="DF68" i="5"/>
  <c r="CS73" i="5"/>
  <c r="CK64" i="5"/>
  <c r="CK65" i="5"/>
  <c r="CX70" i="5"/>
  <c r="DD71" i="5"/>
  <c r="CY42" i="5"/>
  <c r="AQ42" i="5"/>
  <c r="CY39" i="5"/>
  <c r="AQ39" i="5"/>
  <c r="CZ34" i="5"/>
  <c r="AR34" i="5"/>
  <c r="CZ11" i="5"/>
  <c r="AR11" i="5"/>
  <c r="DD9" i="5"/>
  <c r="DJ10" i="5"/>
  <c r="DJ9" i="5" s="1"/>
  <c r="CS20" i="5"/>
  <c r="AM20" i="5"/>
  <c r="CY25" i="5"/>
  <c r="AQ25" i="5"/>
  <c r="CY57" i="5"/>
  <c r="AQ57" i="5"/>
  <c r="CY23" i="5"/>
  <c r="AQ23" i="5"/>
  <c r="CY16" i="5"/>
  <c r="AQ16" i="5"/>
  <c r="CZ39" i="5"/>
  <c r="AR39" i="5"/>
  <c r="CY29" i="5"/>
  <c r="AQ29" i="5"/>
  <c r="CZ69" i="5"/>
  <c r="AR69" i="5"/>
  <c r="CZ33" i="5"/>
  <c r="AR33" i="5"/>
  <c r="CY31" i="5"/>
  <c r="AQ31" i="5"/>
  <c r="CZ29" i="5"/>
  <c r="AR29" i="5"/>
  <c r="DF28" i="5"/>
  <c r="AV28" i="5"/>
  <c r="DL28" i="5" s="1"/>
  <c r="CY24" i="5"/>
  <c r="AQ24" i="5"/>
  <c r="CZ19" i="5"/>
  <c r="AR19" i="5"/>
  <c r="CY55" i="5"/>
  <c r="AQ55" i="5"/>
  <c r="DC46" i="5"/>
  <c r="DI54" i="5"/>
  <c r="DI46" i="5" s="1"/>
  <c r="CZ42" i="5"/>
  <c r="AR42" i="5"/>
  <c r="CY41" i="5"/>
  <c r="AQ41" i="5"/>
  <c r="CY35" i="5"/>
  <c r="AQ35" i="5"/>
  <c r="CY33" i="5"/>
  <c r="AQ33" i="5"/>
  <c r="CZ32" i="5"/>
  <c r="AR32" i="5"/>
  <c r="CZ31" i="5"/>
  <c r="AR31" i="5"/>
  <c r="CY30" i="5"/>
  <c r="AQ30" i="5"/>
  <c r="CS22" i="5"/>
  <c r="AM22" i="5"/>
  <c r="CS17" i="5"/>
  <c r="AM17" i="5"/>
  <c r="CS15" i="5"/>
  <c r="AM15" i="5"/>
  <c r="CZ12" i="5"/>
  <c r="AR12" i="5"/>
  <c r="CY28" i="5"/>
  <c r="AQ28" i="5"/>
  <c r="CY111" i="5"/>
  <c r="AQ111" i="5"/>
  <c r="CY86" i="5"/>
  <c r="AQ86" i="5"/>
  <c r="DF87" i="5"/>
  <c r="AV87" i="5"/>
  <c r="DL87" i="5" s="1"/>
  <c r="CZ85" i="5"/>
  <c r="AR85" i="5"/>
  <c r="CZ82" i="5"/>
  <c r="AR82" i="5"/>
  <c r="CN36" i="5"/>
  <c r="AF76" i="5"/>
  <c r="DE89" i="5"/>
  <c r="AU89" i="5"/>
  <c r="DK89" i="5" s="1"/>
  <c r="CZ86" i="5"/>
  <c r="AR86" i="5"/>
  <c r="CZ84" i="5"/>
  <c r="AR84" i="5"/>
  <c r="DD75" i="5"/>
  <c r="DC75" i="5"/>
  <c r="CM9" i="5"/>
  <c r="CM65" i="5" s="1"/>
  <c r="AE8" i="5"/>
  <c r="CY34" i="5"/>
  <c r="AQ34" i="5"/>
  <c r="CZ23" i="5"/>
  <c r="AR23" i="5"/>
  <c r="CS21" i="5"/>
  <c r="AM21" i="5"/>
  <c r="CZ18" i="5"/>
  <c r="AR18" i="5"/>
  <c r="CY13" i="5"/>
  <c r="AQ13" i="5"/>
  <c r="CY84" i="5"/>
  <c r="AQ84" i="5"/>
  <c r="CZ81" i="5"/>
  <c r="AR81" i="5"/>
  <c r="AN80" i="5"/>
  <c r="AV35" i="5"/>
  <c r="DL35" i="5" s="1"/>
  <c r="DF35" i="5"/>
  <c r="DI27" i="5"/>
  <c r="DI26" i="5" s="1"/>
  <c r="DC26" i="5"/>
  <c r="DJ27" i="5"/>
  <c r="DJ26" i="5" s="1"/>
  <c r="DD26" i="5"/>
  <c r="DI10" i="5"/>
  <c r="DI9" i="5" s="1"/>
  <c r="DC9" i="5"/>
  <c r="DM7" i="5"/>
  <c r="DK7" i="5"/>
  <c r="DN7" i="5"/>
  <c r="DL7" i="5"/>
  <c r="AV20" i="5"/>
  <c r="DL20" i="5" s="1"/>
  <c r="DF20" i="5"/>
  <c r="W64" i="5"/>
  <c r="W65" i="5"/>
  <c r="CZ27" i="5"/>
  <c r="AR27" i="5"/>
  <c r="AN26" i="5"/>
  <c r="CZ26" i="5" s="1"/>
  <c r="AM46" i="5"/>
  <c r="CY46" i="5" s="1"/>
  <c r="CY54" i="5"/>
  <c r="AQ54" i="5"/>
  <c r="CS18" i="5"/>
  <c r="AM18" i="5"/>
  <c r="CY72" i="5"/>
  <c r="AQ72" i="5"/>
  <c r="CZ60" i="5"/>
  <c r="AR60" i="5"/>
  <c r="CZ52" i="5"/>
  <c r="AR52" i="5"/>
  <c r="CY44" i="5"/>
  <c r="AQ44" i="5"/>
  <c r="CY43" i="5"/>
  <c r="AQ43" i="5"/>
  <c r="CY83" i="5"/>
  <c r="AQ83" i="5"/>
  <c r="CH76" i="5"/>
  <c r="AB66" i="5"/>
  <c r="AF63" i="5"/>
  <c r="CN8" i="5"/>
  <c r="AA63" i="5"/>
  <c r="CG8" i="5"/>
  <c r="AR22" i="5"/>
  <c r="CZ22" i="5"/>
  <c r="AR17" i="5"/>
  <c r="CZ17" i="5"/>
  <c r="AV13" i="5"/>
  <c r="DL13" i="5" s="1"/>
  <c r="DF13" i="5"/>
  <c r="DF41" i="5"/>
  <c r="AV41" i="5"/>
  <c r="DL41" i="5" s="1"/>
  <c r="AM14" i="5"/>
  <c r="CS14" i="5"/>
  <c r="CY71" i="5"/>
  <c r="AQ71" i="5"/>
  <c r="AM70" i="5"/>
  <c r="CY70" i="5" s="1"/>
  <c r="CY38" i="5"/>
  <c r="AM37" i="5"/>
  <c r="AQ38" i="5"/>
  <c r="AO63" i="5"/>
  <c r="AO76" i="5"/>
  <c r="AO66" i="5" s="1"/>
  <c r="CS19" i="5"/>
  <c r="AM19" i="5"/>
  <c r="CS67" i="5"/>
  <c r="AU32" i="5"/>
  <c r="DK32" i="5" s="1"/>
  <c r="DE32" i="5"/>
  <c r="AV43" i="5"/>
  <c r="DL43" i="5" s="1"/>
  <c r="DF43" i="5"/>
  <c r="AQ90" i="5"/>
  <c r="CY90" i="5"/>
  <c r="AR71" i="5"/>
  <c r="AN70" i="5"/>
  <c r="CZ70" i="5" s="1"/>
  <c r="CZ71" i="5"/>
  <c r="CX73" i="5"/>
  <c r="DJ36" i="5"/>
  <c r="CS38" i="5"/>
  <c r="CT70" i="5"/>
  <c r="CQ63" i="5" l="1"/>
  <c r="BC37" i="8"/>
  <c r="CS37" i="5"/>
  <c r="BC37" i="9"/>
  <c r="AZ87" i="9"/>
  <c r="AZ77" i="9" s="1"/>
  <c r="AV87" i="11"/>
  <c r="DL87" i="11" s="1"/>
  <c r="CX76" i="5"/>
  <c r="CX66" i="5" s="1"/>
  <c r="CZ80" i="5"/>
  <c r="DL94" i="11"/>
  <c r="AV91" i="11"/>
  <c r="DL91" i="11" s="1"/>
  <c r="BF37" i="8"/>
  <c r="BF37" i="9"/>
  <c r="CY73" i="5"/>
  <c r="BC37" i="10"/>
  <c r="DH112" i="1"/>
  <c r="AX112" i="1"/>
  <c r="AW112" i="1"/>
  <c r="DG112" i="1"/>
  <c r="DJ77" i="11"/>
  <c r="DK94" i="11"/>
  <c r="AU91" i="11"/>
  <c r="DK91" i="11" s="1"/>
  <c r="AZ74" i="10"/>
  <c r="AZ75" i="10" s="1"/>
  <c r="BF37" i="10"/>
  <c r="AV77" i="11"/>
  <c r="CV114" i="11"/>
  <c r="CU114" i="11"/>
  <c r="CT114" i="1"/>
  <c r="CX12" i="11"/>
  <c r="CR75" i="11"/>
  <c r="CR76" i="11"/>
  <c r="Z114" i="1"/>
  <c r="X118" i="1"/>
  <c r="U118" i="11"/>
  <c r="W114" i="11"/>
  <c r="CA114" i="11" s="1"/>
  <c r="N114" i="8"/>
  <c r="AR114" i="8" s="1"/>
  <c r="CR114" i="11"/>
  <c r="CP118" i="11"/>
  <c r="CR118" i="11" s="1"/>
  <c r="CS114" i="1"/>
  <c r="Y114" i="1"/>
  <c r="W118" i="1"/>
  <c r="X114" i="11"/>
  <c r="CB114" i="11" s="1"/>
  <c r="V118" i="11"/>
  <c r="CW12" i="11"/>
  <c r="CQ75" i="11"/>
  <c r="CQ76" i="11"/>
  <c r="CO118" i="11"/>
  <c r="CQ118" i="11" s="1"/>
  <c r="CQ114" i="11"/>
  <c r="AZ87" i="10"/>
  <c r="AZ77" i="10" s="1"/>
  <c r="AU74" i="11"/>
  <c r="DK9" i="11"/>
  <c r="AQ75" i="11"/>
  <c r="AQ76" i="11"/>
  <c r="DE87" i="11"/>
  <c r="AQ77" i="11"/>
  <c r="AV74" i="11"/>
  <c r="DL9" i="11"/>
  <c r="AR75" i="11"/>
  <c r="AR76" i="11"/>
  <c r="AU87" i="11"/>
  <c r="AR77" i="11"/>
  <c r="CW114" i="1"/>
  <c r="CX114" i="1"/>
  <c r="AU87" i="10"/>
  <c r="Q77" i="10"/>
  <c r="BD92" i="10"/>
  <c r="Y92" i="10"/>
  <c r="W91" i="10"/>
  <c r="BD91" i="10" s="1"/>
  <c r="BD11" i="10"/>
  <c r="Y11" i="10"/>
  <c r="W10" i="10"/>
  <c r="BD94" i="10"/>
  <c r="Y94" i="10"/>
  <c r="BG94" i="10" s="1"/>
  <c r="BD55" i="10"/>
  <c r="Y55" i="10"/>
  <c r="W47" i="10"/>
  <c r="BD47" i="10" s="1"/>
  <c r="BD40" i="10"/>
  <c r="Y40" i="10"/>
  <c r="BG40" i="10" s="1"/>
  <c r="BD53" i="10"/>
  <c r="Y53" i="10"/>
  <c r="BG53" i="10" s="1"/>
  <c r="BD58" i="10"/>
  <c r="Y58" i="10"/>
  <c r="BG58" i="10" s="1"/>
  <c r="BD61" i="10"/>
  <c r="Y61" i="10"/>
  <c r="BG61" i="10" s="1"/>
  <c r="BD13" i="10"/>
  <c r="Y13" i="10"/>
  <c r="BG13" i="10" s="1"/>
  <c r="BD15" i="10"/>
  <c r="Y15" i="10"/>
  <c r="BG15" i="10" s="1"/>
  <c r="BD17" i="10"/>
  <c r="Y17" i="10"/>
  <c r="BG17" i="10" s="1"/>
  <c r="BD19" i="10"/>
  <c r="Y19" i="10"/>
  <c r="BG19" i="10" s="1"/>
  <c r="BD21" i="10"/>
  <c r="Y21" i="10"/>
  <c r="BG21" i="10" s="1"/>
  <c r="BD23" i="10"/>
  <c r="Y23" i="10"/>
  <c r="BG23" i="10" s="1"/>
  <c r="BD25" i="10"/>
  <c r="Y25" i="10"/>
  <c r="BG25" i="10" s="1"/>
  <c r="X114" i="10"/>
  <c r="Y114" i="10" s="1"/>
  <c r="BB114" i="10"/>
  <c r="BC114" i="10" s="1"/>
  <c r="BD42" i="10"/>
  <c r="Y42" i="10"/>
  <c r="BG42" i="10" s="1"/>
  <c r="BD43" i="10"/>
  <c r="Y43" i="10"/>
  <c r="BG43" i="10" s="1"/>
  <c r="BD44" i="10"/>
  <c r="Y44" i="10"/>
  <c r="BG44" i="10" s="1"/>
  <c r="BD45" i="10"/>
  <c r="Y45" i="10"/>
  <c r="BG45" i="10" s="1"/>
  <c r="BD83" i="10"/>
  <c r="Y83" i="10"/>
  <c r="BG83" i="10" s="1"/>
  <c r="BF86" i="10"/>
  <c r="BF84" i="10" s="1"/>
  <c r="BD95" i="10"/>
  <c r="Y95" i="10"/>
  <c r="BG95" i="10" s="1"/>
  <c r="BD96" i="10"/>
  <c r="Y96" i="10"/>
  <c r="BG96" i="10" s="1"/>
  <c r="BD12" i="10"/>
  <c r="Y12" i="10"/>
  <c r="BG12" i="10" s="1"/>
  <c r="BD14" i="10"/>
  <c r="Y14" i="10"/>
  <c r="BG14" i="10" s="1"/>
  <c r="BD16" i="10"/>
  <c r="Y16" i="10"/>
  <c r="BG16" i="10" s="1"/>
  <c r="BD18" i="10"/>
  <c r="Y18" i="10"/>
  <c r="BG18" i="10" s="1"/>
  <c r="BD20" i="10"/>
  <c r="Y20" i="10"/>
  <c r="BG20" i="10" s="1"/>
  <c r="BD22" i="10"/>
  <c r="Y22" i="10"/>
  <c r="BG22" i="10" s="1"/>
  <c r="BD24" i="10"/>
  <c r="Y24" i="10"/>
  <c r="BG24" i="10" s="1"/>
  <c r="BD26" i="10"/>
  <c r="Y26" i="10"/>
  <c r="BG26" i="10" s="1"/>
  <c r="BD29" i="10"/>
  <c r="Y29" i="10"/>
  <c r="BG29" i="10" s="1"/>
  <c r="BD31" i="10"/>
  <c r="Y31" i="10"/>
  <c r="BG31" i="10" s="1"/>
  <c r="BD33" i="10"/>
  <c r="Y33" i="10"/>
  <c r="BG33" i="10" s="1"/>
  <c r="BD35" i="10"/>
  <c r="Y35" i="10"/>
  <c r="BG35" i="10" s="1"/>
  <c r="BA78" i="10"/>
  <c r="BD39" i="10"/>
  <c r="Y39" i="10"/>
  <c r="W38" i="10"/>
  <c r="BC9" i="10"/>
  <c r="BC74" i="10" s="1"/>
  <c r="BC75" i="10" s="1"/>
  <c r="BD56" i="10"/>
  <c r="Y56" i="10"/>
  <c r="BG56" i="10" s="1"/>
  <c r="BD80" i="10"/>
  <c r="Y80" i="10"/>
  <c r="BG80" i="10" s="1"/>
  <c r="BD93" i="10"/>
  <c r="Y93" i="10"/>
  <c r="BG93" i="10" s="1"/>
  <c r="BD97" i="10"/>
  <c r="Y97" i="10"/>
  <c r="BG97" i="10" s="1"/>
  <c r="BD98" i="10"/>
  <c r="Y98" i="10"/>
  <c r="BG98" i="10" s="1"/>
  <c r="BD99" i="10"/>
  <c r="Y99" i="10"/>
  <c r="BG99" i="10" s="1"/>
  <c r="BD100" i="10"/>
  <c r="Y100" i="10"/>
  <c r="BG100" i="10" s="1"/>
  <c r="BD128" i="10"/>
  <c r="BG128" i="10"/>
  <c r="BD30" i="10"/>
  <c r="Y30" i="10"/>
  <c r="BG30" i="10" s="1"/>
  <c r="BD32" i="10"/>
  <c r="Y32" i="10"/>
  <c r="BG32" i="10" s="1"/>
  <c r="BD34" i="10"/>
  <c r="Y34" i="10"/>
  <c r="BG34" i="10" s="1"/>
  <c r="BD36" i="10"/>
  <c r="Y36" i="10"/>
  <c r="BG36" i="10" s="1"/>
  <c r="Q75" i="10"/>
  <c r="Q76" i="10"/>
  <c r="BD28" i="10"/>
  <c r="Y28" i="10"/>
  <c r="W27" i="10"/>
  <c r="BD27" i="10" s="1"/>
  <c r="AX37" i="10"/>
  <c r="S87" i="10"/>
  <c r="BA10" i="10"/>
  <c r="U9" i="10"/>
  <c r="BD82" i="10"/>
  <c r="Y82" i="10"/>
  <c r="W81" i="10"/>
  <c r="BD81" i="10" s="1"/>
  <c r="BD79" i="10"/>
  <c r="Y79" i="10"/>
  <c r="W78" i="10"/>
  <c r="BA38" i="10"/>
  <c r="U37" i="10"/>
  <c r="BF9" i="10"/>
  <c r="S74" i="10"/>
  <c r="AX9" i="10"/>
  <c r="BD85" i="10"/>
  <c r="Y85" i="10"/>
  <c r="W84" i="10"/>
  <c r="BD84" i="10" s="1"/>
  <c r="BD86" i="10"/>
  <c r="Y86" i="10"/>
  <c r="AZ76" i="10"/>
  <c r="AX37" i="9"/>
  <c r="S87" i="9"/>
  <c r="BD82" i="9"/>
  <c r="Y82" i="9"/>
  <c r="W81" i="9"/>
  <c r="BD81" i="9" s="1"/>
  <c r="BF9" i="9"/>
  <c r="BF74" i="9" s="1"/>
  <c r="BF75" i="9" s="1"/>
  <c r="S74" i="9"/>
  <c r="AX9" i="9"/>
  <c r="BD79" i="9"/>
  <c r="Y79" i="9"/>
  <c r="W78" i="9"/>
  <c r="BD39" i="9"/>
  <c r="Y39" i="9"/>
  <c r="W38" i="9"/>
  <c r="BD92" i="9"/>
  <c r="Y92" i="9"/>
  <c r="W91" i="9"/>
  <c r="BD91" i="9" s="1"/>
  <c r="BD94" i="9"/>
  <c r="Y94" i="9"/>
  <c r="BG94" i="9" s="1"/>
  <c r="BA10" i="9"/>
  <c r="U9" i="9"/>
  <c r="BD83" i="9"/>
  <c r="Y83" i="9"/>
  <c r="BG83" i="9" s="1"/>
  <c r="BF86" i="9"/>
  <c r="BD95" i="9"/>
  <c r="Y95" i="9"/>
  <c r="BG95" i="9" s="1"/>
  <c r="BD96" i="9"/>
  <c r="Y96" i="9"/>
  <c r="BG96" i="9" s="1"/>
  <c r="BD13" i="9"/>
  <c r="Y13" i="9"/>
  <c r="BG13" i="9" s="1"/>
  <c r="BD17" i="9"/>
  <c r="Y17" i="9"/>
  <c r="BG17" i="9" s="1"/>
  <c r="BD19" i="9"/>
  <c r="Y19" i="9"/>
  <c r="BG19" i="9" s="1"/>
  <c r="BD21" i="9"/>
  <c r="Y21" i="9"/>
  <c r="BG21" i="9" s="1"/>
  <c r="BD23" i="9"/>
  <c r="Y23" i="9"/>
  <c r="BG23" i="9" s="1"/>
  <c r="BD25" i="9"/>
  <c r="Y25" i="9"/>
  <c r="BG25" i="9" s="1"/>
  <c r="AU87" i="9"/>
  <c r="Q77" i="9"/>
  <c r="BD85" i="9"/>
  <c r="Y85" i="9"/>
  <c r="W84" i="9"/>
  <c r="BD84" i="9" s="1"/>
  <c r="BD86" i="9"/>
  <c r="Y86" i="9"/>
  <c r="BC9" i="9"/>
  <c r="BC74" i="9" s="1"/>
  <c r="BC75" i="9" s="1"/>
  <c r="BD93" i="9"/>
  <c r="Y93" i="9"/>
  <c r="BG93" i="9" s="1"/>
  <c r="BD97" i="9"/>
  <c r="Y97" i="9"/>
  <c r="BG97" i="9" s="1"/>
  <c r="BD98" i="9"/>
  <c r="Y98" i="9"/>
  <c r="BG98" i="9" s="1"/>
  <c r="BD99" i="9"/>
  <c r="Y99" i="9"/>
  <c r="BG99" i="9" s="1"/>
  <c r="BD100" i="9"/>
  <c r="Y100" i="9"/>
  <c r="BG100" i="9" s="1"/>
  <c r="BD131" i="9"/>
  <c r="BG131" i="9"/>
  <c r="BD30" i="9"/>
  <c r="Y30" i="9"/>
  <c r="BG30" i="9" s="1"/>
  <c r="BD32" i="9"/>
  <c r="Y32" i="9"/>
  <c r="BG32" i="9" s="1"/>
  <c r="BD34" i="9"/>
  <c r="Y34" i="9"/>
  <c r="BG34" i="9" s="1"/>
  <c r="BD36" i="9"/>
  <c r="Y36" i="9"/>
  <c r="BG36" i="9" s="1"/>
  <c r="X114" i="9"/>
  <c r="Y114" i="9" s="1"/>
  <c r="AY118" i="9"/>
  <c r="AZ118" i="9" s="1"/>
  <c r="BB114" i="9"/>
  <c r="BC114" i="9" s="1"/>
  <c r="BD42" i="9"/>
  <c r="Y42" i="9"/>
  <c r="BG42" i="9" s="1"/>
  <c r="BD43" i="9"/>
  <c r="Y43" i="9"/>
  <c r="BG43" i="9" s="1"/>
  <c r="BD44" i="9"/>
  <c r="Y44" i="9"/>
  <c r="BG44" i="9" s="1"/>
  <c r="BD45" i="9"/>
  <c r="Y45" i="9"/>
  <c r="BG45" i="9" s="1"/>
  <c r="BD40" i="9"/>
  <c r="Y40" i="9"/>
  <c r="BG40" i="9" s="1"/>
  <c r="BD53" i="9"/>
  <c r="Y53" i="9"/>
  <c r="BG53" i="9" s="1"/>
  <c r="BD58" i="9"/>
  <c r="Y58" i="9"/>
  <c r="BG58" i="9" s="1"/>
  <c r="BD61" i="9"/>
  <c r="Y61" i="9"/>
  <c r="BG61" i="9" s="1"/>
  <c r="BA78" i="9"/>
  <c r="BA38" i="9"/>
  <c r="U37" i="9"/>
  <c r="BD80" i="9"/>
  <c r="Y80" i="9"/>
  <c r="BG80" i="9" s="1"/>
  <c r="BD56" i="9"/>
  <c r="Y56" i="9"/>
  <c r="BG56" i="9" s="1"/>
  <c r="BD12" i="9"/>
  <c r="Y12" i="9"/>
  <c r="BG12" i="9" s="1"/>
  <c r="BD14" i="9"/>
  <c r="Y14" i="9"/>
  <c r="BG14" i="9" s="1"/>
  <c r="BD18" i="9"/>
  <c r="Y18" i="9"/>
  <c r="BG18" i="9" s="1"/>
  <c r="BD20" i="9"/>
  <c r="Y20" i="9"/>
  <c r="BG20" i="9" s="1"/>
  <c r="BD22" i="9"/>
  <c r="Y22" i="9"/>
  <c r="BG22" i="9" s="1"/>
  <c r="BD24" i="9"/>
  <c r="Y24" i="9"/>
  <c r="BG24" i="9" s="1"/>
  <c r="BD26" i="9"/>
  <c r="Y26" i="9"/>
  <c r="BG26" i="9" s="1"/>
  <c r="BD29" i="9"/>
  <c r="Y29" i="9"/>
  <c r="BG29" i="9" s="1"/>
  <c r="BD31" i="9"/>
  <c r="Y31" i="9"/>
  <c r="BG31" i="9" s="1"/>
  <c r="BD33" i="9"/>
  <c r="Y33" i="9"/>
  <c r="BG33" i="9" s="1"/>
  <c r="BD35" i="9"/>
  <c r="Y35" i="9"/>
  <c r="BG35" i="9" s="1"/>
  <c r="BD55" i="9"/>
  <c r="Y55" i="9"/>
  <c r="W47" i="9"/>
  <c r="BD47" i="9" s="1"/>
  <c r="Q75" i="9"/>
  <c r="Q76" i="9"/>
  <c r="BD28" i="9"/>
  <c r="Y28" i="9"/>
  <c r="W27" i="9"/>
  <c r="BD27" i="9" s="1"/>
  <c r="BD11" i="9"/>
  <c r="Y11" i="9"/>
  <c r="W10" i="9"/>
  <c r="BF84" i="9"/>
  <c r="AZ74" i="9"/>
  <c r="BD55" i="8"/>
  <c r="Y55" i="8"/>
  <c r="W47" i="8"/>
  <c r="BD47" i="8" s="1"/>
  <c r="BD56" i="8"/>
  <c r="Y56" i="8"/>
  <c r="BG56" i="8" s="1"/>
  <c r="BD12" i="8"/>
  <c r="Y12" i="8"/>
  <c r="BG12" i="8" s="1"/>
  <c r="BD13" i="8"/>
  <c r="Y13" i="8"/>
  <c r="BG13" i="8" s="1"/>
  <c r="BD17" i="8"/>
  <c r="Y17" i="8"/>
  <c r="BG17" i="8" s="1"/>
  <c r="BD19" i="8"/>
  <c r="Y19" i="8"/>
  <c r="BG19" i="8" s="1"/>
  <c r="BD20" i="8"/>
  <c r="Y20" i="8"/>
  <c r="BG20" i="8" s="1"/>
  <c r="BD23" i="8"/>
  <c r="Y23" i="8"/>
  <c r="BG23" i="8" s="1"/>
  <c r="BC9" i="8"/>
  <c r="BC74" i="8" s="1"/>
  <c r="BC75" i="8" s="1"/>
  <c r="AY118" i="8"/>
  <c r="AZ118" i="8" s="1"/>
  <c r="BB114" i="8"/>
  <c r="BC114" i="8" s="1"/>
  <c r="BD94" i="8"/>
  <c r="Y94" i="8"/>
  <c r="BG94" i="8" s="1"/>
  <c r="BD42" i="8"/>
  <c r="Y42" i="8"/>
  <c r="BG42" i="8" s="1"/>
  <c r="BD43" i="8"/>
  <c r="Y43" i="8"/>
  <c r="BG43" i="8" s="1"/>
  <c r="BD44" i="8"/>
  <c r="Y44" i="8"/>
  <c r="BG44" i="8" s="1"/>
  <c r="BD45" i="8"/>
  <c r="Y45" i="8"/>
  <c r="BG45" i="8" s="1"/>
  <c r="BD29" i="8"/>
  <c r="Y29" i="8"/>
  <c r="BG29" i="8" s="1"/>
  <c r="BD30" i="8"/>
  <c r="Y30" i="8"/>
  <c r="BG30" i="8" s="1"/>
  <c r="BD31" i="8"/>
  <c r="Y31" i="8"/>
  <c r="BG31" i="8" s="1"/>
  <c r="BD32" i="8"/>
  <c r="Y32" i="8"/>
  <c r="BG32" i="8" s="1"/>
  <c r="BD33" i="8"/>
  <c r="Y33" i="8"/>
  <c r="BG33" i="8" s="1"/>
  <c r="BD34" i="8"/>
  <c r="Y34" i="8"/>
  <c r="BG34" i="8" s="1"/>
  <c r="BD35" i="8"/>
  <c r="Y35" i="8"/>
  <c r="BG35" i="8" s="1"/>
  <c r="BD36" i="8"/>
  <c r="Y36" i="8"/>
  <c r="BG36" i="8" s="1"/>
  <c r="BD39" i="8"/>
  <c r="Y39" i="8"/>
  <c r="W38" i="8"/>
  <c r="S74" i="8"/>
  <c r="AX9" i="8"/>
  <c r="BD79" i="8"/>
  <c r="Y79" i="8"/>
  <c r="W78" i="8"/>
  <c r="BD25" i="8"/>
  <c r="Y25" i="8"/>
  <c r="BG25" i="8" s="1"/>
  <c r="BD26" i="8"/>
  <c r="Y26" i="8"/>
  <c r="BG26" i="8" s="1"/>
  <c r="BD82" i="8"/>
  <c r="Y82" i="8"/>
  <c r="W81" i="8"/>
  <c r="BD81" i="8" s="1"/>
  <c r="AU87" i="8"/>
  <c r="Q77" i="8"/>
  <c r="Q75" i="8"/>
  <c r="Q76" i="8"/>
  <c r="BD85" i="8"/>
  <c r="Y85" i="8"/>
  <c r="W84" i="8"/>
  <c r="BD84" i="8" s="1"/>
  <c r="BD86" i="8"/>
  <c r="Y86" i="8"/>
  <c r="AX37" i="8"/>
  <c r="S87" i="8"/>
  <c r="BA10" i="8"/>
  <c r="U9" i="8"/>
  <c r="BD93" i="8"/>
  <c r="Y93" i="8"/>
  <c r="BG93" i="8" s="1"/>
  <c r="BD98" i="8"/>
  <c r="Y98" i="8"/>
  <c r="BG98" i="8" s="1"/>
  <c r="BD99" i="8"/>
  <c r="Y99" i="8"/>
  <c r="BG99" i="8" s="1"/>
  <c r="BD100" i="8"/>
  <c r="Y100" i="8"/>
  <c r="BG100" i="8" s="1"/>
  <c r="BD131" i="8"/>
  <c r="BG131" i="8"/>
  <c r="BD61" i="8"/>
  <c r="Y61" i="8"/>
  <c r="BG61" i="8" s="1"/>
  <c r="BD80" i="8"/>
  <c r="Y80" i="8"/>
  <c r="BG80" i="8" s="1"/>
  <c r="BD83" i="8"/>
  <c r="Y83" i="8"/>
  <c r="BG83" i="8" s="1"/>
  <c r="BD95" i="8"/>
  <c r="Y95" i="8"/>
  <c r="BG95" i="8" s="1"/>
  <c r="BF9" i="8"/>
  <c r="BA38" i="8"/>
  <c r="U37" i="8"/>
  <c r="BF86" i="8"/>
  <c r="BD96" i="8"/>
  <c r="Y96" i="8"/>
  <c r="BG96" i="8" s="1"/>
  <c r="BD14" i="8"/>
  <c r="Y14" i="8"/>
  <c r="BG14" i="8" s="1"/>
  <c r="BD18" i="8"/>
  <c r="Y18" i="8"/>
  <c r="BG18" i="8" s="1"/>
  <c r="BD21" i="8"/>
  <c r="Y21" i="8"/>
  <c r="BG21" i="8" s="1"/>
  <c r="BD22" i="8"/>
  <c r="Y22" i="8"/>
  <c r="BG22" i="8" s="1"/>
  <c r="BD24" i="8"/>
  <c r="Y24" i="8"/>
  <c r="BG24" i="8" s="1"/>
  <c r="BA78" i="8"/>
  <c r="BD92" i="8"/>
  <c r="Y92" i="8"/>
  <c r="W91" i="8"/>
  <c r="BD91" i="8" s="1"/>
  <c r="BD97" i="8"/>
  <c r="Y97" i="8"/>
  <c r="BG97" i="8" s="1"/>
  <c r="BD28" i="8"/>
  <c r="Y28" i="8"/>
  <c r="W27" i="8"/>
  <c r="BD27" i="8" s="1"/>
  <c r="BD40" i="8"/>
  <c r="Y40" i="8"/>
  <c r="BG40" i="8" s="1"/>
  <c r="BD53" i="8"/>
  <c r="Y53" i="8"/>
  <c r="BG53" i="8" s="1"/>
  <c r="BD58" i="8"/>
  <c r="Y58" i="8"/>
  <c r="BG58" i="8" s="1"/>
  <c r="BD11" i="8"/>
  <c r="Y11" i="8"/>
  <c r="W10" i="8"/>
  <c r="AZ74" i="8"/>
  <c r="BF84" i="8"/>
  <c r="AV71" i="5"/>
  <c r="AR70" i="5"/>
  <c r="DF71" i="5"/>
  <c r="AU90" i="5"/>
  <c r="DK90" i="5" s="1"/>
  <c r="DE90" i="5"/>
  <c r="AO64" i="5"/>
  <c r="AO65" i="5"/>
  <c r="AM36" i="5"/>
  <c r="AQ14" i="5"/>
  <c r="CY14" i="5"/>
  <c r="AV17" i="5"/>
  <c r="DL17" i="5" s="1"/>
  <c r="DF17" i="5"/>
  <c r="AV22" i="5"/>
  <c r="DL22" i="5" s="1"/>
  <c r="DF22" i="5"/>
  <c r="AA64" i="5"/>
  <c r="AA65" i="5"/>
  <c r="AF64" i="5"/>
  <c r="AF65" i="5"/>
  <c r="DI8" i="5"/>
  <c r="DF81" i="5"/>
  <c r="AV81" i="5"/>
  <c r="AR80" i="5"/>
  <c r="DE84" i="5"/>
  <c r="AU84" i="5"/>
  <c r="DK84" i="5" s="1"/>
  <c r="DE13" i="5"/>
  <c r="AU13" i="5"/>
  <c r="DK13" i="5" s="1"/>
  <c r="DF18" i="5"/>
  <c r="AV18" i="5"/>
  <c r="DL18" i="5" s="1"/>
  <c r="CY21" i="5"/>
  <c r="AQ21" i="5"/>
  <c r="DF23" i="5"/>
  <c r="AV23" i="5"/>
  <c r="DL23" i="5" s="1"/>
  <c r="DE34" i="5"/>
  <c r="AU34" i="5"/>
  <c r="DK34" i="5" s="1"/>
  <c r="AE63" i="5"/>
  <c r="CM8" i="5"/>
  <c r="DD8" i="5"/>
  <c r="DD63" i="5" s="1"/>
  <c r="DD64" i="5" s="1"/>
  <c r="DE11" i="5"/>
  <c r="AU11" i="5"/>
  <c r="DK11" i="5" s="1"/>
  <c r="CC99" i="5"/>
  <c r="CE98" i="5"/>
  <c r="CY67" i="5"/>
  <c r="CS36" i="5"/>
  <c r="AJ63" i="5"/>
  <c r="CT8" i="5"/>
  <c r="E99" i="5"/>
  <c r="DV9" i="5"/>
  <c r="DV65" i="5" s="1"/>
  <c r="DU9" i="5"/>
  <c r="DU65" i="5" s="1"/>
  <c r="BA9" i="5"/>
  <c r="BA65" i="5" s="1"/>
  <c r="E8" i="5"/>
  <c r="AV55" i="5"/>
  <c r="DL55" i="5" s="1"/>
  <c r="DF55" i="5"/>
  <c r="CY12" i="5"/>
  <c r="AQ12" i="5"/>
  <c r="DI81" i="5"/>
  <c r="DI80" i="5" s="1"/>
  <c r="DC80" i="5"/>
  <c r="DJ81" i="5"/>
  <c r="DJ80" i="5" s="1"/>
  <c r="DD80" i="5"/>
  <c r="DE81" i="5"/>
  <c r="AU81" i="5"/>
  <c r="AQ80" i="5"/>
  <c r="DF83" i="5"/>
  <c r="AV83" i="5"/>
  <c r="DL83" i="5" s="1"/>
  <c r="DC73" i="5"/>
  <c r="DI74" i="5"/>
  <c r="DE82" i="5"/>
  <c r="AU82" i="5"/>
  <c r="DK82" i="5" s="1"/>
  <c r="DE85" i="5"/>
  <c r="AU85" i="5"/>
  <c r="DK85" i="5" s="1"/>
  <c r="CY87" i="5"/>
  <c r="AQ87" i="5"/>
  <c r="DF111" i="5"/>
  <c r="AV111" i="5"/>
  <c r="DL111" i="5" s="1"/>
  <c r="AU60" i="5"/>
  <c r="DK60" i="5" s="1"/>
  <c r="DE60" i="5"/>
  <c r="DF75" i="5"/>
  <c r="AV75" i="5"/>
  <c r="CY10" i="5"/>
  <c r="AQ10" i="5"/>
  <c r="AM9" i="5"/>
  <c r="CZ37" i="5"/>
  <c r="AN36" i="5"/>
  <c r="AV38" i="5"/>
  <c r="DF38" i="5"/>
  <c r="AR37" i="5"/>
  <c r="DE27" i="5"/>
  <c r="AU27" i="5"/>
  <c r="AQ26" i="5"/>
  <c r="DE26" i="5" s="1"/>
  <c r="CZ73" i="5"/>
  <c r="AE76" i="5"/>
  <c r="CY19" i="5"/>
  <c r="AQ19" i="5"/>
  <c r="AQ37" i="5"/>
  <c r="AU38" i="5"/>
  <c r="DE71" i="5"/>
  <c r="AU71" i="5"/>
  <c r="AQ70" i="5"/>
  <c r="DE70" i="5" s="1"/>
  <c r="DE83" i="5"/>
  <c r="AU83" i="5"/>
  <c r="DK83" i="5" s="1"/>
  <c r="DE43" i="5"/>
  <c r="AU43" i="5"/>
  <c r="DK43" i="5" s="1"/>
  <c r="DE44" i="5"/>
  <c r="AU44" i="5"/>
  <c r="DK44" i="5" s="1"/>
  <c r="DF52" i="5"/>
  <c r="AV52" i="5"/>
  <c r="DL52" i="5" s="1"/>
  <c r="DF60" i="5"/>
  <c r="AV60" i="5"/>
  <c r="DL60" i="5" s="1"/>
  <c r="DE72" i="5"/>
  <c r="AU72" i="5"/>
  <c r="DK72" i="5" s="1"/>
  <c r="CY18" i="5"/>
  <c r="AQ18" i="5"/>
  <c r="AU54" i="5"/>
  <c r="AQ46" i="5"/>
  <c r="DE46" i="5" s="1"/>
  <c r="DE54" i="5"/>
  <c r="DF27" i="5"/>
  <c r="AV27" i="5"/>
  <c r="AR26" i="5"/>
  <c r="DF26" i="5" s="1"/>
  <c r="DC8" i="5"/>
  <c r="DI75" i="5"/>
  <c r="DJ75" i="5"/>
  <c r="DJ73" i="5" s="1"/>
  <c r="DF84" i="5"/>
  <c r="AV84" i="5"/>
  <c r="DL84" i="5" s="1"/>
  <c r="DF86" i="5"/>
  <c r="AV86" i="5"/>
  <c r="DL86" i="5" s="1"/>
  <c r="CN76" i="5"/>
  <c r="AF66" i="5"/>
  <c r="DF82" i="5"/>
  <c r="AV82" i="5"/>
  <c r="DL82" i="5" s="1"/>
  <c r="DF85" i="5"/>
  <c r="AV85" i="5"/>
  <c r="DL85" i="5" s="1"/>
  <c r="DE86" i="5"/>
  <c r="AU86" i="5"/>
  <c r="DK86" i="5" s="1"/>
  <c r="DE111" i="5"/>
  <c r="AU111" i="5"/>
  <c r="DK111" i="5" s="1"/>
  <c r="DE28" i="5"/>
  <c r="AU28" i="5"/>
  <c r="DK28" i="5" s="1"/>
  <c r="DF12" i="5"/>
  <c r="AV12" i="5"/>
  <c r="DL12" i="5" s="1"/>
  <c r="CY15" i="5"/>
  <c r="AQ15" i="5"/>
  <c r="CY17" i="5"/>
  <c r="AQ17" i="5"/>
  <c r="CY22" i="5"/>
  <c r="AQ22" i="5"/>
  <c r="DE30" i="5"/>
  <c r="AU30" i="5"/>
  <c r="DK30" i="5" s="1"/>
  <c r="DF31" i="5"/>
  <c r="AV31" i="5"/>
  <c r="DL31" i="5" s="1"/>
  <c r="DF32" i="5"/>
  <c r="AV32" i="5"/>
  <c r="DL32" i="5" s="1"/>
  <c r="DE33" i="5"/>
  <c r="AU33" i="5"/>
  <c r="DK33" i="5" s="1"/>
  <c r="DE35" i="5"/>
  <c r="AU35" i="5"/>
  <c r="DK35" i="5" s="1"/>
  <c r="DE41" i="5"/>
  <c r="AU41" i="5"/>
  <c r="DK41" i="5" s="1"/>
  <c r="DF42" i="5"/>
  <c r="AV42" i="5"/>
  <c r="DL42" i="5" s="1"/>
  <c r="DE55" i="5"/>
  <c r="AU55" i="5"/>
  <c r="DK55" i="5" s="1"/>
  <c r="DF19" i="5"/>
  <c r="AV19" i="5"/>
  <c r="DL19" i="5" s="1"/>
  <c r="DE24" i="5"/>
  <c r="AU24" i="5"/>
  <c r="DK24" i="5" s="1"/>
  <c r="DF29" i="5"/>
  <c r="AV29" i="5"/>
  <c r="DL29" i="5" s="1"/>
  <c r="DE31" i="5"/>
  <c r="AU31" i="5"/>
  <c r="DK31" i="5" s="1"/>
  <c r="DF33" i="5"/>
  <c r="AV33" i="5"/>
  <c r="DL33" i="5" s="1"/>
  <c r="DF69" i="5"/>
  <c r="AV69" i="5"/>
  <c r="DL69" i="5" s="1"/>
  <c r="DE29" i="5"/>
  <c r="AU29" i="5"/>
  <c r="DK29" i="5" s="1"/>
  <c r="DF39" i="5"/>
  <c r="AV39" i="5"/>
  <c r="DL39" i="5" s="1"/>
  <c r="DE16" i="5"/>
  <c r="AU16" i="5"/>
  <c r="DK16" i="5" s="1"/>
  <c r="DE23" i="5"/>
  <c r="AU23" i="5"/>
  <c r="DK23" i="5" s="1"/>
  <c r="DE57" i="5"/>
  <c r="AU57" i="5"/>
  <c r="DK57" i="5" s="1"/>
  <c r="DE25" i="5"/>
  <c r="AU25" i="5"/>
  <c r="DK25" i="5" s="1"/>
  <c r="CY20" i="5"/>
  <c r="AQ20" i="5"/>
  <c r="DJ8" i="5"/>
  <c r="DJ63" i="5" s="1"/>
  <c r="DJ64" i="5" s="1"/>
  <c r="DF11" i="5"/>
  <c r="AV11" i="5"/>
  <c r="DL11" i="5" s="1"/>
  <c r="DF34" i="5"/>
  <c r="AV34" i="5"/>
  <c r="DL34" i="5" s="1"/>
  <c r="DE39" i="5"/>
  <c r="AU39" i="5"/>
  <c r="DK39" i="5" s="1"/>
  <c r="DE42" i="5"/>
  <c r="AU42" i="5"/>
  <c r="DK42" i="5" s="1"/>
  <c r="DD70" i="5"/>
  <c r="DJ71" i="5"/>
  <c r="DJ70" i="5" s="1"/>
  <c r="CQ64" i="5"/>
  <c r="CQ65" i="5"/>
  <c r="DL68" i="5"/>
  <c r="DF54" i="5"/>
  <c r="AV54" i="5"/>
  <c r="AR46" i="5"/>
  <c r="DF46" i="5" s="1"/>
  <c r="AQ73" i="5"/>
  <c r="DE74" i="5"/>
  <c r="AU74" i="5"/>
  <c r="DE68" i="5"/>
  <c r="AU68" i="5"/>
  <c r="AQ67" i="5"/>
  <c r="DE75" i="5"/>
  <c r="AU75" i="5"/>
  <c r="AV16" i="5"/>
  <c r="DL16" i="5" s="1"/>
  <c r="DF16" i="5"/>
  <c r="AV21" i="5"/>
  <c r="DL21" i="5" s="1"/>
  <c r="DF21" i="5"/>
  <c r="AR9" i="5"/>
  <c r="DF10" i="5"/>
  <c r="AV10" i="5"/>
  <c r="CZ9" i="5"/>
  <c r="CZ65" i="5" s="1"/>
  <c r="AN8" i="5"/>
  <c r="DC38" i="5"/>
  <c r="CW37" i="5"/>
  <c r="CW36" i="5" s="1"/>
  <c r="CW76" i="5" s="1"/>
  <c r="CW66" i="5" s="1"/>
  <c r="CD99" i="5"/>
  <c r="CF98" i="5"/>
  <c r="DF74" i="5"/>
  <c r="AV74" i="5"/>
  <c r="AR73" i="5"/>
  <c r="AG64" i="5"/>
  <c r="AG65" i="5"/>
  <c r="CS9" i="5"/>
  <c r="CS65" i="5" s="1"/>
  <c r="AI8" i="5"/>
  <c r="CT36" i="5"/>
  <c r="AJ76" i="5"/>
  <c r="AK64" i="5"/>
  <c r="AK65" i="5"/>
  <c r="AR67" i="5"/>
  <c r="DD73" i="5"/>
  <c r="CY80" i="5"/>
  <c r="CX65" i="5"/>
  <c r="DN112" i="1" l="1"/>
  <c r="AX101" i="1"/>
  <c r="DM112" i="1"/>
  <c r="AW101" i="1"/>
  <c r="DD76" i="5"/>
  <c r="BF87" i="8"/>
  <c r="BF77" i="8" s="1"/>
  <c r="BF87" i="9"/>
  <c r="BF77" i="9" s="1"/>
  <c r="DE73" i="5"/>
  <c r="AV67" i="5"/>
  <c r="BF74" i="10"/>
  <c r="BF75" i="10" s="1"/>
  <c r="BF74" i="8"/>
  <c r="BF75" i="8" s="1"/>
  <c r="BC76" i="9"/>
  <c r="BF76" i="9"/>
  <c r="CY114" i="1"/>
  <c r="O114" i="8"/>
  <c r="Z114" i="11"/>
  <c r="Y114" i="11"/>
  <c r="AB114" i="1"/>
  <c r="AA114" i="1"/>
  <c r="CV118" i="11"/>
  <c r="CX118" i="11" s="1"/>
  <c r="CX114" i="11"/>
  <c r="BC76" i="10"/>
  <c r="DB114" i="11"/>
  <c r="DA114" i="11"/>
  <c r="BE114" i="8"/>
  <c r="BF114" i="8" s="1"/>
  <c r="CZ114" i="1"/>
  <c r="DC12" i="11"/>
  <c r="CW75" i="11"/>
  <c r="CW76" i="11"/>
  <c r="DD12" i="11"/>
  <c r="CX76" i="11"/>
  <c r="CX75" i="11"/>
  <c r="CW114" i="11"/>
  <c r="CU118" i="11"/>
  <c r="CW118" i="11" s="1"/>
  <c r="DK87" i="11"/>
  <c r="AU77" i="11"/>
  <c r="AV75" i="11"/>
  <c r="AV76" i="11"/>
  <c r="AU75" i="11"/>
  <c r="AU76" i="11"/>
  <c r="DC114" i="1"/>
  <c r="DD114" i="1"/>
  <c r="BG86" i="10"/>
  <c r="BG85" i="10"/>
  <c r="Y84" i="10"/>
  <c r="BG84" i="10" s="1"/>
  <c r="BG79" i="10"/>
  <c r="Y78" i="10"/>
  <c r="BG82" i="10"/>
  <c r="Y81" i="10"/>
  <c r="BG81" i="10" s="1"/>
  <c r="U74" i="10"/>
  <c r="BA9" i="10"/>
  <c r="AX87" i="10"/>
  <c r="S77" i="10"/>
  <c r="BG39" i="10"/>
  <c r="Y38" i="10"/>
  <c r="BE114" i="10"/>
  <c r="BF114" i="10" s="1"/>
  <c r="Z114" i="10"/>
  <c r="BD114" i="10" s="1"/>
  <c r="BD10" i="10"/>
  <c r="W9" i="10"/>
  <c r="BF87" i="10"/>
  <c r="BF77" i="10" s="1"/>
  <c r="S75" i="10"/>
  <c r="S76" i="10"/>
  <c r="BA37" i="10"/>
  <c r="U87" i="10"/>
  <c r="BD78" i="10"/>
  <c r="BG28" i="10"/>
  <c r="Y27" i="10"/>
  <c r="BG27" i="10" s="1"/>
  <c r="BD38" i="10"/>
  <c r="W37" i="10"/>
  <c r="BG55" i="10"/>
  <c r="Y47" i="10"/>
  <c r="BG47" i="10" s="1"/>
  <c r="BG11" i="10"/>
  <c r="Y10" i="10"/>
  <c r="BG92" i="10"/>
  <c r="Y91" i="10"/>
  <c r="BG91" i="10" s="1"/>
  <c r="BC87" i="10"/>
  <c r="BC77" i="10" s="1"/>
  <c r="BG11" i="9"/>
  <c r="Y10" i="9"/>
  <c r="BG55" i="9"/>
  <c r="Y47" i="9"/>
  <c r="BG47" i="9" s="1"/>
  <c r="BA37" i="9"/>
  <c r="U87" i="9"/>
  <c r="BB118" i="9"/>
  <c r="BC118" i="9" s="1"/>
  <c r="BE114" i="9"/>
  <c r="BF114" i="9" s="1"/>
  <c r="Z114" i="9"/>
  <c r="BD114" i="9" s="1"/>
  <c r="U74" i="9"/>
  <c r="BA9" i="9"/>
  <c r="BG92" i="9"/>
  <c r="Y91" i="9"/>
  <c r="BG91" i="9" s="1"/>
  <c r="BD38" i="9"/>
  <c r="W37" i="9"/>
  <c r="BG79" i="9"/>
  <c r="Y78" i="9"/>
  <c r="BG82" i="9"/>
  <c r="Y81" i="9"/>
  <c r="BG81" i="9" s="1"/>
  <c r="AX87" i="9"/>
  <c r="S77" i="9"/>
  <c r="BC87" i="9"/>
  <c r="BC77" i="9" s="1"/>
  <c r="AZ75" i="9"/>
  <c r="AZ76" i="9"/>
  <c r="BD10" i="9"/>
  <c r="W9" i="9"/>
  <c r="BG28" i="9"/>
  <c r="Y27" i="9"/>
  <c r="BG27" i="9" s="1"/>
  <c r="BG86" i="9"/>
  <c r="BG85" i="9"/>
  <c r="Y84" i="9"/>
  <c r="BG84" i="9" s="1"/>
  <c r="BG39" i="9"/>
  <c r="Y38" i="9"/>
  <c r="BD78" i="9"/>
  <c r="S75" i="9"/>
  <c r="S76" i="9"/>
  <c r="BG11" i="8"/>
  <c r="Y10" i="8"/>
  <c r="BG92" i="8"/>
  <c r="Y91" i="8"/>
  <c r="BG91" i="8" s="1"/>
  <c r="BA37" i="8"/>
  <c r="U87" i="8"/>
  <c r="U74" i="8"/>
  <c r="BA9" i="8"/>
  <c r="BG82" i="8"/>
  <c r="Y81" i="8"/>
  <c r="BG81" i="8" s="1"/>
  <c r="BD78" i="8"/>
  <c r="S75" i="8"/>
  <c r="S76" i="8"/>
  <c r="BG39" i="8"/>
  <c r="Y38" i="8"/>
  <c r="BB118" i="8"/>
  <c r="BC118" i="8" s="1"/>
  <c r="BG55" i="8"/>
  <c r="Y47" i="8"/>
  <c r="BG47" i="8" s="1"/>
  <c r="AZ75" i="8"/>
  <c r="AZ76" i="8"/>
  <c r="BD10" i="8"/>
  <c r="W9" i="8"/>
  <c r="BG28" i="8"/>
  <c r="Y27" i="8"/>
  <c r="BG27" i="8" s="1"/>
  <c r="AX87" i="8"/>
  <c r="S77" i="8"/>
  <c r="BG86" i="8"/>
  <c r="BG85" i="8"/>
  <c r="Y84" i="8"/>
  <c r="BG84" i="8" s="1"/>
  <c r="BG79" i="8"/>
  <c r="Y78" i="8"/>
  <c r="BD38" i="8"/>
  <c r="W37" i="8"/>
  <c r="BC87" i="8"/>
  <c r="BC77" i="8" s="1"/>
  <c r="BC76" i="8"/>
  <c r="DF67" i="5"/>
  <c r="DI38" i="5"/>
  <c r="DI37" i="5" s="1"/>
  <c r="DI36" i="5" s="1"/>
  <c r="DI76" i="5" s="1"/>
  <c r="DC37" i="5"/>
  <c r="DC36" i="5" s="1"/>
  <c r="DC76" i="5" s="1"/>
  <c r="DC66" i="5" s="1"/>
  <c r="AV9" i="5"/>
  <c r="DL10" i="5"/>
  <c r="DF9" i="5"/>
  <c r="DF65" i="5" s="1"/>
  <c r="AR8" i="5"/>
  <c r="DE67" i="5"/>
  <c r="DL27" i="5"/>
  <c r="AV26" i="5"/>
  <c r="DL26" i="5" s="1"/>
  <c r="AU46" i="5"/>
  <c r="DK46" i="5" s="1"/>
  <c r="DK54" i="5"/>
  <c r="DK71" i="5"/>
  <c r="AU70" i="5"/>
  <c r="DK70" i="5" s="1"/>
  <c r="AU37" i="5"/>
  <c r="CM76" i="5"/>
  <c r="AE66" i="5"/>
  <c r="CZ36" i="5"/>
  <c r="AN76" i="5"/>
  <c r="CY9" i="5"/>
  <c r="CY65" i="5" s="1"/>
  <c r="AM8" i="5"/>
  <c r="AM76" i="5" s="1"/>
  <c r="DE87" i="5"/>
  <c r="AU87" i="5"/>
  <c r="DK87" i="5" s="1"/>
  <c r="AJ64" i="5"/>
  <c r="AJ65" i="5"/>
  <c r="AE64" i="5"/>
  <c r="AE65" i="5"/>
  <c r="DL81" i="5"/>
  <c r="AV80" i="5"/>
  <c r="DL80" i="5" s="1"/>
  <c r="CY36" i="5"/>
  <c r="AV70" i="5"/>
  <c r="DL70" i="5" s="1"/>
  <c r="DL71" i="5"/>
  <c r="DF73" i="5"/>
  <c r="DD66" i="5"/>
  <c r="DJ65" i="5"/>
  <c r="DE38" i="5"/>
  <c r="DI73" i="5"/>
  <c r="DE80" i="5"/>
  <c r="DD65" i="5"/>
  <c r="CT76" i="5"/>
  <c r="AJ66" i="5"/>
  <c r="AI63" i="5"/>
  <c r="CS8" i="5"/>
  <c r="DL74" i="5"/>
  <c r="AV73" i="5"/>
  <c r="DL73" i="5" s="1"/>
  <c r="CJ98" i="5"/>
  <c r="CH98" i="5"/>
  <c r="AN63" i="5"/>
  <c r="CZ8" i="5"/>
  <c r="DK75" i="5"/>
  <c r="DK68" i="5"/>
  <c r="AU67" i="5"/>
  <c r="AU73" i="5"/>
  <c r="DK73" i="5" s="1"/>
  <c r="DK74" i="5"/>
  <c r="DL54" i="5"/>
  <c r="AV46" i="5"/>
  <c r="DL46" i="5" s="1"/>
  <c r="DL67" i="5"/>
  <c r="DE20" i="5"/>
  <c r="AU20" i="5"/>
  <c r="DK20" i="5" s="1"/>
  <c r="DE22" i="5"/>
  <c r="AU22" i="5"/>
  <c r="DK22" i="5" s="1"/>
  <c r="DE17" i="5"/>
  <c r="AU17" i="5"/>
  <c r="DK17" i="5" s="1"/>
  <c r="AU15" i="5"/>
  <c r="DK15" i="5" s="1"/>
  <c r="DE15" i="5"/>
  <c r="DE18" i="5"/>
  <c r="AU18" i="5"/>
  <c r="DK18" i="5" s="1"/>
  <c r="AQ36" i="5"/>
  <c r="DE19" i="5"/>
  <c r="AU19" i="5"/>
  <c r="DK19" i="5" s="1"/>
  <c r="DK27" i="5"/>
  <c r="AU26" i="5"/>
  <c r="DK26" i="5" s="1"/>
  <c r="DF37" i="5"/>
  <c r="AR36" i="5"/>
  <c r="DL38" i="5"/>
  <c r="AV37" i="5"/>
  <c r="DE10" i="5"/>
  <c r="AU10" i="5"/>
  <c r="AQ9" i="5"/>
  <c r="DL75" i="5"/>
  <c r="DK81" i="5"/>
  <c r="AU80" i="5"/>
  <c r="DK80" i="5" s="1"/>
  <c r="DE12" i="5"/>
  <c r="AU12" i="5"/>
  <c r="DK12" i="5" s="1"/>
  <c r="E63" i="5"/>
  <c r="DV8" i="5"/>
  <c r="DU8" i="5"/>
  <c r="BA8" i="5"/>
  <c r="E76" i="5"/>
  <c r="CI98" i="5"/>
  <c r="CG98" i="5"/>
  <c r="DE21" i="5"/>
  <c r="AU21" i="5"/>
  <c r="DK21" i="5" s="1"/>
  <c r="DE14" i="5"/>
  <c r="AU14" i="5"/>
  <c r="DK14" i="5" s="1"/>
  <c r="DJ76" i="5"/>
  <c r="DJ66" i="5" s="1"/>
  <c r="CW63" i="5"/>
  <c r="AI76" i="5"/>
  <c r="DF80" i="5"/>
  <c r="CY37" i="5"/>
  <c r="DF70" i="5"/>
  <c r="DI63" i="5" l="1"/>
  <c r="BF76" i="10"/>
  <c r="DE37" i="5"/>
  <c r="DC63" i="5"/>
  <c r="BF76" i="8"/>
  <c r="DK38" i="5"/>
  <c r="DH114" i="11"/>
  <c r="DG114" i="11"/>
  <c r="DF114" i="1"/>
  <c r="DI12" i="11"/>
  <c r="DC76" i="11"/>
  <c r="DC75" i="11"/>
  <c r="DA118" i="11"/>
  <c r="DC118" i="11" s="1"/>
  <c r="DC114" i="11"/>
  <c r="AC114" i="1"/>
  <c r="AA118" i="1"/>
  <c r="AA114" i="11"/>
  <c r="CG114" i="11" s="1"/>
  <c r="Y118" i="11"/>
  <c r="P114" i="8"/>
  <c r="DE114" i="1"/>
  <c r="DJ12" i="11"/>
  <c r="DD76" i="11"/>
  <c r="DD75" i="11"/>
  <c r="DB118" i="11"/>
  <c r="DD118" i="11" s="1"/>
  <c r="DD114" i="11"/>
  <c r="AD114" i="1"/>
  <c r="AB118" i="1"/>
  <c r="Z118" i="11"/>
  <c r="AB114" i="11"/>
  <c r="CH114" i="11" s="1"/>
  <c r="DI114" i="1"/>
  <c r="DJ114" i="1"/>
  <c r="BG10" i="10"/>
  <c r="Y9" i="10"/>
  <c r="BD37" i="10"/>
  <c r="W87" i="10"/>
  <c r="BA87" i="10"/>
  <c r="U77" i="10"/>
  <c r="BH114" i="10"/>
  <c r="BG38" i="10"/>
  <c r="Y37" i="10"/>
  <c r="W74" i="10"/>
  <c r="BD9" i="10"/>
  <c r="U75" i="10"/>
  <c r="U76" i="10"/>
  <c r="BG78" i="10"/>
  <c r="BG78" i="9"/>
  <c r="BD37" i="9"/>
  <c r="W87" i="9"/>
  <c r="BG38" i="9"/>
  <c r="Y37" i="9"/>
  <c r="W74" i="9"/>
  <c r="BD9" i="9"/>
  <c r="U75" i="9"/>
  <c r="U76" i="9"/>
  <c r="BE118" i="9"/>
  <c r="BF118" i="9" s="1"/>
  <c r="BH114" i="9"/>
  <c r="BH118" i="9" s="1"/>
  <c r="BA87" i="9"/>
  <c r="U77" i="9"/>
  <c r="BG10" i="9"/>
  <c r="Y9" i="9"/>
  <c r="BD37" i="8"/>
  <c r="W87" i="8"/>
  <c r="BG78" i="8"/>
  <c r="W74" i="8"/>
  <c r="BD9" i="8"/>
  <c r="BA87" i="8"/>
  <c r="U77" i="8"/>
  <c r="BG10" i="8"/>
  <c r="Y9" i="8"/>
  <c r="BE118" i="8"/>
  <c r="BF118" i="8" s="1"/>
  <c r="BH114" i="8"/>
  <c r="BG38" i="8"/>
  <c r="Y37" i="8"/>
  <c r="U75" i="8"/>
  <c r="U76" i="8"/>
  <c r="CW64" i="5"/>
  <c r="CW65" i="5"/>
  <c r="CI99" i="5"/>
  <c r="CK98" i="5"/>
  <c r="DE9" i="5"/>
  <c r="DE65" i="5" s="1"/>
  <c r="AQ8" i="5"/>
  <c r="AQ76" i="5" s="1"/>
  <c r="AN64" i="5"/>
  <c r="AN65" i="5"/>
  <c r="CJ99" i="5"/>
  <c r="CL98" i="5"/>
  <c r="AI64" i="5"/>
  <c r="AI65" i="5"/>
  <c r="CZ76" i="5"/>
  <c r="AN66" i="5"/>
  <c r="DK37" i="5"/>
  <c r="AU36" i="5"/>
  <c r="AR63" i="5"/>
  <c r="DF8" i="5"/>
  <c r="DL9" i="5"/>
  <c r="DL65" i="5" s="1"/>
  <c r="AV8" i="5"/>
  <c r="DI66" i="5"/>
  <c r="CS76" i="5"/>
  <c r="AI66" i="5"/>
  <c r="DC64" i="5"/>
  <c r="DC65" i="5"/>
  <c r="DV76" i="5"/>
  <c r="DU76" i="5"/>
  <c r="BA76" i="5"/>
  <c r="E66" i="5"/>
  <c r="E64" i="5"/>
  <c r="E65" i="5"/>
  <c r="DK10" i="5"/>
  <c r="AU9" i="5"/>
  <c r="DL37" i="5"/>
  <c r="AV36" i="5"/>
  <c r="DF36" i="5"/>
  <c r="AR76" i="5"/>
  <c r="DE36" i="5"/>
  <c r="DK67" i="5"/>
  <c r="DI64" i="5"/>
  <c r="DI65" i="5"/>
  <c r="CY76" i="5"/>
  <c r="AM66" i="5"/>
  <c r="AM63" i="5"/>
  <c r="CY8" i="5"/>
  <c r="DN114" i="11" l="1"/>
  <c r="DN118" i="11" s="1"/>
  <c r="DM114" i="11"/>
  <c r="DM118" i="11" s="1"/>
  <c r="DJ76" i="11"/>
  <c r="DJ75" i="11"/>
  <c r="AD114" i="11"/>
  <c r="AC114" i="11"/>
  <c r="Q114" i="8"/>
  <c r="AU114" i="8" s="1"/>
  <c r="AF114" i="1"/>
  <c r="AE114" i="1"/>
  <c r="DH118" i="11"/>
  <c r="DJ118" i="11" s="1"/>
  <c r="DJ114" i="11"/>
  <c r="DI76" i="11"/>
  <c r="DI75" i="11"/>
  <c r="DI114" i="11"/>
  <c r="DG118" i="11"/>
  <c r="DI118" i="11" s="1"/>
  <c r="BH118" i="8"/>
  <c r="DO114" i="1"/>
  <c r="DP114" i="1"/>
  <c r="W75" i="10"/>
  <c r="W76" i="10"/>
  <c r="BD87" i="10"/>
  <c r="W77" i="10"/>
  <c r="Y74" i="10"/>
  <c r="BG9" i="10"/>
  <c r="BG37" i="10"/>
  <c r="Y87" i="10"/>
  <c r="Y74" i="9"/>
  <c r="BG9" i="9"/>
  <c r="W75" i="9"/>
  <c r="W76" i="9"/>
  <c r="BG37" i="9"/>
  <c r="Y87" i="9"/>
  <c r="BD87" i="9"/>
  <c r="W77" i="9"/>
  <c r="BG37" i="8"/>
  <c r="Y87" i="8"/>
  <c r="Y74" i="8"/>
  <c r="BG9" i="8"/>
  <c r="W75" i="8"/>
  <c r="W76" i="8"/>
  <c r="BD87" i="8"/>
  <c r="W77" i="8"/>
  <c r="DE76" i="5"/>
  <c r="AQ66" i="5"/>
  <c r="DF76" i="5"/>
  <c r="AR66" i="5"/>
  <c r="DL36" i="5"/>
  <c r="AV76" i="5"/>
  <c r="DK9" i="5"/>
  <c r="DK65" i="5" s="1"/>
  <c r="AU8" i="5"/>
  <c r="AU76" i="5" s="1"/>
  <c r="DK36" i="5"/>
  <c r="CP98" i="5"/>
  <c r="CN98" i="5"/>
  <c r="AQ63" i="5"/>
  <c r="DE8" i="5"/>
  <c r="AM64" i="5"/>
  <c r="AM65" i="5"/>
  <c r="AV63" i="5"/>
  <c r="DL8" i="5"/>
  <c r="AR64" i="5"/>
  <c r="AR65" i="5"/>
  <c r="CM98" i="5"/>
  <c r="CO98" i="5"/>
  <c r="AG114" i="1" l="1"/>
  <c r="AE118" i="1"/>
  <c r="R114" i="8"/>
  <c r="AF114" i="11"/>
  <c r="CN114" i="11" s="1"/>
  <c r="AD118" i="11"/>
  <c r="AH114" i="1"/>
  <c r="AF118" i="1"/>
  <c r="AC118" i="11"/>
  <c r="AE114" i="11"/>
  <c r="CM114" i="11" s="1"/>
  <c r="Y75" i="10"/>
  <c r="Y76" i="10"/>
  <c r="BG87" i="10"/>
  <c r="Y77" i="10"/>
  <c r="Y75" i="9"/>
  <c r="Y76" i="9"/>
  <c r="BG87" i="9"/>
  <c r="Y77" i="9"/>
  <c r="Y75" i="8"/>
  <c r="Y76" i="8"/>
  <c r="BG87" i="8"/>
  <c r="Y77" i="8"/>
  <c r="CO99" i="5"/>
  <c r="CQ98" i="5"/>
  <c r="DK76" i="5"/>
  <c r="AU66" i="5"/>
  <c r="AU63" i="5"/>
  <c r="DK8" i="5"/>
  <c r="AV64" i="5"/>
  <c r="AV65" i="5"/>
  <c r="AQ64" i="5"/>
  <c r="AQ65" i="5"/>
  <c r="CP99" i="5"/>
  <c r="CR98" i="5"/>
  <c r="DL76" i="5"/>
  <c r="AV66" i="5"/>
  <c r="S114" i="8" l="1"/>
  <c r="AH114" i="11"/>
  <c r="AG114" i="11"/>
  <c r="AI114" i="1"/>
  <c r="AJ114" i="1"/>
  <c r="AU64" i="5"/>
  <c r="AU65" i="5"/>
  <c r="CV98" i="5"/>
  <c r="CT98" i="5"/>
  <c r="CU98" i="5"/>
  <c r="CS98" i="5"/>
  <c r="AL114" i="1" l="1"/>
  <c r="AJ118" i="1"/>
  <c r="AI114" i="11"/>
  <c r="CS114" i="11" s="1"/>
  <c r="AG118" i="11"/>
  <c r="T114" i="8"/>
  <c r="AX114" i="8" s="1"/>
  <c r="AK114" i="1"/>
  <c r="AI118" i="1"/>
  <c r="AH118" i="11"/>
  <c r="AJ114" i="11"/>
  <c r="CT114" i="11" s="1"/>
  <c r="CU99" i="5"/>
  <c r="CW98" i="5"/>
  <c r="CV99" i="5"/>
  <c r="CX98" i="5"/>
  <c r="AL114" i="11" l="1"/>
  <c r="AK114" i="11"/>
  <c r="U114" i="8"/>
  <c r="AM114" i="1"/>
  <c r="AN114" i="1"/>
  <c r="DB98" i="5"/>
  <c r="CZ98" i="5"/>
  <c r="CY98" i="5"/>
  <c r="DA98" i="5"/>
  <c r="AP114" i="1" l="1"/>
  <c r="AN118" i="1"/>
  <c r="V114" i="8"/>
  <c r="AN114" i="11"/>
  <c r="CZ114" i="11" s="1"/>
  <c r="AL118" i="11"/>
  <c r="AO114" i="1"/>
  <c r="AM118" i="1"/>
  <c r="AK118" i="11"/>
  <c r="AM114" i="11"/>
  <c r="CY114" i="11" s="1"/>
  <c r="DB99" i="5"/>
  <c r="DD98" i="5"/>
  <c r="DA99" i="5"/>
  <c r="DC98" i="5"/>
  <c r="W114" i="8" l="1"/>
  <c r="BA114" i="8" s="1"/>
  <c r="AP114" i="11"/>
  <c r="AO114" i="11"/>
  <c r="AR114" i="1"/>
  <c r="AQ114" i="1"/>
  <c r="DG98" i="5"/>
  <c r="DE98" i="5"/>
  <c r="DH98" i="5"/>
  <c r="DF98" i="5"/>
  <c r="AQ114" i="11" l="1"/>
  <c r="DE114" i="11" s="1"/>
  <c r="AO118" i="11"/>
  <c r="X114" i="8"/>
  <c r="AS114" i="1"/>
  <c r="AQ118" i="1"/>
  <c r="AT114" i="1"/>
  <c r="AR118" i="1"/>
  <c r="AP118" i="11"/>
  <c r="AR114" i="11"/>
  <c r="DF114" i="11" s="1"/>
  <c r="DH99" i="5"/>
  <c r="DJ98" i="5"/>
  <c r="DG99" i="5"/>
  <c r="DI98" i="5"/>
  <c r="Y114" i="8" l="1"/>
  <c r="AT114" i="11"/>
  <c r="AS114" i="11"/>
  <c r="AU114" i="1"/>
  <c r="AV114" i="1"/>
  <c r="DM98" i="5"/>
  <c r="DM99" i="5" s="1"/>
  <c r="DK98" i="5"/>
  <c r="DN98" i="5"/>
  <c r="DN99" i="5" s="1"/>
  <c r="DL98" i="5"/>
  <c r="AV118" i="1" l="1"/>
  <c r="AS118" i="11"/>
  <c r="AU114" i="11"/>
  <c r="DK114" i="11" s="1"/>
  <c r="Z114" i="8"/>
  <c r="BD114" i="8" s="1"/>
  <c r="AU118" i="1"/>
  <c r="AV114" i="11"/>
  <c r="DL114" i="11" s="1"/>
  <c r="AT118" i="11"/>
  <c r="AX114" i="11" l="1"/>
  <c r="AX118" i="11" s="1"/>
  <c r="AW114" i="11"/>
  <c r="AW118" i="11" s="1"/>
  <c r="AY114" i="1"/>
  <c r="AZ114" i="1"/>
  <c r="BJ101" i="1"/>
  <c r="BI101" i="1"/>
  <c r="BO101" i="1" s="1"/>
  <c r="BU101" i="1" s="1"/>
  <c r="CA101" i="1" s="1"/>
  <c r="CG101" i="1" s="1"/>
  <c r="CM101" i="1" s="1"/>
  <c r="CS101" i="1" s="1"/>
  <c r="CY101" i="1" s="1"/>
  <c r="DE101" i="1" s="1"/>
  <c r="BJ43" i="1"/>
  <c r="BI43" i="1"/>
  <c r="BO43" i="1" s="1"/>
  <c r="BU43" i="1" s="1"/>
  <c r="BJ41" i="1"/>
  <c r="BP41" i="1" s="1"/>
  <c r="BV41" i="1" s="1"/>
  <c r="CB41" i="1" s="1"/>
  <c r="CH41" i="1" s="1"/>
  <c r="CN41" i="1" s="1"/>
  <c r="CT41" i="1" s="1"/>
  <c r="BI41" i="1"/>
  <c r="BO41" i="1" s="1"/>
  <c r="BU41" i="1" s="1"/>
  <c r="BJ38" i="1"/>
  <c r="BP38" i="1" s="1"/>
  <c r="BV38" i="1" s="1"/>
  <c r="CB38" i="1" s="1"/>
  <c r="CH38" i="1" s="1"/>
  <c r="CN38" i="1" s="1"/>
  <c r="CT38" i="1" s="1"/>
  <c r="CZ38" i="1" s="1"/>
  <c r="DF38" i="1" s="1"/>
  <c r="BI38" i="1"/>
  <c r="BO38" i="1" s="1"/>
  <c r="BU38" i="1" s="1"/>
  <c r="CA38" i="1" s="1"/>
  <c r="CG38" i="1" s="1"/>
  <c r="CM38" i="1" s="1"/>
  <c r="CS38" i="1" s="1"/>
  <c r="CY38" i="1" s="1"/>
  <c r="DE38" i="1" s="1"/>
  <c r="BJ37" i="1"/>
  <c r="BP37" i="1" s="1"/>
  <c r="BV37" i="1" s="1"/>
  <c r="CB37" i="1" s="1"/>
  <c r="CH37" i="1" s="1"/>
  <c r="CN37" i="1" s="1"/>
  <c r="CT37" i="1" s="1"/>
  <c r="BI37" i="1"/>
  <c r="BO37" i="1" s="1"/>
  <c r="BU37" i="1" s="1"/>
  <c r="BJ33" i="1"/>
  <c r="BP33" i="1" s="1"/>
  <c r="BV33" i="1" s="1"/>
  <c r="CB33" i="1" s="1"/>
  <c r="CH33" i="1" s="1"/>
  <c r="CN33" i="1" s="1"/>
  <c r="CT33" i="1" s="1"/>
  <c r="BI33" i="1"/>
  <c r="BO33" i="1" s="1"/>
  <c r="BU33" i="1" s="1"/>
  <c r="BJ25" i="1"/>
  <c r="BP25" i="1" s="1"/>
  <c r="BV25" i="1" s="1"/>
  <c r="CB25" i="1" s="1"/>
  <c r="CH25" i="1" s="1"/>
  <c r="CN25" i="1" s="1"/>
  <c r="CT25" i="1" s="1"/>
  <c r="BI25" i="1"/>
  <c r="BJ24" i="1"/>
  <c r="BP24" i="1" s="1"/>
  <c r="BV24" i="1" s="1"/>
  <c r="CB24" i="1" s="1"/>
  <c r="CH24" i="1" s="1"/>
  <c r="CN24" i="1" s="1"/>
  <c r="CT24" i="1" s="1"/>
  <c r="BI24" i="1"/>
  <c r="BO24" i="1" s="1"/>
  <c r="BU24" i="1" s="1"/>
  <c r="BJ23" i="1"/>
  <c r="BP23" i="1" s="1"/>
  <c r="BV23" i="1" s="1"/>
  <c r="CB23" i="1" s="1"/>
  <c r="CH23" i="1" s="1"/>
  <c r="CN23" i="1" s="1"/>
  <c r="CT23" i="1" s="1"/>
  <c r="BI23" i="1"/>
  <c r="BO23" i="1" s="1"/>
  <c r="BU23" i="1" s="1"/>
  <c r="BI20" i="1"/>
  <c r="BI18" i="1"/>
  <c r="BJ17" i="1"/>
  <c r="BP17" i="1" s="1"/>
  <c r="BV17" i="1" s="1"/>
  <c r="CB17" i="1" s="1"/>
  <c r="CH17" i="1" s="1"/>
  <c r="CN17" i="1" s="1"/>
  <c r="CT17" i="1" s="1"/>
  <c r="BI17" i="1"/>
  <c r="BJ16" i="1"/>
  <c r="BP16" i="1" s="1"/>
  <c r="BV16" i="1" s="1"/>
  <c r="CB16" i="1" s="1"/>
  <c r="CH16" i="1" s="1"/>
  <c r="CN16" i="1" s="1"/>
  <c r="CT16" i="1" s="1"/>
  <c r="BI16" i="1"/>
  <c r="BO16" i="1" s="1"/>
  <c r="BU16" i="1" s="1"/>
  <c r="BJ14" i="1"/>
  <c r="BI14" i="1"/>
  <c r="DW84" i="1" l="1"/>
  <c r="DX84" i="1"/>
  <c r="BJ12" i="1"/>
  <c r="BJ11" i="1" s="1"/>
  <c r="M78" i="1"/>
  <c r="BR114" i="1"/>
  <c r="N91" i="1"/>
  <c r="BO78" i="1"/>
  <c r="BI78" i="1"/>
  <c r="BI81" i="1"/>
  <c r="BO84" i="1"/>
  <c r="BI84" i="1"/>
  <c r="BJ78" i="1"/>
  <c r="BJ81" i="1"/>
  <c r="BJ84" i="1"/>
  <c r="N78" i="1"/>
  <c r="BL78" i="1" s="1"/>
  <c r="BI12" i="1"/>
  <c r="BI11" i="1" s="1"/>
  <c r="N101" i="1"/>
  <c r="BL101" i="1" s="1"/>
  <c r="BC84" i="1"/>
  <c r="CA23" i="1"/>
  <c r="CA37" i="1"/>
  <c r="CA43" i="1"/>
  <c r="CA16" i="1"/>
  <c r="CZ24" i="1"/>
  <c r="CZ33" i="1"/>
  <c r="CZ41" i="1"/>
  <c r="N84" i="1"/>
  <c r="BL84" i="1" s="1"/>
  <c r="N81" i="1"/>
  <c r="BL81" i="1" s="1"/>
  <c r="M84" i="1"/>
  <c r="BK84" i="1" s="1"/>
  <c r="M81" i="1"/>
  <c r="BK81" i="1" s="1"/>
  <c r="BJ10" i="1" l="1"/>
  <c r="BJ87" i="1" s="1"/>
  <c r="BJ77" i="1" s="1"/>
  <c r="BU78" i="1"/>
  <c r="Q81" i="1"/>
  <c r="BQ81" i="1" s="1"/>
  <c r="Q84" i="1"/>
  <c r="BQ84" i="1" s="1"/>
  <c r="BK78" i="1"/>
  <c r="BI10" i="1"/>
  <c r="R84" i="1"/>
  <c r="BR84" i="1" s="1"/>
  <c r="R81" i="1"/>
  <c r="BR81" i="1" s="1"/>
  <c r="BX114" i="1"/>
  <c r="R91" i="1"/>
  <c r="BL114" i="1"/>
  <c r="BK114" i="1"/>
  <c r="BU84" i="1"/>
  <c r="BP81" i="1"/>
  <c r="BP78" i="1"/>
  <c r="BO81" i="1"/>
  <c r="U81" i="1"/>
  <c r="U84" i="1"/>
  <c r="BW84" i="1" s="1"/>
  <c r="BP84" i="1"/>
  <c r="BV84" i="1"/>
  <c r="DF33" i="1"/>
  <c r="CZ25" i="1"/>
  <c r="DF25" i="1" s="1"/>
  <c r="CA24" i="1"/>
  <c r="CG24" i="1" s="1"/>
  <c r="CM24" i="1" s="1"/>
  <c r="CS24" i="1" s="1"/>
  <c r="CZ23" i="1"/>
  <c r="DF23" i="1" s="1"/>
  <c r="CZ17" i="1"/>
  <c r="DF17" i="1" s="1"/>
  <c r="CZ16" i="1"/>
  <c r="DF16" i="1" s="1"/>
  <c r="DF41" i="1"/>
  <c r="CA41" i="1"/>
  <c r="CG41" i="1" s="1"/>
  <c r="CM41" i="1" s="1"/>
  <c r="CS41" i="1" s="1"/>
  <c r="CZ37" i="1"/>
  <c r="DF37" i="1" s="1"/>
  <c r="CA33" i="1"/>
  <c r="CG33" i="1" s="1"/>
  <c r="CM33" i="1" s="1"/>
  <c r="DF24" i="1"/>
  <c r="CB84" i="1"/>
  <c r="CG16" i="1"/>
  <c r="CM16" i="1" s="1"/>
  <c r="V81" i="1"/>
  <c r="V78" i="1"/>
  <c r="BC38" i="1"/>
  <c r="BD38" i="1"/>
  <c r="BJ74" i="1" l="1"/>
  <c r="CA78" i="1"/>
  <c r="V84" i="1"/>
  <c r="BX84" i="1" s="1"/>
  <c r="CD114" i="1"/>
  <c r="V91" i="1"/>
  <c r="BL43" i="1"/>
  <c r="BL38" i="1"/>
  <c r="BL37" i="1"/>
  <c r="BL25" i="1"/>
  <c r="BL23" i="1"/>
  <c r="BL17" i="1"/>
  <c r="BL14" i="1"/>
  <c r="Y84" i="1"/>
  <c r="CC84" i="1" s="1"/>
  <c r="Y81" i="1"/>
  <c r="BU81" i="1"/>
  <c r="BW81" i="1" s="1"/>
  <c r="BV78" i="1"/>
  <c r="BV81" i="1"/>
  <c r="BX81" i="1" s="1"/>
  <c r="BX78" i="1"/>
  <c r="CA84" i="1"/>
  <c r="BL41" i="1"/>
  <c r="BK38" i="1"/>
  <c r="BL33" i="1"/>
  <c r="BL24" i="1"/>
  <c r="BQ23" i="1"/>
  <c r="BK23" i="1"/>
  <c r="BL16" i="1"/>
  <c r="BK14" i="1"/>
  <c r="U78" i="1"/>
  <c r="BW78" i="1" s="1"/>
  <c r="CY24" i="1"/>
  <c r="CG43" i="1"/>
  <c r="CM43" i="1" s="1"/>
  <c r="CS43" i="1" s="1"/>
  <c r="CY43" i="1" s="1"/>
  <c r="DE43" i="1" s="1"/>
  <c r="CH84" i="1"/>
  <c r="CG84" i="1"/>
  <c r="CG78" i="1"/>
  <c r="CG23" i="1"/>
  <c r="CM23" i="1" s="1"/>
  <c r="CS16" i="1"/>
  <c r="CS33" i="1"/>
  <c r="CY33" i="1" s="1"/>
  <c r="CY41" i="1"/>
  <c r="CG37" i="1"/>
  <c r="CM37" i="1" s="1"/>
  <c r="CS37" i="1" s="1"/>
  <c r="Z84" i="1"/>
  <c r="CD84" i="1" s="1"/>
  <c r="Z81" i="1"/>
  <c r="Z78" i="1"/>
  <c r="N12" i="1"/>
  <c r="N11" i="1" s="1"/>
  <c r="BL12" i="1" l="1"/>
  <c r="BL11" i="1" s="1"/>
  <c r="CJ114" i="1"/>
  <c r="Z91" i="1"/>
  <c r="R12" i="1"/>
  <c r="R11" i="1" s="1"/>
  <c r="Y78" i="1"/>
  <c r="CC78" i="1" s="1"/>
  <c r="AC81" i="1"/>
  <c r="AC84" i="1"/>
  <c r="CI84" i="1" s="1"/>
  <c r="BR14" i="1"/>
  <c r="BR17" i="1"/>
  <c r="BR23" i="1"/>
  <c r="BR25" i="1"/>
  <c r="BR37" i="1"/>
  <c r="BR38" i="1"/>
  <c r="BQ14" i="1"/>
  <c r="BR16" i="1"/>
  <c r="BR24" i="1"/>
  <c r="BR33" i="1"/>
  <c r="BQ38" i="1"/>
  <c r="BR41" i="1"/>
  <c r="CB81" i="1"/>
  <c r="CD81" i="1" s="1"/>
  <c r="CB78" i="1"/>
  <c r="CD78" i="1" s="1"/>
  <c r="CA81" i="1"/>
  <c r="CC81" i="1" s="1"/>
  <c r="DE33" i="1"/>
  <c r="CS23" i="1"/>
  <c r="CY23" i="1" s="1"/>
  <c r="DE23" i="1" s="1"/>
  <c r="DE41" i="1"/>
  <c r="DE24" i="1"/>
  <c r="CM78" i="1"/>
  <c r="CM84" i="1"/>
  <c r="CN84" i="1"/>
  <c r="CY16" i="1"/>
  <c r="DE16" i="1" s="1"/>
  <c r="CY37" i="1"/>
  <c r="DE37" i="1" s="1"/>
  <c r="AD81" i="1"/>
  <c r="AD84" i="1"/>
  <c r="CJ84" i="1" s="1"/>
  <c r="AD78" i="1"/>
  <c r="N10" i="1"/>
  <c r="BL10" i="1" s="1"/>
  <c r="CP114" i="1" l="1"/>
  <c r="AD91" i="1"/>
  <c r="R10" i="1"/>
  <c r="V12" i="1"/>
  <c r="V11" i="1" s="1"/>
  <c r="CG81" i="1"/>
  <c r="CI81" i="1" s="1"/>
  <c r="CH78" i="1"/>
  <c r="CH81" i="1"/>
  <c r="CJ81" i="1" s="1"/>
  <c r="CJ78" i="1"/>
  <c r="BX41" i="1"/>
  <c r="BW38" i="1"/>
  <c r="BX33" i="1"/>
  <c r="BX24" i="1"/>
  <c r="BX16" i="1"/>
  <c r="BW14" i="1"/>
  <c r="BX38" i="1"/>
  <c r="BX37" i="1"/>
  <c r="BX25" i="1"/>
  <c r="BX23" i="1"/>
  <c r="BX17" i="1"/>
  <c r="BX14" i="1"/>
  <c r="AG84" i="1"/>
  <c r="CO84" i="1" s="1"/>
  <c r="AC78" i="1"/>
  <c r="CI78" i="1" s="1"/>
  <c r="N87" i="1"/>
  <c r="CT84" i="1"/>
  <c r="CS84" i="1"/>
  <c r="CS78" i="1"/>
  <c r="AH84" i="1"/>
  <c r="CP84" i="1" s="1"/>
  <c r="AH81" i="1"/>
  <c r="AH78" i="1"/>
  <c r="N74" i="1"/>
  <c r="AG81" i="1" l="1"/>
  <c r="R87" i="1"/>
  <c r="CV114" i="1"/>
  <c r="AH91" i="1"/>
  <c r="AK84" i="1"/>
  <c r="CU84" i="1" s="1"/>
  <c r="CD14" i="1"/>
  <c r="CD17" i="1"/>
  <c r="CD23" i="1"/>
  <c r="CD25" i="1"/>
  <c r="CD37" i="1"/>
  <c r="CD38" i="1"/>
  <c r="CC14" i="1"/>
  <c r="CD16" i="1"/>
  <c r="CD24" i="1"/>
  <c r="CD33" i="1"/>
  <c r="CC38" i="1"/>
  <c r="CD41" i="1"/>
  <c r="Z12" i="1"/>
  <c r="Z11" i="1" s="1"/>
  <c r="AG78" i="1"/>
  <c r="CO78" i="1" s="1"/>
  <c r="CN81" i="1"/>
  <c r="CN78" i="1"/>
  <c r="CP78" i="1" s="1"/>
  <c r="CM81" i="1"/>
  <c r="CP81" i="1"/>
  <c r="R74" i="1"/>
  <c r="N77" i="1"/>
  <c r="BL87" i="1"/>
  <c r="CY78" i="1"/>
  <c r="CY84" i="1"/>
  <c r="CZ84" i="1"/>
  <c r="AL84" i="1"/>
  <c r="CV84" i="1" s="1"/>
  <c r="AL78" i="1"/>
  <c r="V10" i="1"/>
  <c r="CO81" i="1" l="1"/>
  <c r="DB114" i="1"/>
  <c r="AL91" i="1"/>
  <c r="CP41" i="1"/>
  <c r="CJ41" i="1"/>
  <c r="CI38" i="1"/>
  <c r="CP33" i="1"/>
  <c r="CJ33" i="1"/>
  <c r="CP24" i="1"/>
  <c r="CJ24" i="1"/>
  <c r="CP16" i="1"/>
  <c r="CJ16" i="1"/>
  <c r="CI14" i="1"/>
  <c r="CJ38" i="1"/>
  <c r="CP37" i="1"/>
  <c r="CJ37" i="1"/>
  <c r="CP25" i="1"/>
  <c r="CJ25" i="1"/>
  <c r="CP23" i="1"/>
  <c r="CJ23" i="1"/>
  <c r="CP17" i="1"/>
  <c r="CJ17" i="1"/>
  <c r="CJ14" i="1"/>
  <c r="Z10" i="1"/>
  <c r="AD12" i="1"/>
  <c r="AD11" i="1" s="1"/>
  <c r="CS81" i="1"/>
  <c r="CT78" i="1"/>
  <c r="CV78" i="1" s="1"/>
  <c r="CT81" i="1"/>
  <c r="DE78" i="1"/>
  <c r="DF84" i="1"/>
  <c r="DE84" i="1"/>
  <c r="V87" i="1"/>
  <c r="AP84" i="1"/>
  <c r="DB84" i="1" s="1"/>
  <c r="AO84" i="1"/>
  <c r="DA84" i="1" s="1"/>
  <c r="AP78" i="1"/>
  <c r="V74" i="1"/>
  <c r="Z74" i="1" l="1"/>
  <c r="Z87" i="1"/>
  <c r="Z77" i="1" s="1"/>
  <c r="DH114" i="1"/>
  <c r="AP91" i="1"/>
  <c r="AS84" i="1"/>
  <c r="DG84" i="1" s="1"/>
  <c r="CP14" i="1"/>
  <c r="CP38" i="1"/>
  <c r="CO14" i="1"/>
  <c r="CO38" i="1"/>
  <c r="CZ81" i="1"/>
  <c r="CZ78" i="1"/>
  <c r="DB78" i="1" s="1"/>
  <c r="CY81" i="1"/>
  <c r="V77" i="1"/>
  <c r="DK84" i="1"/>
  <c r="DK78" i="1"/>
  <c r="AT84" i="1"/>
  <c r="DH84" i="1" s="1"/>
  <c r="AT78" i="1"/>
  <c r="AH12" i="1"/>
  <c r="AH11" i="1" s="1"/>
  <c r="AD10" i="1"/>
  <c r="AT91" i="1" l="1"/>
  <c r="DN84" i="1"/>
  <c r="CU38" i="1"/>
  <c r="CU14" i="1"/>
  <c r="CV38" i="1"/>
  <c r="CV14" i="1"/>
  <c r="AH10" i="1"/>
  <c r="DM84" i="1"/>
  <c r="DE81" i="1"/>
  <c r="DK81" i="1"/>
  <c r="DF78" i="1"/>
  <c r="DH78" i="1" s="1"/>
  <c r="DL78" i="1"/>
  <c r="DF81" i="1"/>
  <c r="DL81" i="1"/>
  <c r="AD74" i="1"/>
  <c r="AD87" i="1"/>
  <c r="AX78" i="1"/>
  <c r="DN78" i="1" l="1"/>
  <c r="DB14" i="1"/>
  <c r="DB38" i="1"/>
  <c r="DA14" i="1"/>
  <c r="DA38" i="1"/>
  <c r="AH87" i="1"/>
  <c r="AD77" i="1"/>
  <c r="AH74" i="1"/>
  <c r="DG38" i="1" l="1"/>
  <c r="DG14" i="1"/>
  <c r="DH38" i="1"/>
  <c r="DH14" i="1"/>
  <c r="AH77" i="1"/>
  <c r="R78" i="1" l="1"/>
  <c r="Q78" i="1"/>
  <c r="BQ78" i="1" s="1"/>
  <c r="BK43" i="1"/>
  <c r="CV41" i="1"/>
  <c r="BK41" i="1"/>
  <c r="CV37" i="1"/>
  <c r="BK37" i="1"/>
  <c r="CV33" i="1"/>
  <c r="BK33" i="1"/>
  <c r="CV25" i="1"/>
  <c r="BK25" i="1"/>
  <c r="CV24" i="1"/>
  <c r="BK24" i="1"/>
  <c r="CV23" i="1"/>
  <c r="BK18" i="1"/>
  <c r="CV17" i="1"/>
  <c r="BK17" i="1"/>
  <c r="CV16" i="1"/>
  <c r="BK16" i="1"/>
  <c r="DW101" i="1" l="1"/>
  <c r="BD14" i="1"/>
  <c r="BQ114" i="1"/>
  <c r="BK20" i="1"/>
  <c r="BC14" i="1"/>
  <c r="R101" i="1"/>
  <c r="V101" i="1" s="1"/>
  <c r="R77" i="1"/>
  <c r="BR78" i="1"/>
  <c r="BO17" i="1"/>
  <c r="BU17" i="1" s="1"/>
  <c r="BO18" i="1"/>
  <c r="BU18" i="1" s="1"/>
  <c r="BO20" i="1"/>
  <c r="BU20" i="1" s="1"/>
  <c r="BO25" i="1"/>
  <c r="BU25" i="1" s="1"/>
  <c r="BP43" i="1"/>
  <c r="AX91" i="1"/>
  <c r="DN91" i="1" s="1"/>
  <c r="M101" i="1"/>
  <c r="BK101" i="1" s="1"/>
  <c r="BD101" i="1"/>
  <c r="BQ37" i="1"/>
  <c r="BW23" i="1"/>
  <c r="DB24" i="1"/>
  <c r="BQ25" i="1"/>
  <c r="BQ41" i="1"/>
  <c r="BQ18" i="1"/>
  <c r="BQ24" i="1"/>
  <c r="DB33" i="1"/>
  <c r="DB25" i="1"/>
  <c r="BQ33" i="1"/>
  <c r="DB37" i="1"/>
  <c r="DB41" i="1"/>
  <c r="BQ43" i="1"/>
  <c r="BQ20" i="1" l="1"/>
  <c r="BD84" i="1"/>
  <c r="DW91" i="1"/>
  <c r="BD81" i="1"/>
  <c r="BD78" i="1"/>
  <c r="BW114" i="1"/>
  <c r="M91" i="1"/>
  <c r="BP14" i="1"/>
  <c r="BV14" i="1" s="1"/>
  <c r="CB14" i="1" s="1"/>
  <c r="CH14" i="1" s="1"/>
  <c r="CN14" i="1" s="1"/>
  <c r="CT14" i="1" s="1"/>
  <c r="CZ14" i="1" s="1"/>
  <c r="DF14" i="1" s="1"/>
  <c r="BO14" i="1"/>
  <c r="BU14" i="1" s="1"/>
  <c r="CA14" i="1" s="1"/>
  <c r="CG14" i="1" s="1"/>
  <c r="CM14" i="1" s="1"/>
  <c r="CS14" i="1" s="1"/>
  <c r="CY14" i="1" s="1"/>
  <c r="DE14" i="1" s="1"/>
  <c r="BQ17" i="1"/>
  <c r="F10" i="1"/>
  <c r="F87" i="1" s="1"/>
  <c r="E10" i="1"/>
  <c r="E87" i="1" s="1"/>
  <c r="BO12" i="1"/>
  <c r="BO11" i="1" s="1"/>
  <c r="Q101" i="1"/>
  <c r="BQ101" i="1" s="1"/>
  <c r="BP12" i="1"/>
  <c r="BP11" i="1" s="1"/>
  <c r="BR43" i="1"/>
  <c r="Z101" i="1"/>
  <c r="BP101" i="1"/>
  <c r="CA18" i="1"/>
  <c r="BV43" i="1"/>
  <c r="CA25" i="1"/>
  <c r="CG25" i="1" s="1"/>
  <c r="CM25" i="1" s="1"/>
  <c r="CS25" i="1" s="1"/>
  <c r="CY25" i="1" s="1"/>
  <c r="CA20" i="1"/>
  <c r="CG20" i="1" s="1"/>
  <c r="CM20" i="1" s="1"/>
  <c r="CS20" i="1" s="1"/>
  <c r="CY20" i="1" s="1"/>
  <c r="DE20" i="1" s="1"/>
  <c r="AK78" i="1"/>
  <c r="CU78" i="1" s="1"/>
  <c r="AL81" i="1"/>
  <c r="CV81" i="1" s="1"/>
  <c r="AK81" i="1"/>
  <c r="CU81" i="1" s="1"/>
  <c r="CC23" i="1"/>
  <c r="BW24" i="1"/>
  <c r="AL12" i="1"/>
  <c r="AL11" i="1" s="1"/>
  <c r="BW25" i="1"/>
  <c r="M12" i="1"/>
  <c r="M11" i="1" s="1"/>
  <c r="BW18" i="1"/>
  <c r="BW41" i="1"/>
  <c r="BQ16" i="1"/>
  <c r="BW37" i="1"/>
  <c r="BW17" i="1"/>
  <c r="BW33" i="1"/>
  <c r="DX78" i="1" l="1"/>
  <c r="DW78" i="1"/>
  <c r="BK12" i="1"/>
  <c r="BK11" i="1" s="1"/>
  <c r="BP10" i="1"/>
  <c r="BR10" i="1" s="1"/>
  <c r="BO10" i="1"/>
  <c r="U101" i="1"/>
  <c r="BW101" i="1" s="1"/>
  <c r="F77" i="1"/>
  <c r="BI87" i="1"/>
  <c r="BI77" i="1" s="1"/>
  <c r="BI74" i="1"/>
  <c r="CI23" i="1"/>
  <c r="BW20" i="1"/>
  <c r="E74" i="1"/>
  <c r="BD43" i="1"/>
  <c r="BD23" i="1"/>
  <c r="BD16" i="1"/>
  <c r="BD24" i="1"/>
  <c r="BD25" i="1"/>
  <c r="BD33" i="1"/>
  <c r="BD17" i="1"/>
  <c r="BD37" i="1"/>
  <c r="BD41" i="1"/>
  <c r="CC114" i="1"/>
  <c r="Q91" i="1"/>
  <c r="BR12" i="1"/>
  <c r="BR11" i="1" s="1"/>
  <c r="BC101" i="1"/>
  <c r="DB23" i="1"/>
  <c r="CC20" i="1"/>
  <c r="AL10" i="1"/>
  <c r="AL74" i="1" s="1"/>
  <c r="DB17" i="1"/>
  <c r="DB16" i="1"/>
  <c r="CO23" i="1"/>
  <c r="DH24" i="1"/>
  <c r="BU12" i="1"/>
  <c r="BU11" i="1" s="1"/>
  <c r="BV12" i="1"/>
  <c r="BV11" i="1" s="1"/>
  <c r="BX43" i="1"/>
  <c r="AD101" i="1"/>
  <c r="BV101" i="1"/>
  <c r="BR101" i="1"/>
  <c r="CG18" i="1"/>
  <c r="CM18" i="1" s="1"/>
  <c r="CA17" i="1"/>
  <c r="CG17" i="1" s="1"/>
  <c r="CM17" i="1" s="1"/>
  <c r="CS17" i="1" s="1"/>
  <c r="CY17" i="1" s="1"/>
  <c r="CB43" i="1"/>
  <c r="CC25" i="1"/>
  <c r="DE25" i="1"/>
  <c r="AP81" i="1"/>
  <c r="DB81" i="1" s="1"/>
  <c r="AO78" i="1"/>
  <c r="DA78" i="1" s="1"/>
  <c r="AO81" i="1"/>
  <c r="DA81" i="1" s="1"/>
  <c r="CC24" i="1"/>
  <c r="E77" i="1"/>
  <c r="F74" i="1"/>
  <c r="U91" i="1"/>
  <c r="AP12" i="1"/>
  <c r="AP11" i="1" s="1"/>
  <c r="Q12" i="1"/>
  <c r="Q11" i="1" s="1"/>
  <c r="M10" i="1"/>
  <c r="CC37" i="1"/>
  <c r="CC18" i="1"/>
  <c r="BW16" i="1"/>
  <c r="CC33" i="1"/>
  <c r="DX81" i="1" l="1"/>
  <c r="DW81" i="1"/>
  <c r="BP74" i="1"/>
  <c r="Y101" i="1"/>
  <c r="AC101" i="1" s="1"/>
  <c r="BP87" i="1"/>
  <c r="BP77" i="1" s="1"/>
  <c r="BV10" i="1"/>
  <c r="BX10" i="1" s="1"/>
  <c r="BO87" i="1"/>
  <c r="BO77" i="1" s="1"/>
  <c r="BO74" i="1"/>
  <c r="CI20" i="1"/>
  <c r="CI114" i="1"/>
  <c r="BC81" i="1"/>
  <c r="BU10" i="1"/>
  <c r="BU74" i="1" s="1"/>
  <c r="BQ12" i="1"/>
  <c r="BQ11" i="1" s="1"/>
  <c r="BX12" i="1"/>
  <c r="BX11" i="1" s="1"/>
  <c r="BC23" i="1"/>
  <c r="BC78" i="1"/>
  <c r="CC43" i="1"/>
  <c r="BW43" i="1"/>
  <c r="CC41" i="1"/>
  <c r="DH25" i="1"/>
  <c r="DH41" i="1"/>
  <c r="AS81" i="1"/>
  <c r="DG81" i="1" s="1"/>
  <c r="CB12" i="1"/>
  <c r="CB11" i="1" s="1"/>
  <c r="CD43" i="1"/>
  <c r="DH16" i="1"/>
  <c r="DH17" i="1"/>
  <c r="AL87" i="1"/>
  <c r="AL77" i="1" s="1"/>
  <c r="DH23" i="1"/>
  <c r="CA12" i="1"/>
  <c r="CA11" i="1" s="1"/>
  <c r="CC17" i="1"/>
  <c r="M74" i="1"/>
  <c r="BK10" i="1"/>
  <c r="DH33" i="1"/>
  <c r="CU23" i="1"/>
  <c r="DH37" i="1"/>
  <c r="AP10" i="1"/>
  <c r="AP74" i="1" s="1"/>
  <c r="BR87" i="1"/>
  <c r="AH101" i="1"/>
  <c r="CB101" i="1"/>
  <c r="BX101" i="1"/>
  <c r="CG12" i="1"/>
  <c r="CG11" i="1" s="1"/>
  <c r="CH43" i="1"/>
  <c r="DE17" i="1"/>
  <c r="CS18" i="1"/>
  <c r="CY18" i="1" s="1"/>
  <c r="DE18" i="1" s="1"/>
  <c r="AT81" i="1"/>
  <c r="DH81" i="1" s="1"/>
  <c r="AS78" i="1"/>
  <c r="DG78" i="1" s="1"/>
  <c r="M87" i="1"/>
  <c r="Q10" i="1"/>
  <c r="U12" i="1"/>
  <c r="U11" i="1" s="1"/>
  <c r="H118" i="1"/>
  <c r="AT12" i="1"/>
  <c r="AT11" i="1" s="1"/>
  <c r="AX118" i="1" l="1"/>
  <c r="DN118" i="1"/>
  <c r="DL118" i="1"/>
  <c r="BU87" i="1"/>
  <c r="BU77" i="1" s="1"/>
  <c r="CC101" i="1"/>
  <c r="BV87" i="1"/>
  <c r="BV77" i="1" s="1"/>
  <c r="H11" i="1"/>
  <c r="BV74" i="1"/>
  <c r="CA10" i="1"/>
  <c r="CA87" i="1" s="1"/>
  <c r="CA77" i="1" s="1"/>
  <c r="CB10" i="1"/>
  <c r="CD10" i="1" s="1"/>
  <c r="BD12" i="1"/>
  <c r="BD11" i="1" s="1"/>
  <c r="CO114" i="1"/>
  <c r="H10" i="1"/>
  <c r="H87" i="1" s="1"/>
  <c r="Y91" i="1"/>
  <c r="BW12" i="1"/>
  <c r="BW11" i="1" s="1"/>
  <c r="CD12" i="1"/>
  <c r="CD11" i="1" s="1"/>
  <c r="BC20" i="1"/>
  <c r="BC41" i="1"/>
  <c r="BC25" i="1"/>
  <c r="CI43" i="1"/>
  <c r="D12" i="14"/>
  <c r="Q74" i="1"/>
  <c r="BQ10" i="1"/>
  <c r="AW78" i="1"/>
  <c r="DM78" i="1" s="1"/>
  <c r="CO24" i="1"/>
  <c r="CI24" i="1"/>
  <c r="CO20" i="1"/>
  <c r="CI41" i="1"/>
  <c r="CO33" i="1"/>
  <c r="CI33" i="1"/>
  <c r="CO18" i="1"/>
  <c r="CI18" i="1"/>
  <c r="CI37" i="1"/>
  <c r="Y12" i="1"/>
  <c r="Y11" i="1" s="1"/>
  <c r="CC16" i="1"/>
  <c r="AT10" i="1"/>
  <c r="AT74" i="1" s="1"/>
  <c r="CH12" i="1"/>
  <c r="CH11" i="1" s="1"/>
  <c r="CJ43" i="1"/>
  <c r="CI25" i="1"/>
  <c r="AP87" i="1"/>
  <c r="AP77" i="1" s="1"/>
  <c r="DA23" i="1"/>
  <c r="CO17" i="1"/>
  <c r="CI17" i="1"/>
  <c r="CU24" i="1"/>
  <c r="M77" i="1"/>
  <c r="BK87" i="1"/>
  <c r="BX87" i="1"/>
  <c r="CH101" i="1"/>
  <c r="CD101" i="1"/>
  <c r="AG101" i="1"/>
  <c r="CI101" i="1"/>
  <c r="AL101" i="1"/>
  <c r="CN43" i="1"/>
  <c r="CG10" i="1"/>
  <c r="CM12" i="1"/>
  <c r="CM11" i="1" s="1"/>
  <c r="AX81" i="1"/>
  <c r="DN81" i="1" s="1"/>
  <c r="AW81" i="1"/>
  <c r="DM81" i="1" s="1"/>
  <c r="Q87" i="1"/>
  <c r="AC91" i="1"/>
  <c r="CI16" i="1"/>
  <c r="U10" i="1"/>
  <c r="CB87" i="1" l="1"/>
  <c r="CB77" i="1" s="1"/>
  <c r="AX11" i="1"/>
  <c r="CA74" i="1"/>
  <c r="CB74" i="1"/>
  <c r="H74" i="1"/>
  <c r="BD10" i="1"/>
  <c r="CU114" i="1"/>
  <c r="CH10" i="1"/>
  <c r="CJ10" i="1" s="1"/>
  <c r="CJ12" i="1"/>
  <c r="CJ11" i="1" s="1"/>
  <c r="CU18" i="1"/>
  <c r="DA24" i="1"/>
  <c r="CU17" i="1"/>
  <c r="CC12" i="1"/>
  <c r="CC11" i="1" s="1"/>
  <c r="BC37" i="1"/>
  <c r="BC17" i="1"/>
  <c r="BC16" i="1"/>
  <c r="DA17" i="1"/>
  <c r="DG23" i="1"/>
  <c r="CO25" i="1"/>
  <c r="AT87" i="1"/>
  <c r="AT77" i="1" s="1"/>
  <c r="CO37" i="1"/>
  <c r="CO41" i="1"/>
  <c r="CO43" i="1"/>
  <c r="AX10" i="1"/>
  <c r="U74" i="1"/>
  <c r="BW10" i="1"/>
  <c r="CN12" i="1"/>
  <c r="CN11" i="1" s="1"/>
  <c r="CP43" i="1"/>
  <c r="CU20" i="1"/>
  <c r="Q77" i="1"/>
  <c r="BQ87" i="1"/>
  <c r="CD87" i="1"/>
  <c r="AP101" i="1"/>
  <c r="AK101" i="1"/>
  <c r="CO101" i="1"/>
  <c r="CN101" i="1"/>
  <c r="CJ101" i="1"/>
  <c r="CT43" i="1"/>
  <c r="CM10" i="1"/>
  <c r="CS12" i="1"/>
  <c r="CS11" i="1" s="1"/>
  <c r="U87" i="1"/>
  <c r="AG91" i="1"/>
  <c r="DA18" i="1"/>
  <c r="BC43" i="1"/>
  <c r="CO16" i="1"/>
  <c r="AC12" i="1"/>
  <c r="AC11" i="1" s="1"/>
  <c r="Y10" i="1"/>
  <c r="CG74" i="1" l="1"/>
  <c r="BD87" i="1"/>
  <c r="CN10" i="1"/>
  <c r="CP10" i="1" s="1"/>
  <c r="H77" i="1"/>
  <c r="CG87" i="1"/>
  <c r="CG77" i="1" s="1"/>
  <c r="CH87" i="1"/>
  <c r="CH77" i="1" s="1"/>
  <c r="CH74" i="1"/>
  <c r="DA114" i="1"/>
  <c r="CI12" i="1"/>
  <c r="CI11" i="1" s="1"/>
  <c r="CP12" i="1"/>
  <c r="CP11" i="1" s="1"/>
  <c r="BC24" i="1"/>
  <c r="BC33" i="1"/>
  <c r="CU33" i="1"/>
  <c r="CU43" i="1"/>
  <c r="CU37" i="1"/>
  <c r="AC10" i="1"/>
  <c r="CI10" i="1" s="1"/>
  <c r="Y74" i="1"/>
  <c r="CC10" i="1"/>
  <c r="DG17" i="1"/>
  <c r="DG24" i="1"/>
  <c r="CT12" i="1"/>
  <c r="CT11" i="1" s="1"/>
  <c r="CV43" i="1"/>
  <c r="DA20" i="1"/>
  <c r="AX74" i="1"/>
  <c r="AX87" i="1"/>
  <c r="CU41" i="1"/>
  <c r="CU25" i="1"/>
  <c r="U77" i="1"/>
  <c r="BW87" i="1"/>
  <c r="CJ87" i="1"/>
  <c r="CT101" i="1"/>
  <c r="CP101" i="1"/>
  <c r="AO101" i="1"/>
  <c r="CU101" i="1"/>
  <c r="AT101" i="1"/>
  <c r="CM74" i="1"/>
  <c r="CM87" i="1"/>
  <c r="CM77" i="1" s="1"/>
  <c r="CZ43" i="1"/>
  <c r="CS10" i="1"/>
  <c r="CY12" i="1"/>
  <c r="CY11" i="1" s="1"/>
  <c r="Y87" i="1"/>
  <c r="AK91" i="1"/>
  <c r="BC18" i="1"/>
  <c r="CU16" i="1"/>
  <c r="AG12" i="1"/>
  <c r="AG11" i="1" s="1"/>
  <c r="G118" i="1" l="1"/>
  <c r="DX12" i="1"/>
  <c r="DW12" i="1"/>
  <c r="AX77" i="1"/>
  <c r="G11" i="1"/>
  <c r="CN74" i="1"/>
  <c r="CN87" i="1"/>
  <c r="CN77" i="1" s="1"/>
  <c r="CT10" i="1"/>
  <c r="CV10" i="1" s="1"/>
  <c r="BC12" i="1"/>
  <c r="BC11" i="1" s="1"/>
  <c r="DG114" i="1"/>
  <c r="AC74" i="1"/>
  <c r="AC87" i="1"/>
  <c r="AC77" i="1" s="1"/>
  <c r="CO12" i="1"/>
  <c r="CO11" i="1" s="1"/>
  <c r="CV12" i="1"/>
  <c r="CV11" i="1" s="1"/>
  <c r="DG18" i="1"/>
  <c r="CZ12" i="1"/>
  <c r="CZ11" i="1" s="1"/>
  <c r="DB43" i="1"/>
  <c r="DA33" i="1"/>
  <c r="DA25" i="1"/>
  <c r="DA41" i="1"/>
  <c r="DG20" i="1"/>
  <c r="DA37" i="1"/>
  <c r="DA43" i="1"/>
  <c r="CP87" i="1"/>
  <c r="Y77" i="1"/>
  <c r="CC87" i="1"/>
  <c r="DN101" i="1"/>
  <c r="AS101" i="1"/>
  <c r="DA101" i="1"/>
  <c r="CZ101" i="1"/>
  <c r="CV101" i="1"/>
  <c r="CS74" i="1"/>
  <c r="CS87" i="1"/>
  <c r="CS77" i="1" s="1"/>
  <c r="CY10" i="1"/>
  <c r="DE12" i="1"/>
  <c r="DE11" i="1" s="1"/>
  <c r="DF43" i="1"/>
  <c r="G10" i="1"/>
  <c r="DA16" i="1"/>
  <c r="AK12" i="1"/>
  <c r="AK11" i="1" s="1"/>
  <c r="AG10" i="1"/>
  <c r="DX10" i="1" l="1"/>
  <c r="G87" i="1"/>
  <c r="DX11" i="1"/>
  <c r="DW11" i="1"/>
  <c r="AW118" i="1"/>
  <c r="DM118" i="1"/>
  <c r="DK118" i="1"/>
  <c r="DW10" i="1"/>
  <c r="CT87" i="1"/>
  <c r="CT77" i="1" s="1"/>
  <c r="CT74" i="1"/>
  <c r="CZ10" i="1"/>
  <c r="DB10" i="1" s="1"/>
  <c r="CI87" i="1"/>
  <c r="AO91" i="1"/>
  <c r="DB12" i="1"/>
  <c r="DB11" i="1" s="1"/>
  <c r="AK10" i="1"/>
  <c r="CU10" i="1" s="1"/>
  <c r="CU12" i="1"/>
  <c r="CU11" i="1" s="1"/>
  <c r="AG74" i="1"/>
  <c r="CO10" i="1"/>
  <c r="DG43" i="1"/>
  <c r="DG33" i="1"/>
  <c r="DF12" i="1"/>
  <c r="DF11" i="1" s="1"/>
  <c r="DH43" i="1"/>
  <c r="DG37" i="1"/>
  <c r="DG41" i="1"/>
  <c r="DG25" i="1"/>
  <c r="CV87" i="1"/>
  <c r="DF101" i="1"/>
  <c r="DB101" i="1"/>
  <c r="DM101" i="1"/>
  <c r="DG101" i="1"/>
  <c r="DL91" i="1"/>
  <c r="CY74" i="1"/>
  <c r="CY87" i="1"/>
  <c r="CY77" i="1" s="1"/>
  <c r="DE10" i="1"/>
  <c r="AG87" i="1"/>
  <c r="AS91" i="1"/>
  <c r="BC10" i="1"/>
  <c r="G74" i="1"/>
  <c r="DG16" i="1"/>
  <c r="AO12" i="1"/>
  <c r="AO11" i="1" s="1"/>
  <c r="DX87" i="1" l="1"/>
  <c r="DW87" i="1"/>
  <c r="CZ87" i="1"/>
  <c r="CZ77" i="1" s="1"/>
  <c r="CZ74" i="1"/>
  <c r="DF10" i="1"/>
  <c r="DH10" i="1" s="1"/>
  <c r="AK74" i="1"/>
  <c r="DH12" i="1"/>
  <c r="DH11" i="1" s="1"/>
  <c r="BC87" i="1"/>
  <c r="AK87" i="1"/>
  <c r="CU87" i="1" s="1"/>
  <c r="G77" i="1"/>
  <c r="AO10" i="1"/>
  <c r="DA10" i="1" s="1"/>
  <c r="DA12" i="1"/>
  <c r="DA11" i="1" s="1"/>
  <c r="DK11" i="1"/>
  <c r="AG77" i="1"/>
  <c r="CO87" i="1"/>
  <c r="DB87" i="1"/>
  <c r="DL101" i="1"/>
  <c r="DH101" i="1"/>
  <c r="DE74" i="1"/>
  <c r="DE87" i="1"/>
  <c r="DE77" i="1" s="1"/>
  <c r="AW91" i="1"/>
  <c r="AS12" i="1"/>
  <c r="AS11" i="1" s="1"/>
  <c r="DM91" i="1" l="1"/>
  <c r="DL11" i="1"/>
  <c r="DN11" i="1" s="1"/>
  <c r="DN12" i="1"/>
  <c r="DF74" i="1"/>
  <c r="DF87" i="1"/>
  <c r="DF77" i="1" s="1"/>
  <c r="AK77" i="1"/>
  <c r="AO74" i="1"/>
  <c r="DK10" i="1"/>
  <c r="DL10" i="1"/>
  <c r="DN10" i="1" s="1"/>
  <c r="AS10" i="1"/>
  <c r="DG10" i="1" s="1"/>
  <c r="DG12" i="1"/>
  <c r="DG11" i="1" s="1"/>
  <c r="AO87" i="1"/>
  <c r="DH87" i="1"/>
  <c r="DK74" i="1" l="1"/>
  <c r="DK87" i="1"/>
  <c r="DK77" i="1" s="1"/>
  <c r="DM12" i="1"/>
  <c r="C12" i="14"/>
  <c r="AW11" i="1"/>
  <c r="DM11" i="1" s="1"/>
  <c r="AS74" i="1"/>
  <c r="AS87" i="1"/>
  <c r="AS77" i="1" s="1"/>
  <c r="DL74" i="1"/>
  <c r="DL87" i="1"/>
  <c r="DN87" i="1" s="1"/>
  <c r="AW10" i="1"/>
  <c r="DM10" i="1" s="1"/>
  <c r="AO77" i="1"/>
  <c r="DA87" i="1"/>
  <c r="DG87" i="1" l="1"/>
  <c r="AW87" i="1"/>
  <c r="DM87" i="1" s="1"/>
  <c r="DL77" i="1"/>
  <c r="AW74" i="1"/>
  <c r="AW77" i="1" l="1"/>
</calcChain>
</file>

<file path=xl/sharedStrings.xml><?xml version="1.0" encoding="utf-8"?>
<sst xmlns="http://schemas.openxmlformats.org/spreadsheetml/2006/main" count="4731" uniqueCount="257">
  <si>
    <t xml:space="preserve">Прогноз ожидаемого исполнения бюджета Сортавальского муниципального района </t>
  </si>
  <si>
    <t xml:space="preserve">на 2016 год </t>
  </si>
  <si>
    <t>(тыс. руб.)</t>
  </si>
  <si>
    <t>Наименование</t>
  </si>
  <si>
    <t>2014 год</t>
  </si>
  <si>
    <r>
      <t xml:space="preserve">2015 год </t>
    </r>
    <r>
      <rPr>
        <i/>
        <sz val="13"/>
        <rFont val="Times New Roman Cyr"/>
        <charset val="204"/>
      </rPr>
      <t>(отчетный финансовый год)</t>
    </r>
  </si>
  <si>
    <r>
      <t xml:space="preserve">2016 год </t>
    </r>
    <r>
      <rPr>
        <i/>
        <sz val="13"/>
        <rFont val="Times New Roman Cyr"/>
        <charset val="204"/>
      </rPr>
      <t>(текущий финансовый год)</t>
    </r>
  </si>
  <si>
    <t>Исполнено за 2015 год</t>
  </si>
  <si>
    <t>в том числе:</t>
  </si>
  <si>
    <t>Утверждено на 2016 год</t>
  </si>
  <si>
    <r>
      <t xml:space="preserve">Исполнено, в том числе помесячно </t>
    </r>
    <r>
      <rPr>
        <sz val="10"/>
        <rFont val="Times New Roman Cyr"/>
        <charset val="204"/>
      </rPr>
      <t xml:space="preserve">: </t>
    </r>
  </si>
  <si>
    <t>январь</t>
  </si>
  <si>
    <t>февраль</t>
  </si>
  <si>
    <t>март</t>
  </si>
  <si>
    <t>на 01.04.</t>
  </si>
  <si>
    <t>апрель</t>
  </si>
  <si>
    <t xml:space="preserve">май 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</si>
  <si>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</si>
  <si>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</si>
  <si>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</si>
  <si>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</si>
  <si>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</si>
  <si>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</si>
  <si>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</si>
  <si>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т.ч. бюджет района</t>
  </si>
  <si>
    <t xml:space="preserve">в т.ч. бюджет района </t>
  </si>
  <si>
    <t>консолиди-                       рованный бюджет района</t>
  </si>
  <si>
    <t>консолидированный бюджет района</t>
  </si>
  <si>
    <t xml:space="preserve">консолидированный бюджет района </t>
  </si>
  <si>
    <t>I. ДОХОДЫ - всего,  в т.ч.:</t>
  </si>
  <si>
    <t>1. Налоговые и неналоговые доходы , в т.ч.:</t>
  </si>
  <si>
    <t>- налог на доходы физических лиц</t>
  </si>
  <si>
    <t>- единый налог на вмененный доход</t>
  </si>
  <si>
    <t>- налог на имущество физических лиц</t>
  </si>
  <si>
    <t>-</t>
  </si>
  <si>
    <t>- земельный налог</t>
  </si>
  <si>
    <t>- налог, взим. в связи с примен.патентн. системы</t>
  </si>
  <si>
    <t>- госпошлина</t>
  </si>
  <si>
    <t>- акцизы на нефтепродукты</t>
  </si>
  <si>
    <t>- доходы от использования имущества</t>
  </si>
  <si>
    <t>- плата за негат.возд.на окр.среду</t>
  </si>
  <si>
    <t>- доходы от оказания платных услуг</t>
  </si>
  <si>
    <t>- штрафы, санкции, возмещение ущерба</t>
  </si>
  <si>
    <t>- прочие неналоговые доходы</t>
  </si>
  <si>
    <t>2. Безвозмездные поступления, в т.ч.:</t>
  </si>
  <si>
    <t>2.2. Субвенции, из них:</t>
  </si>
  <si>
    <t>2.3. Субсидии, из них:</t>
  </si>
  <si>
    <t>2.4. Иные межбюджетные трансферты</t>
  </si>
  <si>
    <t>2.5. Прочие безвозмездные поступления</t>
  </si>
  <si>
    <t>II. РАСХОДЫ -  всего, в т.ч.:</t>
  </si>
  <si>
    <t xml:space="preserve">III. ПРОФИЦИТ "+", ДЕФИЦИТ "-" </t>
  </si>
  <si>
    <t>x</t>
  </si>
  <si>
    <t>в процентах (%)</t>
  </si>
  <si>
    <t>IV. ИСТОЧНИКИ ФИНАНСИРОВАНИЯ ДЕФИЦИТА БЮДЖЕТА</t>
  </si>
  <si>
    <t>- бюджетные кредиты от других бюджетов</t>
  </si>
  <si>
    <t>получение (со знаком "+")</t>
  </si>
  <si>
    <t>погашение (со знаком "-")</t>
  </si>
  <si>
    <t>- кредиты кредитных организаций</t>
  </si>
  <si>
    <t xml:space="preserve">-прочие </t>
  </si>
  <si>
    <t>возврат, получение (со знаком "+")</t>
  </si>
  <si>
    <t>предоставление, погашение (со знаком "-")</t>
  </si>
  <si>
    <t>-изменение остатков средств</t>
  </si>
  <si>
    <t>V. Недостаток средств на фииансовое обеспечение расходов (с учетом источников финансирования дефицита бюджета)</t>
  </si>
  <si>
    <t>СПРАВОЧНО:</t>
  </si>
  <si>
    <t>1. Доходы, в т.ч.:</t>
  </si>
  <si>
    <t>- иные доходы, в.т.ч.:</t>
  </si>
  <si>
    <t>( разрезе доходных источников):</t>
  </si>
  <si>
    <t xml:space="preserve">- </t>
  </si>
  <si>
    <t xml:space="preserve">2. Расходы, в.тч.: </t>
  </si>
  <si>
    <t>на 01.02.</t>
  </si>
  <si>
    <t>на 01.03.</t>
  </si>
  <si>
    <t>на 1 января  очередного финансового года</t>
  </si>
  <si>
    <t xml:space="preserve"> II. МУНИЦИПАЛЬНЫЙ ДОЛГ</t>
  </si>
  <si>
    <t>в процентах (%) (соблюдение п.3 ст.107 БК РФ)</t>
  </si>
  <si>
    <t xml:space="preserve"> III. ПРОСРОЧЕННАЯ  КРЕДИТОРСКАЯ ЗАДОЛЖЕННОСТЬ  (по КУ), всего, в т.ч.: </t>
  </si>
  <si>
    <t xml:space="preserve">1. По оплате труда </t>
  </si>
  <si>
    <t>2. По начислениям на оплату труда</t>
  </si>
  <si>
    <t xml:space="preserve"> IV. ПРОСРОЧЕННАЯ  КРЕДИТОРСКАЯ ЗАДОЛЖЕННОСТЬ  (по АУ+БУ), всего, в т.ч.: </t>
  </si>
  <si>
    <t>- целевые</t>
  </si>
  <si>
    <t xml:space="preserve"> VI. ОСТАТКИ СРЕДСТВ НА СЧЕТАХ  АУ и БУ</t>
  </si>
  <si>
    <t xml:space="preserve">- единый сельскохозяйственный налог </t>
  </si>
  <si>
    <t>на 01.05.</t>
  </si>
  <si>
    <t>на 01.06.</t>
  </si>
  <si>
    <t>на 01.07.</t>
  </si>
  <si>
    <t>на 01.08.</t>
  </si>
  <si>
    <t>на 01.09.</t>
  </si>
  <si>
    <t>на 01.10.</t>
  </si>
  <si>
    <t>на 01.11.</t>
  </si>
  <si>
    <t>на 01.12.</t>
  </si>
  <si>
    <t>- доходы от реализации имущества</t>
  </si>
  <si>
    <t>- доходы от продажи земельных участков</t>
  </si>
  <si>
    <t>- на выравнивание поселений</t>
  </si>
  <si>
    <t>- на сбалансированность бюджета</t>
  </si>
  <si>
    <t>2.6. Возврат остатков целевых МБТ</t>
  </si>
  <si>
    <t>2.1. Дотации на выравнивание</t>
  </si>
  <si>
    <t>1.3. работников АУ и БУ</t>
  </si>
  <si>
    <t>Темп роста (снижения) к исполнено за отчетный год, %</t>
  </si>
  <si>
    <t xml:space="preserve">2. Дотация бюджетам поселений </t>
  </si>
  <si>
    <r>
      <t xml:space="preserve">1.4. персоналу мун.органов </t>
    </r>
    <r>
      <rPr>
        <sz val="10"/>
        <rFont val="Times New Roman Cyr"/>
        <charset val="204"/>
      </rPr>
      <t>КВР (121 и 129)</t>
    </r>
  </si>
  <si>
    <r>
      <t xml:space="preserve">1.2. работников КУ </t>
    </r>
    <r>
      <rPr>
        <sz val="10"/>
        <rFont val="Times New Roman Cyr"/>
        <charset val="204"/>
      </rPr>
      <t>(КВР 111+119)</t>
    </r>
  </si>
  <si>
    <t xml:space="preserve">1. ФОТ с начислениями (КУ, АУ, БУ), в т.ч.: </t>
  </si>
  <si>
    <r>
      <t xml:space="preserve">3. Расходы за счет субвенций </t>
    </r>
    <r>
      <rPr>
        <b/>
        <i/>
        <sz val="10"/>
        <rFont val="Times New Roman Cyr"/>
        <charset val="204"/>
      </rPr>
      <t xml:space="preserve">(за искл. Стр.1.1.) </t>
    </r>
  </si>
  <si>
    <t xml:space="preserve">4. Расходы за счет субсидий и иных МБТ </t>
  </si>
  <si>
    <t>5. Дорожный фонд</t>
  </si>
  <si>
    <t xml:space="preserve">                   коммунальные услуги</t>
  </si>
  <si>
    <t>1.1. за счет субвенций и иных МБТ</t>
  </si>
  <si>
    <t xml:space="preserve">6. Другие расходы (за искл. п.1-5), в т.ч. : </t>
  </si>
  <si>
    <t xml:space="preserve">                   содержание имущества</t>
  </si>
  <si>
    <t>6.2. Материальные затраты, в том числе:</t>
  </si>
  <si>
    <r>
      <t xml:space="preserve">6.4. Кап. вложения в объекты мун.соб-ти </t>
    </r>
    <r>
      <rPr>
        <sz val="10"/>
        <rFont val="Times New Roman"/>
        <family val="1"/>
        <charset val="204"/>
      </rPr>
      <t>(КВР 400)</t>
    </r>
  </si>
  <si>
    <r>
      <t xml:space="preserve">- в целях кап.ремонта мун-го имущества </t>
    </r>
    <r>
      <rPr>
        <sz val="10"/>
        <rFont val="Times New Roman Cyr"/>
        <charset val="204"/>
      </rPr>
      <t>(КВР 243)</t>
    </r>
    <r>
      <rPr>
        <sz val="13"/>
        <rFont val="Times New Roman Cyr"/>
        <charset val="204"/>
      </rPr>
      <t xml:space="preserve">
</t>
    </r>
  </si>
  <si>
    <r>
      <t xml:space="preserve">- в сфере информ.-коммуник.технологий </t>
    </r>
    <r>
      <rPr>
        <sz val="10"/>
        <rFont val="Times New Roman Cyr"/>
        <charset val="204"/>
      </rPr>
      <t>(КВР 242)</t>
    </r>
  </si>
  <si>
    <t>- прочие закупки (КВР 244), из них:</t>
  </si>
  <si>
    <t>Исполнено за 2014 год</t>
  </si>
  <si>
    <t>безвозмездные поступления (субсидии)</t>
  </si>
  <si>
    <t>на 01.01.2015 года</t>
  </si>
  <si>
    <t>на 01.01.2016 года</t>
  </si>
  <si>
    <t>Ожидаемая оценка на __________</t>
  </si>
  <si>
    <t>- на осущ. части полномочий по решению вопросов местного значения в соответствии с заключенными соглашениями</t>
  </si>
  <si>
    <r>
      <t xml:space="preserve">6.5. Обслуживание муниципального долга </t>
    </r>
    <r>
      <rPr>
        <sz val="10"/>
        <rFont val="Times New Roman Cyr"/>
        <charset val="204"/>
      </rPr>
      <t>(КВР 730)</t>
    </r>
  </si>
  <si>
    <r>
      <t xml:space="preserve">6.6. Субсидии юрид. лицам </t>
    </r>
    <r>
      <rPr>
        <sz val="10"/>
        <rFont val="Times New Roman Cyr"/>
        <charset val="204"/>
      </rPr>
      <t>(КВР 810)</t>
    </r>
  </si>
  <si>
    <r>
      <t xml:space="preserve">6.7. Исполнение судебных актов </t>
    </r>
    <r>
      <rPr>
        <sz val="10"/>
        <rFont val="Times New Roman Cyr"/>
        <charset val="204"/>
      </rPr>
      <t>(КВР 830)</t>
    </r>
  </si>
  <si>
    <r>
      <t xml:space="preserve">6.8. Уплата налогов, сборов и иных платежей </t>
    </r>
    <r>
      <rPr>
        <sz val="10"/>
        <rFont val="Times New Roman Cyr"/>
        <charset val="204"/>
      </rPr>
      <t>(КВР 850)</t>
    </r>
  </si>
  <si>
    <r>
      <t xml:space="preserve">6.9. Субсидии АУ,БУ </t>
    </r>
    <r>
      <rPr>
        <sz val="10"/>
        <rFont val="Times New Roman Cyr"/>
        <charset val="204"/>
      </rPr>
      <t>(КВР 600 за искл.строк 1-6.8.)</t>
    </r>
  </si>
  <si>
    <r>
      <t>6.10. Прочие расходы</t>
    </r>
    <r>
      <rPr>
        <sz val="10"/>
        <rFont val="Times New Roman Cyr"/>
        <charset val="204"/>
      </rPr>
      <t xml:space="preserve"> (за искл.стр.6.1-6.9.), из них</t>
    </r>
  </si>
  <si>
    <t xml:space="preserve"> Оценка ОМСУ на текущий год</t>
  </si>
  <si>
    <t>Темп роста (снижения) к утверждено на текущий год, %</t>
  </si>
  <si>
    <t>% дефицита за минусом допустимого превышения по БК</t>
  </si>
  <si>
    <t>1</t>
  </si>
  <si>
    <t xml:space="preserve">3. По оплате коммунальных услуг </t>
  </si>
  <si>
    <t xml:space="preserve">                           в т.ч. по доп. нyормативу % - </t>
  </si>
  <si>
    <r>
      <t>6.3. Социальное обеспечение и иные выплаты</t>
    </r>
    <r>
      <rPr>
        <sz val="10"/>
        <rFont val="Times New Roman Cyr"/>
        <charset val="204"/>
      </rPr>
      <t xml:space="preserve"> (КВР 300)</t>
    </r>
  </si>
  <si>
    <t>6.1. Софин.мероприятий, субсидир-х из бюджета РК</t>
  </si>
  <si>
    <r>
      <t xml:space="preserve">осущ. части полномочий по согл-м </t>
    </r>
    <r>
      <rPr>
        <sz val="10"/>
        <rFont val="Times New Roman Cyr"/>
        <charset val="204"/>
      </rPr>
      <t>(за счет иных МБТ)</t>
    </r>
  </si>
  <si>
    <t xml:space="preserve"> VII. НЕДОИМКА</t>
  </si>
  <si>
    <t xml:space="preserve">  V. ОСТАТКИ СРЕДСТВ НА СЧЕТЕ МЕСТНОГО БЮДЖЕТА, всего , в т.ч.:</t>
  </si>
  <si>
    <t xml:space="preserve"> I. МУНИЦИПАЛЬНЫЙ ДОРОЖНЫЙ ФОНД</t>
  </si>
  <si>
    <t>01.05.</t>
  </si>
  <si>
    <t>на  01.06.</t>
  </si>
  <si>
    <t>на 01.01.</t>
  </si>
  <si>
    <t>(в разрезе кодов КВР):</t>
  </si>
  <si>
    <t>май</t>
  </si>
  <si>
    <t>2.4. Иные межбюджетные трансферты, из них:</t>
  </si>
  <si>
    <t>- безвозмездные поступления (субсидии)</t>
  </si>
  <si>
    <t xml:space="preserve">получение </t>
  </si>
  <si>
    <t xml:space="preserve">погашение </t>
  </si>
  <si>
    <t>погашение</t>
  </si>
  <si>
    <t xml:space="preserve">возврат, получение </t>
  </si>
  <si>
    <t xml:space="preserve">предоставление, погашение </t>
  </si>
  <si>
    <t>Исполнено за год</t>
  </si>
  <si>
    <t>Утверждено на год</t>
  </si>
  <si>
    <t>Рост (снижение) к началу отчетного года (тыс.рублей)</t>
  </si>
  <si>
    <t>Рост (снижение) к началу текущего года (тыс.рублей)</t>
  </si>
  <si>
    <t xml:space="preserve"> II. МУНИЦИПАЛЬНЫЙ ДОЛГ, в том числе:</t>
  </si>
  <si>
    <t>по бюджетным кредитам</t>
  </si>
  <si>
    <t>по кредитам коммерческих организаций</t>
  </si>
  <si>
    <t>по муниципальным гарантиям</t>
  </si>
  <si>
    <t>Прогноз ожидаемого исполнения бюджета _____________________________ поселения</t>
  </si>
  <si>
    <t xml:space="preserve">ДАННАЯ ФОРМА ЗАПОЛНЯЕТСЯ ДОПОЛНИТЕЛЬНО В СЛУЧАЕ ПРИВЛЕЧЕНИЯ БЮДЖЕТНОГО КРЕДИТА ДЛЯ ПОСЕЛЕНИЯ. Удалять сроки и столбцы нельзя. На бумажном носителе высылается только форма по консолидированному бюджету. </t>
  </si>
  <si>
    <t>ЗАПОЛНЯЕТСЯ ОТДЕЛЬНО ЛИСТЫ ПО РАЙОНУ И ПОСЕЛЕНИЯМ. Удалять сроки и столбцы нельзя. ЗАПОЛНЯЮТСЯ ВСЕ ЯЧЕЙКИ. Если показатель отсутствует, то ставить "0". Данные должны соответствовать отчетности об исполнении бюджета. На бумажном носителе высылается только форма по консолидированному бюджету. В случае привлечения бюджетного кредита для поселения, дополнительно заполняется лист "кредит для поселения"</t>
  </si>
  <si>
    <t xml:space="preserve"> IV. ПРОСРОЧЕННАЯ  КРЕДИТОРСКАЯ ЗАДОЛЖЕННОСТЬ  (по КУ), всего, в т.ч.: </t>
  </si>
  <si>
    <t xml:space="preserve">V. ПРОСРОЧЕННАЯ  КРЕДИТОРСКАЯ ЗАДОЛЖЕННОСТЬ  (по АУ+БУ), всего, в т.ч.: </t>
  </si>
  <si>
    <t>IV. ОСТАТКИ СРЕДСТВ НА СЧЕТЕ МЕСТНОГО БЮДЖЕТА, всего , в т.ч.:</t>
  </si>
  <si>
    <t xml:space="preserve"> VII. ОСТАТКИ СРЕДСТВ НА СЧЕТАХ  АУ и БУ</t>
  </si>
  <si>
    <t xml:space="preserve"> VIII. НЕДОИМКА</t>
  </si>
  <si>
    <r>
      <t>III. ПРЕДЕЛЬНЫЙ ОБЪЕМ МУНИЦИПАЛЬНОГО ДОЛГА</t>
    </r>
    <r>
      <rPr>
        <b/>
        <sz val="12"/>
        <rFont val="Times New Roman Cyr"/>
        <charset val="204"/>
      </rPr>
      <t xml:space="preserve"> </t>
    </r>
    <r>
      <rPr>
        <b/>
        <sz val="11"/>
        <rFont val="Times New Roman Cyr"/>
        <charset val="204"/>
      </rPr>
      <t>(решение о бюджете)</t>
    </r>
  </si>
  <si>
    <t xml:space="preserve">                           в т.ч. по доп. нормативу % - </t>
  </si>
  <si>
    <t>V. Недостаток средств на финансовое обеспечение расходов (с учетом источников финансирования дефицита бюджета)</t>
  </si>
  <si>
    <t xml:space="preserve">Прогноз ожидаемого исполнения бюджета ________________________ муниципального района </t>
  </si>
  <si>
    <t>…………</t>
  </si>
  <si>
    <t>Ожидаемый прогноз на __________ (указывается месяц, в котором поступило обращение)</t>
  </si>
  <si>
    <r>
      <t xml:space="preserve">20___ год </t>
    </r>
    <r>
      <rPr>
        <i/>
        <sz val="13"/>
        <rFont val="Times New Roman Cyr"/>
        <charset val="204"/>
      </rPr>
      <t>(отчетный финансовый год)</t>
    </r>
  </si>
  <si>
    <r>
      <t xml:space="preserve">20___ год </t>
    </r>
    <r>
      <rPr>
        <i/>
        <sz val="13"/>
        <rFont val="Times New Roman Cyr"/>
        <charset val="204"/>
      </rPr>
      <t>(текущий финансовый год)</t>
    </r>
  </si>
  <si>
    <t xml:space="preserve">Прогноз ожидаемого исполнения бюджетов поселений, входящих в состав ____________________ муниципального района </t>
  </si>
  <si>
    <t>- за счет целевых МБТ (субвенций, субсидий (кроме субсидий, являющихся источником оплаты труда), иных МБТ)</t>
  </si>
  <si>
    <t>консолиди-                       рованный бюджет</t>
  </si>
  <si>
    <t>Темп роста (снижения) к началу текущего года (тыс.рублей)</t>
  </si>
  <si>
    <t>Темп роста (снижения) к началу отчетного года (тыс.рублей)</t>
  </si>
  <si>
    <t xml:space="preserve"> IV. ПРОСРОЧЕННАЯ  КРЕДИТОРСКАЯ ЗАДОЛЖЕННОСТЬ  (по КУ), всего, из нее: </t>
  </si>
  <si>
    <t xml:space="preserve">V. ПРОСРОЧЕННАЯ  КРЕДИТОРСКАЯ ЗАДОЛЖЕННОСТЬ  (по АУ+БУ), всего, из нее: </t>
  </si>
  <si>
    <t>Руководитель финансового органа</t>
  </si>
  <si>
    <t>в т.ч. бюджет района (округа)</t>
  </si>
  <si>
    <t>Исполнено</t>
  </si>
  <si>
    <t>Собственные доходы</t>
  </si>
  <si>
    <t>2.1. Нецелевые межбюджетные трансферты</t>
  </si>
  <si>
    <t>2.2. Целевые межбюджетные трансферты</t>
  </si>
  <si>
    <t>2.3. Прочие безвозмездные поступления</t>
  </si>
  <si>
    <t>2.4. Возврат остатков целевых МБТ</t>
  </si>
  <si>
    <t>2.1.1. Дотации на выравнивание</t>
  </si>
  <si>
    <t>2.1.2. Дотации на сбалансированность</t>
  </si>
  <si>
    <t>2.1.3 Субвенция на выравнивание поселений</t>
  </si>
  <si>
    <t>2.1.4. Субсидия на сбалансированность</t>
  </si>
  <si>
    <t>2.1.5. Субсидии на частичную компенсацию расходов, связанных с повышением оплаты труда работников бюджетной сферы</t>
  </si>
  <si>
    <t>2.1.6. ИМБТ на осущ.части полномочий от поселений</t>
  </si>
  <si>
    <t>2. Оплата коммунальных услуг</t>
  </si>
  <si>
    <t xml:space="preserve">3. Дотация бюджетам поселений </t>
  </si>
  <si>
    <t>4. Дорожный фонд</t>
  </si>
  <si>
    <t>- за счет средств местных бюджетов (включая субсидии, являющиеся источником оплаты труда),
в т.ч.:</t>
  </si>
  <si>
    <t>5. Другие расходы (за искл. п.1-4) с учетом расходов АУ и БУ по соответствующим направлениям, в т.ч.:</t>
  </si>
  <si>
    <t>5.1. Социальное обеспечение и иные выплаты</t>
  </si>
  <si>
    <t>5.2. Капитальные вложения в объекты мун.собственности</t>
  </si>
  <si>
    <r>
      <t xml:space="preserve">5.4. Исполнение судебных актов </t>
    </r>
    <r>
      <rPr>
        <sz val="10"/>
        <rFont val="Times New Roman Cyr"/>
        <charset val="204"/>
      </rPr>
      <t>(КВР 830)</t>
    </r>
  </si>
  <si>
    <r>
      <t>5.3. Субсидии юрид.лицам</t>
    </r>
    <r>
      <rPr>
        <sz val="10"/>
        <rFont val="Times New Roman Cyr"/>
        <charset val="204"/>
      </rPr>
      <t xml:space="preserve"> (КВР 810)</t>
    </r>
  </si>
  <si>
    <r>
      <t xml:space="preserve">5.5. Исполнение муниц.гарантий </t>
    </r>
    <r>
      <rPr>
        <sz val="10"/>
        <rFont val="Times New Roman Cyr"/>
        <charset val="204"/>
      </rPr>
      <t>(КВР 840)</t>
    </r>
  </si>
  <si>
    <r>
      <t xml:space="preserve">5.6. Уплата налогов, сборов и иных платежей </t>
    </r>
    <r>
      <rPr>
        <sz val="10"/>
        <rFont val="Times New Roman Cyr"/>
        <charset val="204"/>
      </rPr>
      <t>(КВР 850)</t>
    </r>
  </si>
  <si>
    <r>
      <t xml:space="preserve">5.7. Резервные средства </t>
    </r>
    <r>
      <rPr>
        <sz val="10"/>
        <rFont val="Times New Roman Cyr"/>
        <charset val="204"/>
      </rPr>
      <t>(КВР 870)</t>
    </r>
  </si>
  <si>
    <r>
      <t xml:space="preserve">5.8. Обслуживание муниципального долга </t>
    </r>
    <r>
      <rPr>
        <sz val="10"/>
        <rFont val="Times New Roman Cyr"/>
        <charset val="204"/>
      </rPr>
      <t>(КВР 730)</t>
    </r>
  </si>
  <si>
    <r>
      <t>5.9. Прочие расходы</t>
    </r>
    <r>
      <rPr>
        <sz val="10"/>
        <rFont val="Times New Roman Cyr"/>
        <charset val="204"/>
      </rPr>
      <t xml:space="preserve"> (за искл.стр.5.1-5.8.) - расшифровка прилагается</t>
    </r>
  </si>
  <si>
    <t>осущ. за счет доходов от оказания платных услуг</t>
  </si>
  <si>
    <t>Приложение 3</t>
  </si>
  <si>
    <t>2020 год</t>
  </si>
  <si>
    <t>на 01.01.2021 года</t>
  </si>
  <si>
    <t>2021 год</t>
  </si>
  <si>
    <t>на 01.01.2022 года</t>
  </si>
  <si>
    <t>Пояснения отклонений значений показателей "исполнено на отчетную дату" к аналогичному периоду отчетного года свыше ±10%</t>
  </si>
  <si>
    <t>Пояснения отклонений значений показателей  свыше ±10%</t>
  </si>
  <si>
    <t>Пояснения отклонений значений показателей "оценка ОМСУ" к "утверждено на год" свыше ±10%</t>
  </si>
  <si>
    <t>Пояснения отклонений значений показателей "утверждено на год" к "исполнено за 2020 год" свыше ±10%</t>
  </si>
  <si>
    <t>(периодичность: ежемесячно
до 20 февраля, 20 марта,
20 апреля, 20 мая, 20 июня, 20 июля,
20 августа, 20 сентября, 20 октября,
20 ноября, 20 декабря)</t>
  </si>
  <si>
    <t>- земельный налог, в т.ч.:</t>
  </si>
  <si>
    <t>физических лиц</t>
  </si>
  <si>
    <t>организаций</t>
  </si>
  <si>
    <t>- доходы от использования имущества, в т.ч.:</t>
  </si>
  <si>
    <t>доходы, получаемые в виде арендной платы за земли до разграничения</t>
  </si>
  <si>
    <t>доходы, получаемые в виде арендной платы за земли после разграничения</t>
  </si>
  <si>
    <t xml:space="preserve">в т.ч. по доп. нормативу % - </t>
  </si>
  <si>
    <t>доходы от сдачи в аренду имущества, находящегося в оперативном управлении</t>
  </si>
  <si>
    <t>доходы от сдачи в аренду имущества, составляющего казну</t>
  </si>
  <si>
    <t>прочие доходы от использования имущества</t>
  </si>
  <si>
    <t>- доходы от продажи земельных участков, в т.ч.:</t>
  </si>
  <si>
    <t>земельных участков до разграничения</t>
  </si>
  <si>
    <t>земельных участков после разграничения</t>
  </si>
  <si>
    <t>- доходы от оказания платных услуг (работ) и компенсации затрат государства, в т.ч.:</t>
  </si>
  <si>
    <t>- штрафы, санкции, возмещение ущерба, в т.ч.</t>
  </si>
  <si>
    <t>задолженность по КБК, действующих до 01.01.2020 года</t>
  </si>
  <si>
    <r>
      <t>III. ВЕРХНИЙ ПРЕДЕЛ МУНИЦИПАЛЬНОГО ДОЛГА</t>
    </r>
    <r>
      <rPr>
        <b/>
        <sz val="12"/>
        <rFont val="Times New Roman Cyr"/>
        <charset val="204"/>
      </rPr>
      <t xml:space="preserve"> </t>
    </r>
    <r>
      <rPr>
        <b/>
        <sz val="11"/>
        <rFont val="Times New Roman Cyr"/>
        <charset val="204"/>
      </rPr>
      <t>(решение о бюджете)</t>
    </r>
  </si>
  <si>
    <t xml:space="preserve">Прогноз ожидаемого исполнения консолидированного бюджета Суоярвского муниципального района </t>
  </si>
  <si>
    <t>налоговые и неналоговые</t>
  </si>
  <si>
    <t>0,0</t>
  </si>
  <si>
    <t>доходы от оказания платных услуг (работ)-родительская плата</t>
  </si>
  <si>
    <t>доходы от компенсации затрат государства (возмещ.по ст.213, возмещ.коммун.расходов)</t>
  </si>
  <si>
    <t>____________________ А.Г.Кракулева</t>
  </si>
  <si>
    <r>
      <t xml:space="preserve">1. Налоговые и неналоговые доходы , </t>
    </r>
    <r>
      <rPr>
        <b/>
        <i/>
        <sz val="12"/>
        <rFont val="Times New Roman Greek"/>
        <charset val="204"/>
      </rPr>
      <t>в т.ч.:</t>
    </r>
  </si>
  <si>
    <t>прочие доходы от оказания платных услуг</t>
  </si>
  <si>
    <t>- задолженность и перерасчеты по отмененным налогам, сборам и иным обязательным платежам</t>
  </si>
  <si>
    <t>2022 год</t>
  </si>
  <si>
    <t>- налог, взим. в связи с примен.упрощенной системы налогообложения</t>
  </si>
  <si>
    <t>на 01.01.2023 года</t>
  </si>
  <si>
    <t>доходы от компенсации затрат государства (возмещ.коммун.расходов)</t>
  </si>
  <si>
    <t>в 11 раз</t>
  </si>
  <si>
    <t>на 2023 год</t>
  </si>
  <si>
    <t>на 01.01.2024 года</t>
  </si>
  <si>
    <t>2023 год</t>
  </si>
  <si>
    <t>на 01.04.23 (на отчетную дату)</t>
  </si>
  <si>
    <t>на 01.04.2023 года</t>
  </si>
  <si>
    <t>" 20 " апреля  2023 года</t>
  </si>
  <si>
    <t>на 01.04.22( на отчетную дату аналогично текущему финансовому году)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</si>
</sst>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3">
    <font>
      <sz val="10"/>
      <name val="Times New Roman Cyr"/>
    </font>
    <font>
      <sz val="11"/>
      <color theme="1"/>
      <name val="Calibri"/>
      <family val="2"/>
      <charset val="204"/>
      <scheme val="minor"/>
    </font>
    <font>
      <b/>
      <u/>
      <sz val="13"/>
      <name val="Times New Roman Cyr"/>
      <charset val="204"/>
    </font>
    <font>
      <sz val="11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3"/>
      <name val="Times New Roman Cyr"/>
      <charset val="204"/>
    </font>
    <font>
      <i/>
      <sz val="13"/>
      <name val="Times New Roman Cyr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sz val="13"/>
      <name val="Times New Roman Cyr"/>
      <charset val="204"/>
    </font>
    <font>
      <b/>
      <sz val="11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charset val="204"/>
    </font>
    <font>
      <b/>
      <sz val="13"/>
      <name val="Times New Roman Greek"/>
      <charset val="204"/>
    </font>
    <font>
      <b/>
      <i/>
      <sz val="13"/>
      <name val="Times New Roman Greek"/>
      <charset val="204"/>
    </font>
    <font>
      <b/>
      <i/>
      <sz val="11"/>
      <name val="Times New Roman Cyr"/>
      <family val="1"/>
      <charset val="204"/>
    </font>
    <font>
      <sz val="13"/>
      <name val="Times New Roman Greek"/>
      <charset val="204"/>
    </font>
    <font>
      <sz val="13"/>
      <name val="Times New Roman"/>
      <family val="1"/>
      <charset val="204"/>
    </font>
    <font>
      <sz val="13"/>
      <name val="Times New Roman Cyr"/>
    </font>
    <font>
      <sz val="11"/>
      <name val="Times New Roman Cyr"/>
    </font>
    <font>
      <b/>
      <sz val="11"/>
      <name val="Times New Roman Cyr"/>
    </font>
    <font>
      <b/>
      <i/>
      <sz val="13"/>
      <name val="Times New Roman Cyr"/>
      <charset val="204"/>
    </font>
    <font>
      <b/>
      <i/>
      <sz val="11"/>
      <name val="Times New Roman Cyr"/>
      <charset val="204"/>
    </font>
    <font>
      <sz val="8"/>
      <color theme="1"/>
      <name val="Calibri"/>
      <family val="2"/>
      <charset val="204"/>
      <scheme val="minor"/>
    </font>
    <font>
      <b/>
      <i/>
      <u/>
      <sz val="16"/>
      <name val="Times New Roman Cyr"/>
      <charset val="204"/>
    </font>
    <font>
      <b/>
      <sz val="13"/>
      <name val="Times New Roman Cy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i/>
      <sz val="11"/>
      <name val="Times New Roman Cyr"/>
    </font>
    <font>
      <b/>
      <sz val="14"/>
      <name val="Times New Roman Cyr"/>
      <charset val="204"/>
    </font>
    <font>
      <sz val="9.5"/>
      <name val="Times New Roman Cyr"/>
      <charset val="204"/>
    </font>
    <font>
      <sz val="9"/>
      <name val="Times New Roman Cyr"/>
      <family val="1"/>
      <charset val="204"/>
    </font>
    <font>
      <u/>
      <sz val="13"/>
      <name val="Times New Roman Cyr"/>
      <charset val="204"/>
    </font>
    <font>
      <b/>
      <sz val="10"/>
      <name val="Times New Roman Cyr"/>
      <charset val="204"/>
    </font>
    <font>
      <b/>
      <sz val="13"/>
      <color rgb="FFFF0000"/>
      <name val="Times New Roman Greek"/>
      <charset val="204"/>
    </font>
    <font>
      <b/>
      <sz val="12"/>
      <name val="Times New Roman Cyr"/>
      <charset val="204"/>
    </font>
    <font>
      <i/>
      <sz val="12"/>
      <name val="Times New Roman Cyr"/>
      <charset val="204"/>
    </font>
    <font>
      <i/>
      <sz val="11"/>
      <name val="Times New Roman Cyr"/>
      <charset val="204"/>
    </font>
    <font>
      <sz val="16"/>
      <name val="Times New Roman Cyr"/>
    </font>
    <font>
      <b/>
      <sz val="16"/>
      <name val="Times New Roman Cyr"/>
      <charset val="204"/>
    </font>
    <font>
      <i/>
      <sz val="13"/>
      <name val="Times New Roman Greek"/>
      <charset val="204"/>
    </font>
    <font>
      <b/>
      <i/>
      <sz val="13"/>
      <color rgb="FFFF0000"/>
      <name val="Times New Roman Greek"/>
      <charset val="204"/>
    </font>
    <font>
      <i/>
      <sz val="11"/>
      <name val="Times New Roman Cyr"/>
      <family val="1"/>
      <charset val="204"/>
    </font>
    <font>
      <sz val="12"/>
      <name val="Times New Roman Greek"/>
      <charset val="204"/>
    </font>
    <font>
      <b/>
      <i/>
      <sz val="12"/>
      <name val="Times New Roman Greek"/>
      <charset val="204"/>
    </font>
    <font>
      <sz val="13"/>
      <color theme="1"/>
      <name val="Times New Roman Greek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29" fillId="0" borderId="0"/>
    <xf numFmtId="0" fontId="30" fillId="4" borderId="0" applyNumberFormat="0" applyBorder="0" applyAlignment="0" applyProtection="0"/>
    <xf numFmtId="0" fontId="31" fillId="0" borderId="10" applyNumberFormat="0" applyFill="0" applyAlignment="0" applyProtection="0"/>
    <xf numFmtId="0" fontId="32" fillId="5" borderId="11" applyNumberFormat="0" applyAlignment="0" applyProtection="0"/>
    <xf numFmtId="0" fontId="33" fillId="6" borderId="12" applyNumberFormat="0" applyAlignment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6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29" fillId="9" borderId="14" applyNumberFormat="0" applyFont="0" applyAlignment="0" applyProtection="0"/>
    <xf numFmtId="0" fontId="41" fillId="10" borderId="0" applyNumberFormat="0" applyBorder="0" applyAlignment="0" applyProtection="0"/>
    <xf numFmtId="0" fontId="42" fillId="11" borderId="15" applyNumberFormat="0" applyAlignment="0" applyProtection="0"/>
  </cellStyleXfs>
  <cellXfs count="441">
    <xf numFmtId="0" fontId="0" fillId="0" borderId="0" xfId="0"/>
    <xf numFmtId="3" fontId="3" fillId="0" borderId="0" xfId="0" applyNumberFormat="1" applyFont="1" applyFill="1" applyBorder="1" applyProtection="1">
      <protection locked="0"/>
    </xf>
    <xf numFmtId="3" fontId="3" fillId="2" borderId="0" xfId="0" applyNumberFormat="1" applyFont="1" applyFill="1" applyBorder="1" applyProtection="1">
      <protection locked="0"/>
    </xf>
    <xf numFmtId="3" fontId="3" fillId="2" borderId="0" xfId="0" applyNumberFormat="1" applyFont="1" applyFill="1" applyProtection="1">
      <protection locked="0"/>
    </xf>
    <xf numFmtId="3" fontId="4" fillId="2" borderId="0" xfId="0" applyNumberFormat="1" applyFont="1" applyFill="1" applyAlignment="1" applyProtection="1">
      <alignment horizontal="center" vertical="top" wrapText="1"/>
      <protection locked="0"/>
    </xf>
    <xf numFmtId="3" fontId="4" fillId="2" borderId="0" xfId="0" applyNumberFormat="1" applyFont="1" applyFill="1" applyAlignment="1" applyProtection="1">
      <alignment horizontal="center" wrapText="1"/>
      <protection locked="0"/>
    </xf>
    <xf numFmtId="3" fontId="4" fillId="2" borderId="0" xfId="0" applyNumberFormat="1" applyFont="1" applyFill="1" applyProtection="1">
      <protection locked="0"/>
    </xf>
    <xf numFmtId="3" fontId="4" fillId="2" borderId="0" xfId="0" applyNumberFormat="1" applyFont="1" applyFill="1" applyBorder="1" applyAlignment="1" applyProtection="1">
      <protection locked="0"/>
    </xf>
    <xf numFmtId="3" fontId="3" fillId="0" borderId="0" xfId="0" applyNumberFormat="1" applyFont="1" applyFill="1" applyProtection="1">
      <protection locked="0"/>
    </xf>
    <xf numFmtId="3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hidden="1"/>
    </xf>
    <xf numFmtId="3" fontId="13" fillId="0" borderId="4" xfId="0" applyNumberFormat="1" applyFont="1" applyFill="1" applyBorder="1" applyAlignment="1" applyProtection="1">
      <alignment horizontal="center" vertical="top" wrapText="1"/>
      <protection hidden="1"/>
    </xf>
    <xf numFmtId="3" fontId="14" fillId="2" borderId="0" xfId="0" applyNumberFormat="1" applyFont="1" applyFill="1" applyProtection="1">
      <protection locked="0"/>
    </xf>
    <xf numFmtId="3" fontId="12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3" fontId="14" fillId="0" borderId="0" xfId="0" applyNumberFormat="1" applyFont="1" applyFill="1" applyBorder="1" applyProtection="1">
      <protection locked="0"/>
    </xf>
    <xf numFmtId="3" fontId="14" fillId="2" borderId="0" xfId="0" applyNumberFormat="1" applyFont="1" applyFill="1" applyBorder="1" applyProtection="1"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5" fillId="3" borderId="0" xfId="0" applyNumberFormat="1" applyFont="1" applyFill="1" applyAlignment="1" applyProtection="1">
      <alignment vertical="center"/>
      <protection locked="0"/>
    </xf>
    <xf numFmtId="9" fontId="5" fillId="3" borderId="3" xfId="1" applyFont="1" applyFill="1" applyBorder="1" applyAlignment="1" applyProtection="1">
      <alignment horizontal="center" vertical="center" wrapText="1"/>
      <protection locked="0"/>
    </xf>
    <xf numFmtId="9" fontId="16" fillId="3" borderId="3" xfId="1" applyFont="1" applyFill="1" applyBorder="1" applyAlignment="1" applyProtection="1">
      <alignment horizontal="center" vertical="center" wrapText="1"/>
      <protection locked="0"/>
    </xf>
    <xf numFmtId="3" fontId="9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15" fillId="3" borderId="0" xfId="0" applyNumberFormat="1" applyFont="1" applyFill="1" applyBorder="1" applyAlignment="1" applyProtection="1">
      <alignment vertical="center"/>
      <protection locked="0"/>
    </xf>
    <xf numFmtId="3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9" fillId="2" borderId="3" xfId="1" applyFont="1" applyFill="1" applyBorder="1" applyAlignment="1" applyProtection="1">
      <alignment horizontal="center" vertical="center" wrapText="1"/>
      <protection locked="0"/>
    </xf>
    <xf numFmtId="3" fontId="9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3" xfId="1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2" fillId="2" borderId="0" xfId="0" applyNumberFormat="1" applyFont="1" applyFill="1" applyProtection="1">
      <protection locked="0"/>
    </xf>
    <xf numFmtId="3" fontId="22" fillId="2" borderId="0" xfId="0" applyNumberFormat="1" applyFont="1" applyFill="1" applyBorder="1" applyProtection="1">
      <protection locked="0"/>
    </xf>
    <xf numFmtId="3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3" xfId="0" applyNumberFormat="1" applyFont="1" applyFill="1" applyBorder="1" applyAlignment="1" applyProtection="1">
      <alignment horizontal="center" vertical="center"/>
      <protection locked="0"/>
    </xf>
    <xf numFmtId="3" fontId="21" fillId="2" borderId="3" xfId="0" applyNumberFormat="1" applyFont="1" applyFill="1" applyBorder="1" applyAlignment="1" applyProtection="1">
      <alignment horizontal="center" vertical="center"/>
      <protection locked="0"/>
    </xf>
    <xf numFmtId="164" fontId="21" fillId="2" borderId="3" xfId="0" applyNumberFormat="1" applyFont="1" applyFill="1" applyBorder="1" applyAlignment="1" applyProtection="1">
      <alignment horizontal="center" vertical="center"/>
      <protection locked="0"/>
    </xf>
    <xf numFmtId="3" fontId="9" fillId="2" borderId="3" xfId="0" applyNumberFormat="1" applyFont="1" applyFill="1" applyBorder="1" applyAlignment="1" applyProtection="1">
      <alignment horizontal="center" vertical="center"/>
      <protection locked="0"/>
    </xf>
    <xf numFmtId="3" fontId="21" fillId="2" borderId="4" xfId="0" applyNumberFormat="1" applyFont="1" applyFill="1" applyBorder="1" applyAlignment="1" applyProtection="1">
      <alignment vertical="center"/>
      <protection hidden="1"/>
    </xf>
    <xf numFmtId="3" fontId="28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22" fillId="2" borderId="0" xfId="0" applyNumberFormat="1" applyFont="1" applyFill="1" applyBorder="1" applyAlignment="1" applyProtection="1">
      <alignment vertical="top" wrapText="1"/>
      <protection locked="0"/>
    </xf>
    <xf numFmtId="3" fontId="22" fillId="2" borderId="0" xfId="0" applyNumberFormat="1" applyFont="1" applyFill="1" applyBorder="1" applyAlignment="1" applyProtection="1">
      <alignment horizontal="center" vertical="top"/>
      <protection locked="0"/>
    </xf>
    <xf numFmtId="3" fontId="22" fillId="0" borderId="0" xfId="0" applyNumberFormat="1" applyFont="1" applyFill="1" applyBorder="1" applyProtection="1">
      <protection locked="0"/>
    </xf>
    <xf numFmtId="3" fontId="3" fillId="2" borderId="0" xfId="0" applyNumberFormat="1" applyFont="1" applyFill="1" applyBorder="1" applyAlignment="1" applyProtection="1">
      <alignment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Alignment="1" applyProtection="1">
      <alignment vertical="top" wrapText="1"/>
      <protection locked="0"/>
    </xf>
    <xf numFmtId="3" fontId="3" fillId="2" borderId="0" xfId="0" applyNumberFormat="1" applyFont="1" applyFill="1" applyAlignment="1" applyProtection="1">
      <alignment horizontal="center" vertical="top"/>
      <protection locked="0"/>
    </xf>
    <xf numFmtId="3" fontId="24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3" xfId="1" applyFont="1" applyFill="1" applyBorder="1" applyAlignment="1" applyProtection="1">
      <alignment horizontal="center" vertical="center" wrapText="1"/>
      <protection locked="0"/>
    </xf>
    <xf numFmtId="9" fontId="9" fillId="2" borderId="3" xfId="1" applyFont="1" applyFill="1" applyBorder="1" applyAlignment="1" applyProtection="1">
      <alignment horizontal="center" vertical="center" wrapText="1"/>
      <protection locked="0"/>
    </xf>
    <xf numFmtId="9" fontId="24" fillId="2" borderId="3" xfId="1" applyFont="1" applyFill="1" applyBorder="1" applyAlignment="1" applyProtection="1">
      <alignment horizontal="center" vertical="center" wrapText="1"/>
      <protection locked="0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0" xfId="0" applyNumberFormat="1" applyFont="1" applyFill="1" applyBorder="1" applyAlignment="1" applyProtection="1">
      <alignment vertical="center"/>
      <protection locked="0"/>
    </xf>
    <xf numFmtId="3" fontId="18" fillId="2" borderId="0" xfId="0" applyNumberFormat="1" applyFont="1" applyFill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3" fontId="7" fillId="2" borderId="0" xfId="0" applyNumberFormat="1" applyFont="1" applyFill="1" applyBorder="1" applyAlignment="1" applyProtection="1">
      <alignment vertical="center"/>
      <protection locked="0"/>
    </xf>
    <xf numFmtId="3" fontId="7" fillId="2" borderId="0" xfId="0" applyNumberFormat="1" applyFont="1" applyFill="1" applyAlignment="1" applyProtection="1">
      <alignment vertical="center"/>
      <protection locked="0"/>
    </xf>
    <xf numFmtId="3" fontId="22" fillId="2" borderId="0" xfId="0" applyNumberFormat="1" applyFont="1" applyFill="1" applyBorder="1" applyAlignment="1" applyProtection="1">
      <alignment vertical="center"/>
      <protection locked="0"/>
    </xf>
    <xf numFmtId="3" fontId="22" fillId="2" borderId="0" xfId="0" applyNumberFormat="1" applyFont="1" applyFill="1" applyAlignment="1" applyProtection="1">
      <alignment vertical="center"/>
      <protection locked="0"/>
    </xf>
    <xf numFmtId="3" fontId="25" fillId="2" borderId="0" xfId="0" applyNumberFormat="1" applyFont="1" applyFill="1" applyBorder="1" applyAlignment="1" applyProtection="1">
      <alignment vertical="center"/>
      <protection locked="0"/>
    </xf>
    <xf numFmtId="3" fontId="25" fillId="2" borderId="0" xfId="0" applyNumberFormat="1" applyFont="1" applyFill="1" applyAlignment="1" applyProtection="1">
      <alignment vertical="center"/>
      <protection locked="0"/>
    </xf>
    <xf numFmtId="3" fontId="45" fillId="2" borderId="0" xfId="0" applyNumberFormat="1" applyFont="1" applyFill="1" applyBorder="1" applyAlignment="1" applyProtection="1">
      <alignment vertical="center"/>
      <protection locked="0"/>
    </xf>
    <xf numFmtId="3" fontId="45" fillId="2" borderId="0" xfId="0" applyNumberFormat="1" applyFont="1" applyFill="1" applyAlignment="1" applyProtection="1">
      <alignment vertical="center"/>
      <protection locked="0"/>
    </xf>
    <xf numFmtId="3" fontId="23" fillId="3" borderId="0" xfId="0" applyNumberFormat="1" applyFont="1" applyFill="1" applyBorder="1" applyAlignment="1" applyProtection="1">
      <alignment vertical="center"/>
      <protection locked="0"/>
    </xf>
    <xf numFmtId="3" fontId="23" fillId="3" borderId="0" xfId="0" applyNumberFormat="1" applyFont="1" applyFill="1" applyAlignment="1" applyProtection="1">
      <alignment vertical="center"/>
      <protection locked="0"/>
    </xf>
    <xf numFmtId="9" fontId="5" fillId="2" borderId="4" xfId="1" applyFont="1" applyFill="1" applyBorder="1" applyAlignment="1" applyProtection="1">
      <alignment horizontal="center" vertical="center" wrapText="1"/>
      <protection locked="0"/>
    </xf>
    <xf numFmtId="3" fontId="23" fillId="2" borderId="0" xfId="0" applyNumberFormat="1" applyFont="1" applyFill="1" applyBorder="1" applyAlignment="1" applyProtection="1">
      <alignment vertical="center"/>
      <protection locked="0"/>
    </xf>
    <xf numFmtId="3" fontId="23" fillId="2" borderId="0" xfId="0" applyNumberFormat="1" applyFont="1" applyFill="1" applyAlignment="1" applyProtection="1">
      <alignment vertical="center"/>
      <protection locked="0"/>
    </xf>
    <xf numFmtId="3" fontId="23" fillId="3" borderId="0" xfId="0" applyNumberFormat="1" applyFont="1" applyFill="1" applyBorder="1" applyAlignment="1" applyProtection="1">
      <alignment horizontal="center" vertical="center"/>
      <protection locked="0"/>
    </xf>
    <xf numFmtId="3" fontId="23" fillId="3" borderId="0" xfId="0" applyNumberFormat="1" applyFont="1" applyFill="1" applyAlignment="1" applyProtection="1">
      <alignment horizontal="center" vertical="center"/>
      <protection locked="0"/>
    </xf>
    <xf numFmtId="3" fontId="15" fillId="2" borderId="0" xfId="0" applyNumberFormat="1" applyFont="1" applyFill="1" applyBorder="1" applyAlignment="1" applyProtection="1">
      <alignment vertical="center"/>
      <protection locked="0"/>
    </xf>
    <xf numFmtId="3" fontId="15" fillId="2" borderId="0" xfId="0" applyNumberFormat="1" applyFont="1" applyFill="1" applyAlignment="1" applyProtection="1">
      <alignment vertical="center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2" fillId="3" borderId="0" xfId="0" applyNumberFormat="1" applyFont="1" applyFill="1" applyAlignment="1" applyProtection="1">
      <alignment vertical="center"/>
      <protection locked="0"/>
    </xf>
    <xf numFmtId="3" fontId="22" fillId="3" borderId="0" xfId="0" applyNumberFormat="1" applyFont="1" applyFill="1" applyBorder="1" applyAlignment="1" applyProtection="1">
      <alignment vertical="center"/>
      <protection locked="0"/>
    </xf>
    <xf numFmtId="3" fontId="5" fillId="3" borderId="4" xfId="0" applyNumberFormat="1" applyFont="1" applyFill="1" applyBorder="1" applyAlignment="1" applyProtection="1">
      <alignment vertical="center"/>
      <protection hidden="1"/>
    </xf>
    <xf numFmtId="3" fontId="15" fillId="3" borderId="0" xfId="0" applyNumberFormat="1" applyFont="1" applyFill="1" applyAlignment="1" applyProtection="1">
      <alignment horizontal="center" vertical="center" wrapText="1"/>
      <protection locked="0"/>
    </xf>
    <xf numFmtId="3" fontId="15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23" fillId="3" borderId="0" xfId="0" applyNumberFormat="1" applyFont="1" applyFill="1" applyAlignment="1" applyProtection="1">
      <alignment horizontal="center" vertical="center" wrapText="1"/>
      <protection locked="0"/>
    </xf>
    <xf numFmtId="3" fontId="23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0" xfId="0" applyNumberFormat="1" applyFont="1" applyFill="1" applyBorder="1" applyAlignment="1" applyProtection="1">
      <alignment vertical="center" wrapText="1"/>
      <protection locked="0"/>
    </xf>
    <xf numFmtId="3" fontId="22" fillId="2" borderId="0" xfId="0" applyNumberFormat="1" applyFont="1" applyFill="1" applyBorder="1" applyAlignment="1" applyProtection="1">
      <alignment horizontal="center" vertical="center"/>
      <protection locked="0"/>
    </xf>
    <xf numFmtId="3" fontId="22" fillId="0" borderId="0" xfId="0" applyNumberFormat="1" applyFont="1" applyFill="1" applyBorder="1" applyAlignment="1" applyProtection="1">
      <alignment vertical="center"/>
      <protection locked="0"/>
    </xf>
    <xf numFmtId="3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3" xfId="0" applyNumberFormat="1" applyFont="1" applyFill="1" applyBorder="1" applyAlignment="1" applyProtection="1">
      <alignment vertical="center"/>
      <protection locked="0"/>
    </xf>
    <xf numFmtId="3" fontId="22" fillId="3" borderId="3" xfId="0" applyNumberFormat="1" applyFont="1" applyFill="1" applyBorder="1" applyAlignment="1" applyProtection="1">
      <alignment vertical="center"/>
      <protection locked="0"/>
    </xf>
    <xf numFmtId="3" fontId="12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vertical="center" wrapText="1"/>
      <protection locked="0"/>
    </xf>
    <xf numFmtId="3" fontId="21" fillId="2" borderId="1" xfId="0" applyNumberFormat="1" applyFont="1" applyFill="1" applyBorder="1" applyAlignment="1" applyProtection="1">
      <alignment vertical="center"/>
      <protection locked="0"/>
    </xf>
    <xf numFmtId="3" fontId="5" fillId="3" borderId="1" xfId="0" applyNumberFormat="1" applyFont="1" applyFill="1" applyBorder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top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0" xfId="0" applyNumberFormat="1" applyFont="1" applyFill="1" applyBorder="1" applyAlignment="1" applyProtection="1">
      <alignment vertical="center"/>
      <protection locked="0"/>
    </xf>
    <xf numFmtId="3" fontId="9" fillId="2" borderId="0" xfId="0" applyNumberFormat="1" applyFont="1" applyFill="1" applyAlignment="1" applyProtection="1">
      <alignment vertical="center"/>
      <protection locked="0"/>
    </xf>
    <xf numFmtId="3" fontId="21" fillId="2" borderId="0" xfId="0" applyNumberFormat="1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3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9" fontId="16" fillId="3" borderId="5" xfId="1" applyFont="1" applyFill="1" applyBorder="1" applyAlignment="1" applyProtection="1">
      <alignment horizontal="center" vertical="center" wrapText="1"/>
      <protection locked="0"/>
    </xf>
    <xf numFmtId="9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9" fillId="2" borderId="2" xfId="0" applyNumberFormat="1" applyFont="1" applyFill="1" applyBorder="1" applyAlignment="1" applyProtection="1">
      <alignment horizontal="left" vertical="center" wrapText="1"/>
      <protection locked="0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7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Fill="1" applyBorder="1" applyAlignment="1" applyProtection="1">
      <alignment horizontal="center"/>
      <protection locked="0"/>
    </xf>
    <xf numFmtId="3" fontId="10" fillId="2" borderId="0" xfId="0" applyNumberFormat="1" applyFont="1" applyFill="1" applyBorder="1" applyAlignment="1" applyProtection="1">
      <alignment horizontal="center"/>
      <protection locked="0"/>
    </xf>
    <xf numFmtId="3" fontId="10" fillId="2" borderId="0" xfId="0" applyNumberFormat="1" applyFont="1" applyFill="1" applyAlignment="1" applyProtection="1">
      <alignment horizontal="center"/>
      <protection locked="0"/>
    </xf>
    <xf numFmtId="3" fontId="5" fillId="2" borderId="4" xfId="0" applyNumberFormat="1" applyFont="1" applyFill="1" applyBorder="1" applyAlignment="1" applyProtection="1">
      <alignment vertical="center"/>
      <protection hidden="1"/>
    </xf>
    <xf numFmtId="3" fontId="46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46" fillId="2" borderId="4" xfId="0" applyNumberFormat="1" applyFont="1" applyFill="1" applyBorder="1" applyAlignment="1" applyProtection="1">
      <alignment vertical="center"/>
      <protection hidden="1"/>
    </xf>
    <xf numFmtId="3" fontId="46" fillId="2" borderId="0" xfId="0" applyNumberFormat="1" applyFont="1" applyFill="1" applyBorder="1" applyAlignment="1" applyProtection="1">
      <alignment vertical="center"/>
      <protection locked="0"/>
    </xf>
    <xf numFmtId="3" fontId="46" fillId="2" borderId="0" xfId="0" applyNumberFormat="1" applyFont="1" applyFill="1" applyAlignment="1" applyProtection="1">
      <alignment vertical="center"/>
      <protection locked="0"/>
    </xf>
    <xf numFmtId="3" fontId="11" fillId="2" borderId="3" xfId="0" applyNumberFormat="1" applyFont="1" applyFill="1" applyBorder="1" applyAlignment="1" applyProtection="1">
      <alignment horizontal="center" vertical="center" wrapText="1"/>
    </xf>
    <xf numFmtId="3" fontId="48" fillId="2" borderId="1" xfId="0" applyNumberFormat="1" applyFont="1" applyFill="1" applyBorder="1" applyAlignment="1" applyProtection="1">
      <alignment horizontal="center" vertical="center" wrapText="1"/>
    </xf>
    <xf numFmtId="3" fontId="12" fillId="2" borderId="3" xfId="0" applyNumberFormat="1" applyFont="1" applyFill="1" applyBorder="1" applyAlignment="1" applyProtection="1">
      <alignment horizontal="center" vertical="center" textRotation="90" wrapText="1"/>
    </xf>
    <xf numFmtId="3" fontId="12" fillId="0" borderId="3" xfId="0" applyNumberFormat="1" applyFont="1" applyFill="1" applyBorder="1" applyAlignment="1" applyProtection="1">
      <alignment horizontal="center" vertical="center" textRotation="90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9" fontId="5" fillId="3" borderId="3" xfId="1" applyFont="1" applyFill="1" applyBorder="1" applyAlignment="1" applyProtection="1">
      <alignment horizontal="center" vertical="center" wrapText="1"/>
    </xf>
    <xf numFmtId="3" fontId="17" fillId="2" borderId="3" xfId="0" applyNumberFormat="1" applyFont="1" applyFill="1" applyBorder="1" applyAlignment="1" applyProtection="1">
      <alignment horizontal="center" vertical="center" wrapText="1"/>
    </xf>
    <xf numFmtId="9" fontId="5" fillId="2" borderId="3" xfId="1" applyFont="1" applyFill="1" applyBorder="1" applyAlignment="1" applyProtection="1">
      <alignment horizontal="center" vertical="center" wrapText="1"/>
    </xf>
    <xf numFmtId="3" fontId="19" fillId="2" borderId="3" xfId="0" applyNumberFormat="1" applyFont="1" applyFill="1" applyBorder="1" applyAlignment="1" applyProtection="1">
      <alignment horizontal="center" vertical="center" wrapText="1"/>
    </xf>
    <xf numFmtId="9" fontId="9" fillId="2" borderId="3" xfId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right" vertical="center" wrapText="1"/>
    </xf>
    <xf numFmtId="3" fontId="9" fillId="2" borderId="3" xfId="0" applyNumberFormat="1" applyFont="1" applyFill="1" applyBorder="1" applyAlignment="1" applyProtection="1">
      <alignment horizontal="center" vertical="center" wrapText="1"/>
    </xf>
    <xf numFmtId="3" fontId="21" fillId="2" borderId="3" xfId="0" applyNumberFormat="1" applyFont="1" applyFill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center" vertical="center" wrapText="1"/>
    </xf>
    <xf numFmtId="3" fontId="24" fillId="2" borderId="3" xfId="0" applyNumberFormat="1" applyFont="1" applyFill="1" applyBorder="1" applyAlignment="1" applyProtection="1">
      <alignment horizontal="center" vertical="center" wrapText="1"/>
    </xf>
    <xf numFmtId="3" fontId="24" fillId="2" borderId="1" xfId="0" applyNumberFormat="1" applyFont="1" applyFill="1" applyBorder="1" applyAlignment="1" applyProtection="1">
      <alignment horizontal="center" vertical="center" wrapText="1"/>
    </xf>
    <xf numFmtId="9" fontId="24" fillId="2" borderId="3" xfId="1" applyFont="1" applyFill="1" applyBorder="1" applyAlignment="1" applyProtection="1">
      <alignment horizontal="center" vertical="center" wrapText="1"/>
    </xf>
    <xf numFmtId="9" fontId="16" fillId="3" borderId="3" xfId="1" applyFont="1" applyFill="1" applyBorder="1" applyAlignment="1" applyProtection="1">
      <alignment horizontal="center" vertical="center" wrapText="1"/>
    </xf>
    <xf numFmtId="9" fontId="16" fillId="2" borderId="3" xfId="1" applyFont="1" applyFill="1" applyBorder="1" applyAlignment="1" applyProtection="1">
      <alignment horizontal="center" vertical="center" wrapText="1"/>
    </xf>
    <xf numFmtId="9" fontId="20" fillId="0" borderId="3" xfId="0" applyNumberFormat="1" applyFont="1" applyFill="1" applyBorder="1" applyAlignment="1" applyProtection="1">
      <alignment horizontal="center" vertical="center" wrapText="1"/>
    </xf>
    <xf numFmtId="3" fontId="5" fillId="3" borderId="5" xfId="0" applyNumberFormat="1" applyFont="1" applyFill="1" applyBorder="1" applyAlignment="1" applyProtection="1">
      <alignment horizontal="center" vertical="center" wrapText="1"/>
    </xf>
    <xf numFmtId="9" fontId="16" fillId="3" borderId="5" xfId="1" applyFont="1" applyFill="1" applyBorder="1" applyAlignment="1" applyProtection="1">
      <alignment horizontal="center" vertical="center" wrapText="1"/>
    </xf>
    <xf numFmtId="3" fontId="5" fillId="2" borderId="3" xfId="0" applyNumberFormat="1" applyFont="1" applyFill="1" applyBorder="1" applyAlignment="1" applyProtection="1">
      <alignment horizontal="center" vertical="center" wrapText="1"/>
    </xf>
    <xf numFmtId="3" fontId="15" fillId="2" borderId="0" xfId="0" applyNumberFormat="1" applyFont="1" applyFill="1" applyBorder="1" applyAlignment="1" applyProtection="1">
      <alignment vertical="center"/>
    </xf>
    <xf numFmtId="3" fontId="15" fillId="2" borderId="0" xfId="0" applyNumberFormat="1" applyFont="1" applyFill="1" applyAlignment="1" applyProtection="1">
      <alignment vertical="center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22" fillId="2" borderId="3" xfId="0" applyNumberFormat="1" applyFont="1" applyFill="1" applyBorder="1" applyAlignment="1" applyProtection="1">
      <alignment vertical="center"/>
    </xf>
    <xf numFmtId="3" fontId="8" fillId="3" borderId="5" xfId="0" applyNumberFormat="1" applyFont="1" applyFill="1" applyBorder="1" applyAlignment="1" applyProtection="1">
      <alignment horizontal="center" vertical="center" wrapText="1"/>
    </xf>
    <xf numFmtId="3" fontId="22" fillId="3" borderId="0" xfId="0" applyNumberFormat="1" applyFont="1" applyFill="1" applyAlignment="1" applyProtection="1">
      <alignment vertical="center"/>
    </xf>
    <xf numFmtId="3" fontId="22" fillId="3" borderId="3" xfId="0" applyNumberFormat="1" applyFont="1" applyFill="1" applyBorder="1" applyAlignment="1" applyProtection="1">
      <alignment vertical="center"/>
    </xf>
    <xf numFmtId="3" fontId="8" fillId="3" borderId="3" xfId="0" applyNumberFormat="1" applyFont="1" applyFill="1" applyBorder="1" applyAlignment="1" applyProtection="1">
      <alignment horizontal="center" vertical="center" wrapText="1"/>
    </xf>
    <xf numFmtId="3" fontId="46" fillId="2" borderId="1" xfId="0" applyNumberFormat="1" applyFont="1" applyFill="1" applyBorder="1" applyAlignment="1" applyProtection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 wrapText="1"/>
    </xf>
    <xf numFmtId="3" fontId="46" fillId="2" borderId="0" xfId="0" applyNumberFormat="1" applyFont="1" applyFill="1" applyBorder="1" applyAlignment="1" applyProtection="1">
      <alignment vertical="center"/>
    </xf>
    <xf numFmtId="3" fontId="46" fillId="2" borderId="0" xfId="0" applyNumberFormat="1" applyFont="1" applyFill="1" applyAlignment="1" applyProtection="1">
      <alignment vertical="center"/>
    </xf>
    <xf numFmtId="3" fontId="21" fillId="2" borderId="3" xfId="0" applyNumberFormat="1" applyFont="1" applyFill="1" applyBorder="1" applyAlignment="1" applyProtection="1">
      <alignment horizontal="center" vertical="center"/>
    </xf>
    <xf numFmtId="9" fontId="19" fillId="2" borderId="3" xfId="1" applyFont="1" applyFill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13" fillId="0" borderId="4" xfId="0" applyNumberFormat="1" applyFont="1" applyFill="1" applyBorder="1" applyAlignment="1" applyProtection="1">
      <alignment horizontal="center" vertical="top" wrapText="1"/>
      <protection locked="0" hidden="1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9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3" borderId="4" xfId="0" applyNumberFormat="1" applyFont="1" applyFill="1" applyBorder="1" applyAlignment="1" applyProtection="1">
      <alignment vertical="center"/>
      <protection locked="0" hidden="1"/>
    </xf>
    <xf numFmtId="3" fontId="21" fillId="2" borderId="4" xfId="0" applyNumberFormat="1" applyFont="1" applyFill="1" applyBorder="1" applyAlignment="1" applyProtection="1">
      <alignment vertical="center"/>
      <protection locked="0" hidden="1"/>
    </xf>
    <xf numFmtId="3" fontId="28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9" fillId="2" borderId="1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3" fontId="50" fillId="2" borderId="1" xfId="0" applyNumberFormat="1" applyFont="1" applyFill="1" applyBorder="1" applyAlignment="1" applyProtection="1">
      <alignment horizontal="center" vertical="center" wrapText="1"/>
    </xf>
    <xf numFmtId="3" fontId="9" fillId="2" borderId="4" xfId="0" applyNumberFormat="1" applyFont="1" applyFill="1" applyBorder="1" applyAlignment="1" applyProtection="1">
      <alignment vertical="center"/>
      <protection locked="0" hidden="1"/>
    </xf>
    <xf numFmtId="3" fontId="50" fillId="2" borderId="3" xfId="0" applyNumberFormat="1" applyFont="1" applyFill="1" applyBorder="1" applyAlignment="1" applyProtection="1">
      <alignment horizontal="center" vertical="center" wrapText="1"/>
    </xf>
    <xf numFmtId="3" fontId="46" fillId="2" borderId="3" xfId="0" applyNumberFormat="1" applyFont="1" applyFill="1" applyBorder="1" applyAlignment="1" applyProtection="1">
      <alignment horizontal="center" vertical="center" wrapText="1"/>
    </xf>
    <xf numFmtId="3" fontId="48" fillId="2" borderId="3" xfId="0" applyNumberFormat="1" applyFont="1" applyFill="1" applyBorder="1" applyAlignment="1" applyProtection="1">
      <alignment horizontal="center" vertical="center" wrapText="1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3" fontId="28" fillId="2" borderId="3" xfId="0" applyNumberFormat="1" applyFont="1" applyFill="1" applyBorder="1" applyAlignment="1" applyProtection="1">
      <alignment horizontal="center" vertical="center"/>
    </xf>
    <xf numFmtId="3" fontId="28" fillId="2" borderId="3" xfId="0" applyNumberFormat="1" applyFont="1" applyFill="1" applyBorder="1" applyAlignment="1" applyProtection="1">
      <alignment horizontal="center" vertical="center"/>
      <protection locked="0"/>
    </xf>
    <xf numFmtId="164" fontId="28" fillId="2" borderId="3" xfId="0" applyNumberFormat="1" applyFont="1" applyFill="1" applyBorder="1" applyAlignment="1" applyProtection="1">
      <alignment horizontal="center" vertical="center"/>
      <protection locked="0"/>
    </xf>
    <xf numFmtId="3" fontId="5" fillId="2" borderId="3" xfId="0" applyNumberFormat="1" applyFont="1" applyFill="1" applyBorder="1" applyAlignment="1" applyProtection="1">
      <alignment horizontal="center" vertical="center"/>
      <protection locked="0"/>
    </xf>
    <xf numFmtId="3" fontId="28" fillId="2" borderId="4" xfId="0" applyNumberFormat="1" applyFont="1" applyFill="1" applyBorder="1" applyAlignment="1" applyProtection="1">
      <alignment vertical="center"/>
      <protection locked="0" hidden="1"/>
    </xf>
    <xf numFmtId="49" fontId="19" fillId="2" borderId="3" xfId="0" applyNumberFormat="1" applyFont="1" applyFill="1" applyBorder="1" applyAlignment="1" applyProtection="1">
      <alignment horizontal="right" vertical="center" wrapText="1"/>
    </xf>
    <xf numFmtId="49" fontId="5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3" xfId="0" applyNumberFormat="1" applyFont="1" applyFill="1" applyBorder="1" applyAlignment="1" applyProtection="1">
      <alignment horizontal="left" vertical="center" wrapText="1"/>
      <protection locked="0"/>
    </xf>
    <xf numFmtId="3" fontId="9" fillId="2" borderId="3" xfId="0" applyNumberFormat="1" applyFont="1" applyFill="1" applyBorder="1" applyAlignment="1" applyProtection="1">
      <alignment horizontal="left" vertical="center" wrapText="1"/>
    </xf>
    <xf numFmtId="3" fontId="15" fillId="2" borderId="3" xfId="0" applyNumberFormat="1" applyFont="1" applyFill="1" applyBorder="1" applyAlignment="1" applyProtection="1">
      <alignment horizontal="center" vertical="center" wrapText="1"/>
    </xf>
    <xf numFmtId="3" fontId="5" fillId="2" borderId="0" xfId="0" applyNumberFormat="1" applyFont="1" applyFill="1" applyBorder="1" applyAlignment="1" applyProtection="1">
      <alignment horizontal="left" vertical="center" wrapText="1"/>
      <protection locked="0"/>
    </xf>
    <xf numFmtId="3" fontId="22" fillId="2" borderId="0" xfId="0" applyNumberFormat="1" applyFont="1" applyFill="1" applyBorder="1" applyAlignment="1" applyProtection="1">
      <alignment horizontal="left" vertical="center" wrapText="1"/>
      <protection locked="0"/>
    </xf>
    <xf numFmtId="3" fontId="15" fillId="3" borderId="0" xfId="0" applyNumberFormat="1" applyFont="1" applyFill="1" applyBorder="1" applyAlignment="1" applyProtection="1">
      <alignment vertical="center"/>
    </xf>
    <xf numFmtId="3" fontId="15" fillId="3" borderId="0" xfId="0" applyNumberFormat="1" applyFont="1" applyFill="1" applyAlignment="1" applyProtection="1">
      <alignment vertical="center"/>
    </xf>
    <xf numFmtId="49" fontId="51" fillId="12" borderId="2" xfId="0" applyNumberFormat="1" applyFont="1" applyFill="1" applyBorder="1" applyAlignment="1" applyProtection="1">
      <alignment horizontal="center" vertical="center" wrapText="1"/>
      <protection locked="0"/>
    </xf>
    <xf numFmtId="9" fontId="5" fillId="3" borderId="20" xfId="1" applyFont="1" applyFill="1" applyBorder="1" applyAlignment="1" applyProtection="1">
      <alignment horizontal="center" vertical="center" wrapText="1"/>
    </xf>
    <xf numFmtId="9" fontId="9" fillId="2" borderId="20" xfId="1" applyFont="1" applyFill="1" applyBorder="1" applyAlignment="1" applyProtection="1">
      <alignment horizontal="center" vertical="center" wrapText="1"/>
    </xf>
    <xf numFmtId="9" fontId="16" fillId="3" borderId="20" xfId="1" applyFont="1" applyFill="1" applyBorder="1" applyAlignment="1" applyProtection="1">
      <alignment horizontal="center" vertical="center" wrapText="1"/>
    </xf>
    <xf numFmtId="9" fontId="16" fillId="2" borderId="20" xfId="1" applyFont="1" applyFill="1" applyBorder="1" applyAlignment="1" applyProtection="1">
      <alignment horizontal="center" vertical="center" wrapText="1"/>
    </xf>
    <xf numFmtId="3" fontId="5" fillId="3" borderId="20" xfId="0" applyNumberFormat="1" applyFont="1" applyFill="1" applyBorder="1" applyAlignment="1" applyProtection="1">
      <alignment horizontal="center" vertical="center" wrapText="1"/>
    </xf>
    <xf numFmtId="3" fontId="8" fillId="2" borderId="20" xfId="0" applyNumberFormat="1" applyFont="1" applyFill="1" applyBorder="1" applyAlignment="1" applyProtection="1">
      <alignment horizontal="center" vertical="center" wrapText="1"/>
    </xf>
    <xf numFmtId="3" fontId="8" fillId="3" borderId="20" xfId="0" applyNumberFormat="1" applyFont="1" applyFill="1" applyBorder="1" applyAlignment="1" applyProtection="1">
      <alignment horizontal="center" vertical="center" wrapText="1"/>
    </xf>
    <xf numFmtId="9" fontId="19" fillId="2" borderId="20" xfId="1" applyFont="1" applyFill="1" applyBorder="1" applyAlignment="1" applyProtection="1">
      <alignment horizontal="center" vertical="center" wrapText="1"/>
    </xf>
    <xf numFmtId="1" fontId="5" fillId="2" borderId="3" xfId="1" applyNumberFormat="1" applyFont="1" applyFill="1" applyBorder="1" applyAlignment="1" applyProtection="1">
      <alignment horizontal="center" vertical="center" wrapText="1"/>
    </xf>
    <xf numFmtId="1" fontId="5" fillId="2" borderId="20" xfId="1" applyNumberFormat="1" applyFont="1" applyFill="1" applyBorder="1" applyAlignment="1" applyProtection="1">
      <alignment horizontal="center" vertical="center" wrapText="1"/>
    </xf>
    <xf numFmtId="3" fontId="55" fillId="2" borderId="0" xfId="0" applyNumberFormat="1" applyFont="1" applyFill="1" applyBorder="1" applyAlignment="1" applyProtection="1">
      <alignment vertical="center" wrapText="1"/>
      <protection locked="0"/>
    </xf>
    <xf numFmtId="3" fontId="56" fillId="2" borderId="0" xfId="0" applyNumberFormat="1" applyFont="1" applyFill="1" applyBorder="1" applyAlignment="1" applyProtection="1">
      <alignment vertical="center" wrapText="1"/>
      <protection locked="0"/>
    </xf>
    <xf numFmtId="3" fontId="55" fillId="2" borderId="0" xfId="0" applyNumberFormat="1" applyFont="1" applyFill="1" applyBorder="1" applyAlignment="1" applyProtection="1">
      <alignment horizontal="center" vertical="center"/>
      <protection locked="0"/>
    </xf>
    <xf numFmtId="3" fontId="55" fillId="2" borderId="0" xfId="0" applyNumberFormat="1" applyFont="1" applyFill="1" applyBorder="1" applyAlignment="1" applyProtection="1">
      <alignment horizontal="left" vertical="center"/>
      <protection locked="0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46" fillId="2" borderId="0" xfId="0" applyNumberFormat="1" applyFont="1" applyFill="1" applyAlignment="1" applyProtection="1">
      <alignment vertical="top" wrapText="1"/>
      <protection locked="0"/>
    </xf>
    <xf numFmtId="49" fontId="57" fillId="2" borderId="21" xfId="0" applyNumberFormat="1" applyFont="1" applyFill="1" applyBorder="1" applyAlignment="1" applyProtection="1">
      <alignment horizontal="left" vertical="center" wrapText="1"/>
    </xf>
    <xf numFmtId="49" fontId="5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3" xfId="0" applyNumberFormat="1" applyFont="1" applyFill="1" applyBorder="1" applyAlignment="1" applyProtection="1">
      <alignment horizontal="center" vertical="center" wrapText="1"/>
    </xf>
    <xf numFmtId="9" fontId="6" fillId="2" borderId="3" xfId="1" applyFont="1" applyFill="1" applyBorder="1" applyAlignment="1" applyProtection="1">
      <alignment horizontal="center" vertical="center" wrapText="1"/>
    </xf>
    <xf numFmtId="3" fontId="59" fillId="2" borderId="0" xfId="0" applyNumberFormat="1" applyFont="1" applyFill="1" applyBorder="1" applyAlignment="1" applyProtection="1">
      <alignment vertical="center"/>
      <protection locked="0"/>
    </xf>
    <xf numFmtId="49" fontId="59" fillId="2" borderId="0" xfId="0" applyNumberFormat="1" applyFont="1" applyFill="1" applyBorder="1" applyAlignment="1" applyProtection="1">
      <alignment vertical="center"/>
      <protection locked="0"/>
    </xf>
    <xf numFmtId="49" fontId="59" fillId="2" borderId="0" xfId="0" applyNumberFormat="1" applyFont="1" applyFill="1" applyAlignment="1" applyProtection="1">
      <alignment vertical="center"/>
      <protection locked="0"/>
    </xf>
    <xf numFmtId="49" fontId="57" fillId="2" borderId="2" xfId="0" applyNumberFormat="1" applyFont="1" applyFill="1" applyBorder="1" applyAlignment="1" applyProtection="1">
      <alignment horizontal="left" vertical="center" wrapText="1"/>
    </xf>
    <xf numFmtId="3" fontId="5" fillId="3" borderId="2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3" fontId="5" fillId="3" borderId="21" xfId="0" applyNumberFormat="1" applyFont="1" applyFill="1" applyBorder="1" applyAlignment="1" applyProtection="1">
      <alignment horizontal="left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</xf>
    <xf numFmtId="49" fontId="9" fillId="2" borderId="21" xfId="0" applyNumberFormat="1" applyFont="1" applyFill="1" applyBorder="1" applyAlignment="1" applyProtection="1">
      <alignment horizontal="left" vertical="center" wrapText="1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50" fillId="3" borderId="3" xfId="0" applyNumberFormat="1" applyFont="1" applyFill="1" applyBorder="1" applyAlignment="1" applyProtection="1">
      <alignment horizontal="center" vertical="center" wrapText="1"/>
    </xf>
    <xf numFmtId="3" fontId="60" fillId="2" borderId="3" xfId="0" applyNumberFormat="1" applyFont="1" applyFill="1" applyBorder="1" applyAlignment="1" applyProtection="1">
      <alignment horizontal="center" vertical="center" wrapText="1"/>
    </xf>
    <xf numFmtId="9" fontId="9" fillId="3" borderId="3" xfId="1" applyFont="1" applyFill="1" applyBorder="1" applyAlignment="1" applyProtection="1">
      <alignment horizontal="center" vertical="center" wrapText="1"/>
    </xf>
    <xf numFmtId="9" fontId="20" fillId="2" borderId="3" xfId="0" applyNumberFormat="1" applyFont="1" applyFill="1" applyBorder="1" applyAlignment="1" applyProtection="1">
      <alignment horizontal="center" vertical="center" wrapText="1"/>
    </xf>
    <xf numFmtId="9" fontId="16" fillId="2" borderId="2" xfId="1" applyFont="1" applyFill="1" applyBorder="1" applyAlignment="1" applyProtection="1">
      <alignment horizontal="center" vertical="center" wrapText="1"/>
    </xf>
    <xf numFmtId="9" fontId="16" fillId="3" borderId="2" xfId="1" applyFont="1" applyFill="1" applyBorder="1" applyAlignment="1" applyProtection="1">
      <alignment horizontal="center" vertical="center" wrapText="1"/>
    </xf>
    <xf numFmtId="3" fontId="17" fillId="3" borderId="3" xfId="0" applyNumberFormat="1" applyFont="1" applyFill="1" applyBorder="1" applyAlignment="1" applyProtection="1">
      <alignment horizontal="center" vertical="center" wrapText="1"/>
    </xf>
    <xf numFmtId="3" fontId="19" fillId="3" borderId="3" xfId="0" applyNumberFormat="1" applyFont="1" applyFill="1" applyBorder="1" applyAlignment="1" applyProtection="1">
      <alignment horizontal="center" vertical="center" wrapText="1"/>
    </xf>
    <xf numFmtId="3" fontId="60" fillId="3" borderId="3" xfId="0" applyNumberFormat="1" applyFont="1" applyFill="1" applyBorder="1" applyAlignment="1" applyProtection="1">
      <alignment horizontal="center" vertical="center" wrapText="1"/>
    </xf>
    <xf numFmtId="9" fontId="5" fillId="3" borderId="2" xfId="1" applyFont="1" applyFill="1" applyBorder="1" applyAlignment="1" applyProtection="1">
      <alignment horizontal="center" vertical="center" wrapText="1"/>
    </xf>
    <xf numFmtId="9" fontId="19" fillId="2" borderId="2" xfId="1" applyFont="1" applyFill="1" applyBorder="1" applyAlignment="1" applyProtection="1">
      <alignment horizontal="center" vertical="center" wrapText="1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12" fillId="2" borderId="20" xfId="0" applyNumberFormat="1" applyFont="1" applyFill="1" applyBorder="1" applyAlignment="1" applyProtection="1">
      <alignment horizontal="center" vertical="center" textRotation="90" wrapText="1"/>
      <protection locked="0"/>
    </xf>
    <xf numFmtId="9" fontId="6" fillId="2" borderId="20" xfId="1" applyFont="1" applyFill="1" applyBorder="1" applyAlignment="1" applyProtection="1">
      <alignment horizontal="center" vertical="center" wrapText="1"/>
    </xf>
    <xf numFmtId="3" fontId="60" fillId="2" borderId="20" xfId="0" applyNumberFormat="1" applyFont="1" applyFill="1" applyBorder="1" applyAlignment="1" applyProtection="1">
      <alignment horizontal="center" vertical="center" wrapText="1"/>
    </xf>
    <xf numFmtId="3" fontId="60" fillId="3" borderId="20" xfId="0" applyNumberFormat="1" applyFont="1" applyFill="1" applyBorder="1" applyAlignment="1" applyProtection="1">
      <alignment horizontal="center" vertical="center" wrapText="1"/>
    </xf>
    <xf numFmtId="9" fontId="9" fillId="3" borderId="20" xfId="1" applyFont="1" applyFill="1" applyBorder="1" applyAlignment="1" applyProtection="1">
      <alignment horizontal="center" vertical="center" wrapText="1"/>
    </xf>
    <xf numFmtId="9" fontId="5" fillId="2" borderId="20" xfId="1" applyFont="1" applyFill="1" applyBorder="1" applyAlignment="1" applyProtection="1">
      <alignment horizontal="center" vertical="center" wrapText="1"/>
    </xf>
    <xf numFmtId="3" fontId="5" fillId="3" borderId="28" xfId="0" applyNumberFormat="1" applyFont="1" applyFill="1" applyBorder="1" applyAlignment="1" applyProtection="1">
      <alignment horizontal="center" vertical="center" wrapText="1"/>
    </xf>
    <xf numFmtId="9" fontId="16" fillId="3" borderId="28" xfId="1" applyFont="1" applyFill="1" applyBorder="1" applyAlignment="1" applyProtection="1">
      <alignment horizontal="center" vertical="center" wrapText="1"/>
    </xf>
    <xf numFmtId="9" fontId="16" fillId="3" borderId="27" xfId="1" applyFont="1" applyFill="1" applyBorder="1" applyAlignment="1" applyProtection="1">
      <alignment horizontal="center" vertical="center" wrapText="1"/>
    </xf>
    <xf numFmtId="9" fontId="16" fillId="3" borderId="29" xfId="1" applyFont="1" applyFill="1" applyBorder="1" applyAlignment="1" applyProtection="1">
      <alignment horizontal="center" vertical="center" wrapText="1"/>
    </xf>
    <xf numFmtId="2" fontId="5" fillId="3" borderId="3" xfId="0" applyNumberFormat="1" applyFont="1" applyFill="1" applyBorder="1" applyAlignment="1" applyProtection="1">
      <alignment horizontal="center" vertical="center" wrapText="1"/>
    </xf>
    <xf numFmtId="2" fontId="17" fillId="2" borderId="3" xfId="0" applyNumberFormat="1" applyFont="1" applyFill="1" applyBorder="1" applyAlignment="1" applyProtection="1">
      <alignment horizontal="center" vertical="center" wrapText="1"/>
    </xf>
    <xf numFmtId="2" fontId="16" fillId="2" borderId="3" xfId="0" applyNumberFormat="1" applyFont="1" applyFill="1" applyBorder="1" applyAlignment="1" applyProtection="1">
      <alignment horizontal="center" vertical="center" wrapText="1"/>
    </xf>
    <xf numFmtId="3" fontId="57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3" xfId="1" applyFont="1" applyFill="1" applyBorder="1" applyAlignment="1" applyProtection="1">
      <alignment horizontal="center" vertical="center" wrapText="1"/>
    </xf>
    <xf numFmtId="3" fontId="60" fillId="0" borderId="3" xfId="0" applyNumberFormat="1" applyFont="1" applyFill="1" applyBorder="1" applyAlignment="1" applyProtection="1">
      <alignment horizontal="center" vertical="center" wrapText="1"/>
    </xf>
    <xf numFmtId="3" fontId="5" fillId="3" borderId="2" xfId="0" applyNumberFormat="1" applyFont="1" applyFill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1" xfId="0" applyNumberFormat="1" applyFont="1" applyFill="1" applyBorder="1" applyAlignment="1" applyProtection="1">
      <alignment horizontal="left" vertical="center" wrapText="1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5" fillId="3" borderId="21" xfId="0" applyNumberFormat="1" applyFont="1" applyFill="1" applyBorder="1" applyAlignment="1" applyProtection="1">
      <alignment horizontal="left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1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9" fontId="19" fillId="3" borderId="3" xfId="1" applyFont="1" applyFill="1" applyBorder="1" applyAlignment="1" applyProtection="1">
      <alignment horizontal="center" vertical="center" wrapText="1"/>
    </xf>
    <xf numFmtId="3" fontId="62" fillId="2" borderId="3" xfId="0" applyNumberFormat="1" applyFont="1" applyFill="1" applyBorder="1" applyAlignment="1" applyProtection="1">
      <alignment horizontal="center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center" vertical="center" wrapText="1"/>
    </xf>
    <xf numFmtId="3" fontId="5" fillId="3" borderId="2" xfId="0" applyNumberFormat="1" applyFont="1" applyFill="1" applyBorder="1" applyAlignment="1" applyProtection="1">
      <alignment horizontal="center" vertical="center" wrapText="1"/>
    </xf>
    <xf numFmtId="3" fontId="21" fillId="2" borderId="1" xfId="0" applyNumberFormat="1" applyFont="1" applyFill="1" applyBorder="1" applyAlignment="1" applyProtection="1">
      <alignment horizontal="left" vertical="center" wrapText="1"/>
    </xf>
    <xf numFmtId="3" fontId="21" fillId="2" borderId="2" xfId="0" applyNumberFormat="1" applyFont="1" applyFill="1" applyBorder="1" applyAlignment="1" applyProtection="1">
      <alignment horizontal="left" vertical="center" wrapText="1"/>
    </xf>
    <xf numFmtId="3" fontId="5" fillId="3" borderId="1" xfId="0" applyNumberFormat="1" applyFont="1" applyFill="1" applyBorder="1" applyAlignment="1" applyProtection="1">
      <alignment horizontal="left" vertical="center" wrapText="1"/>
    </xf>
    <xf numFmtId="3" fontId="5" fillId="3" borderId="2" xfId="0" applyNumberFormat="1" applyFont="1" applyFill="1" applyBorder="1" applyAlignment="1" applyProtection="1">
      <alignment horizontal="left" vertical="center" wrapText="1"/>
    </xf>
    <xf numFmtId="49" fontId="21" fillId="2" borderId="1" xfId="0" applyNumberFormat="1" applyFont="1" applyFill="1" applyBorder="1" applyAlignment="1" applyProtection="1">
      <alignment horizontal="left" vertical="center" wrapText="1"/>
    </xf>
    <xf numFmtId="49" fontId="21" fillId="2" borderId="2" xfId="0" applyNumberFormat="1" applyFont="1" applyFill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 applyProtection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left" vertical="center" wrapText="1"/>
    </xf>
    <xf numFmtId="3" fontId="50" fillId="2" borderId="3" xfId="0" applyNumberFormat="1" applyFont="1" applyFill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left" vertical="center" wrapText="1"/>
      <protection locked="0"/>
    </xf>
    <xf numFmtId="3" fontId="5" fillId="3" borderId="2" xfId="0" applyNumberFormat="1" applyFont="1" applyFill="1" applyBorder="1" applyAlignment="1" applyProtection="1">
      <alignment horizontal="left" vertical="center" wrapText="1"/>
      <protection locked="0"/>
    </xf>
    <xf numFmtId="3" fontId="46" fillId="2" borderId="3" xfId="0" applyNumberFormat="1" applyFont="1" applyFill="1" applyBorder="1" applyAlignment="1" applyProtection="1">
      <alignment horizontal="center" vertical="center" wrapText="1"/>
    </xf>
    <xf numFmtId="3" fontId="15" fillId="2" borderId="3" xfId="0" applyNumberFormat="1" applyFont="1" applyFill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3" fontId="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9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6" fillId="2" borderId="1" xfId="0" applyNumberFormat="1" applyFont="1" applyFill="1" applyBorder="1" applyAlignment="1" applyProtection="1">
      <alignment horizontal="center" vertical="center" wrapText="1"/>
    </xf>
    <xf numFmtId="3" fontId="46" fillId="2" borderId="2" xfId="0" applyNumberFormat="1" applyFont="1" applyFill="1" applyBorder="1" applyAlignment="1" applyProtection="1">
      <alignment horizontal="center" vertical="center" wrapText="1"/>
    </xf>
    <xf numFmtId="3" fontId="49" fillId="2" borderId="1" xfId="0" applyNumberFormat="1" applyFont="1" applyFill="1" applyBorder="1" applyAlignment="1" applyProtection="1">
      <alignment horizontal="left" vertical="center" wrapText="1"/>
    </xf>
    <xf numFmtId="3" fontId="49" fillId="2" borderId="2" xfId="0" applyNumberFormat="1" applyFont="1" applyFill="1" applyBorder="1" applyAlignment="1" applyProtection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49" fontId="5" fillId="3" borderId="2" xfId="0" applyNumberFormat="1" applyFont="1" applyFill="1" applyBorder="1" applyAlignment="1" applyProtection="1">
      <alignment horizontal="left" vertical="center" wrapText="1"/>
    </xf>
    <xf numFmtId="3" fontId="27" fillId="2" borderId="1" xfId="0" applyNumberFormat="1" applyFont="1" applyFill="1" applyBorder="1" applyAlignment="1" applyProtection="1">
      <alignment horizontal="left" vertical="center" wrapText="1"/>
    </xf>
    <xf numFmtId="3" fontId="27" fillId="2" borderId="2" xfId="0" applyNumberFormat="1" applyFont="1" applyFill="1" applyBorder="1" applyAlignment="1" applyProtection="1">
      <alignment horizontal="left" vertical="center" wrapText="1"/>
    </xf>
    <xf numFmtId="3" fontId="15" fillId="2" borderId="1" xfId="0" applyNumberFormat="1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left" vertical="center" wrapText="1"/>
    </xf>
    <xf numFmtId="49" fontId="24" fillId="2" borderId="1" xfId="0" applyNumberFormat="1" applyFont="1" applyFill="1" applyBorder="1" applyAlignment="1" applyProtection="1">
      <alignment horizontal="left" vertical="center" wrapText="1"/>
    </xf>
    <xf numFmtId="49" fontId="24" fillId="2" borderId="2" xfId="0" applyNumberFormat="1" applyFont="1" applyFill="1" applyBorder="1" applyAlignment="1" applyProtection="1">
      <alignment horizontal="left" vertical="center" wrapText="1"/>
    </xf>
    <xf numFmtId="3" fontId="24" fillId="2" borderId="1" xfId="0" applyNumberFormat="1" applyFont="1" applyFill="1" applyBorder="1" applyAlignment="1" applyProtection="1">
      <alignment horizontal="left" vertical="center" wrapText="1"/>
    </xf>
    <xf numFmtId="3" fontId="24" fillId="2" borderId="2" xfId="0" applyNumberFormat="1" applyFont="1" applyFill="1" applyBorder="1" applyAlignment="1" applyProtection="1">
      <alignment horizontal="left" vertical="center" wrapText="1"/>
    </xf>
    <xf numFmtId="49" fontId="19" fillId="2" borderId="1" xfId="0" applyNumberFormat="1" applyFont="1" applyFill="1" applyBorder="1" applyAlignment="1" applyProtection="1">
      <alignment horizontal="left" vertical="center" wrapText="1"/>
    </xf>
    <xf numFmtId="49" fontId="19" fillId="2" borderId="2" xfId="0" applyNumberFormat="1" applyFont="1" applyFill="1" applyBorder="1" applyAlignment="1" applyProtection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left" vertical="center" wrapText="1"/>
    </xf>
    <xf numFmtId="164" fontId="17" fillId="2" borderId="2" xfId="0" applyNumberFormat="1" applyFont="1" applyFill="1" applyBorder="1" applyAlignment="1" applyProtection="1">
      <alignment horizontal="left" vertical="center" wrapText="1"/>
    </xf>
    <xf numFmtId="3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3" xfId="0" applyNumberFormat="1" applyFont="1" applyFill="1" applyBorder="1" applyAlignment="1" applyProtection="1">
      <alignment horizontal="center" vertical="center" wrapText="1"/>
    </xf>
    <xf numFmtId="3" fontId="48" fillId="2" borderId="1" xfId="0" applyNumberFormat="1" applyFont="1" applyFill="1" applyBorder="1" applyAlignment="1" applyProtection="1">
      <alignment horizontal="center" vertical="center" wrapText="1"/>
    </xf>
    <xf numFmtId="3" fontId="48" fillId="2" borderId="2" xfId="0" applyNumberFormat="1" applyFont="1" applyFill="1" applyBorder="1" applyAlignment="1" applyProtection="1">
      <alignment horizontal="center" vertical="center" wrapText="1"/>
    </xf>
    <xf numFmtId="3" fontId="47" fillId="2" borderId="3" xfId="0" applyNumberFormat="1" applyFont="1" applyFill="1" applyBorder="1" applyAlignment="1" applyProtection="1">
      <alignment horizontal="center" vertical="top" wrapText="1"/>
    </xf>
    <xf numFmtId="3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9" xfId="0" applyNumberFormat="1" applyFont="1" applyFill="1" applyBorder="1" applyAlignment="1" applyProtection="1">
      <alignment horizontal="center" vertical="top" wrapText="1"/>
      <protection locked="0"/>
    </xf>
    <xf numFmtId="3" fontId="4" fillId="2" borderId="17" xfId="0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3" fontId="4" fillId="2" borderId="6" xfId="0" applyNumberFormat="1" applyFont="1" applyFill="1" applyBorder="1" applyAlignment="1" applyProtection="1">
      <alignment horizontal="center" vertical="top" wrapText="1"/>
      <protection locked="0"/>
    </xf>
    <xf numFmtId="3" fontId="4" fillId="2" borderId="8" xfId="0" applyNumberFormat="1" applyFont="1" applyFill="1" applyBorder="1" applyAlignment="1" applyProtection="1">
      <alignment horizontal="center" vertical="top" wrapText="1"/>
      <protection locked="0"/>
    </xf>
    <xf numFmtId="3" fontId="4" fillId="2" borderId="9" xfId="0" applyNumberFormat="1" applyFont="1" applyFill="1" applyBorder="1" applyAlignment="1" applyProtection="1">
      <alignment horizontal="center" vertical="top" wrapText="1"/>
      <protection locked="0"/>
    </xf>
    <xf numFmtId="3" fontId="4" fillId="2" borderId="1" xfId="0" applyNumberFormat="1" applyFont="1" applyFill="1" applyBorder="1" applyAlignment="1" applyProtection="1">
      <alignment horizontal="center" vertical="top" wrapText="1"/>
      <protection locked="0"/>
    </xf>
    <xf numFmtId="3" fontId="4" fillId="2" borderId="2" xfId="0" applyNumberFormat="1" applyFont="1" applyFill="1" applyBorder="1" applyAlignment="1" applyProtection="1">
      <alignment horizontal="center" vertical="top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top" wrapText="1"/>
      <protection locked="0"/>
    </xf>
    <xf numFmtId="3" fontId="4" fillId="2" borderId="3" xfId="0" applyNumberFormat="1" applyFont="1" applyFill="1" applyBorder="1" applyAlignment="1" applyProtection="1">
      <alignment horizontal="center" vertical="top" wrapText="1"/>
    </xf>
    <xf numFmtId="3" fontId="46" fillId="12" borderId="0" xfId="0" applyNumberFormat="1" applyFont="1" applyFill="1" applyAlignment="1" applyProtection="1">
      <alignment horizontal="center" vertical="top" wrapText="1"/>
      <protection locked="0"/>
    </xf>
    <xf numFmtId="49" fontId="9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9" fillId="2" borderId="9" xfId="0" applyNumberFormat="1" applyFont="1" applyFill="1" applyBorder="1" applyAlignment="1" applyProtection="1">
      <alignment horizontal="center" vertical="top" wrapText="1"/>
      <protection locked="0"/>
    </xf>
    <xf numFmtId="3" fontId="8" fillId="2" borderId="3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Alignment="1" applyProtection="1">
      <alignment horizontal="center" wrapText="1"/>
      <protection locked="0"/>
    </xf>
    <xf numFmtId="3" fontId="5" fillId="3" borderId="21" xfId="0" applyNumberFormat="1" applyFont="1" applyFill="1" applyBorder="1" applyAlignment="1" applyProtection="1">
      <alignment horizontal="left" vertical="center" wrapText="1"/>
    </xf>
    <xf numFmtId="49" fontId="21" fillId="2" borderId="21" xfId="0" applyNumberFormat="1" applyFont="1" applyFill="1" applyBorder="1" applyAlignment="1" applyProtection="1">
      <alignment horizontal="left" vertical="center" wrapText="1"/>
    </xf>
    <xf numFmtId="3" fontId="5" fillId="3" borderId="26" xfId="0" applyNumberFormat="1" applyFont="1" applyFill="1" applyBorder="1" applyAlignment="1" applyProtection="1">
      <alignment horizontal="left" vertical="center" wrapText="1"/>
    </xf>
    <xf numFmtId="3" fontId="5" fillId="3" borderId="27" xfId="0" applyNumberFormat="1" applyFont="1" applyFill="1" applyBorder="1" applyAlignment="1" applyProtection="1">
      <alignment horizontal="left" vertical="center" wrapText="1"/>
    </xf>
    <xf numFmtId="3" fontId="21" fillId="2" borderId="21" xfId="0" applyNumberFormat="1" applyFont="1" applyFill="1" applyBorder="1" applyAlignment="1" applyProtection="1">
      <alignment horizontal="left" vertical="center" wrapText="1"/>
    </xf>
    <xf numFmtId="3" fontId="46" fillId="2" borderId="21" xfId="0" applyNumberFormat="1" applyFont="1" applyFill="1" applyBorder="1" applyAlignment="1" applyProtection="1">
      <alignment horizontal="center" vertical="center" wrapText="1"/>
    </xf>
    <xf numFmtId="3" fontId="4" fillId="2" borderId="23" xfId="0" applyNumberFormat="1" applyFont="1" applyFill="1" applyBorder="1" applyAlignment="1" applyProtection="1">
      <alignment horizontal="center" vertical="top" wrapText="1"/>
      <protection locked="0"/>
    </xf>
    <xf numFmtId="3" fontId="9" fillId="2" borderId="21" xfId="0" applyNumberFormat="1" applyFont="1" applyFill="1" applyBorder="1" applyAlignment="1" applyProtection="1">
      <alignment horizontal="left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  <protection locked="0"/>
    </xf>
    <xf numFmtId="3" fontId="5" fillId="3" borderId="21" xfId="0" applyNumberFormat="1" applyFont="1" applyFill="1" applyBorder="1" applyAlignment="1" applyProtection="1">
      <alignment horizontal="left" vertical="center" wrapText="1"/>
      <protection locked="0"/>
    </xf>
    <xf numFmtId="3" fontId="5" fillId="2" borderId="21" xfId="0" applyNumberFormat="1" applyFont="1" applyFill="1" applyBorder="1" applyAlignment="1" applyProtection="1">
      <alignment horizontal="left" vertical="center" wrapText="1"/>
    </xf>
    <xf numFmtId="3" fontId="49" fillId="2" borderId="21" xfId="0" applyNumberFormat="1" applyFont="1" applyFill="1" applyBorder="1" applyAlignment="1" applyProtection="1">
      <alignment horizontal="left" vertical="center" wrapText="1"/>
    </xf>
    <xf numFmtId="49" fontId="9" fillId="2" borderId="21" xfId="0" applyNumberFormat="1" applyFont="1" applyFill="1" applyBorder="1" applyAlignment="1" applyProtection="1">
      <alignment horizontal="left" vertical="center" wrapText="1"/>
    </xf>
    <xf numFmtId="164" fontId="17" fillId="2" borderId="21" xfId="0" applyNumberFormat="1" applyFont="1" applyFill="1" applyBorder="1" applyAlignment="1" applyProtection="1">
      <alignment horizontal="left" vertical="center" wrapText="1"/>
    </xf>
    <xf numFmtId="49" fontId="5" fillId="2" borderId="21" xfId="0" applyNumberFormat="1" applyFont="1" applyFill="1" applyBorder="1" applyAlignment="1" applyProtection="1">
      <alignment horizontal="left" vertical="center" wrapText="1"/>
    </xf>
    <xf numFmtId="49" fontId="5" fillId="3" borderId="21" xfId="0" applyNumberFormat="1" applyFont="1" applyFill="1" applyBorder="1" applyAlignment="1" applyProtection="1">
      <alignment horizontal="left" vertical="center" wrapText="1"/>
    </xf>
    <xf numFmtId="3" fontId="27" fillId="2" borderId="21" xfId="0" applyNumberFormat="1" applyFont="1" applyFill="1" applyBorder="1" applyAlignment="1" applyProtection="1">
      <alignment horizontal="left" vertical="center" wrapText="1"/>
    </xf>
    <xf numFmtId="49" fontId="24" fillId="2" borderId="21" xfId="0" applyNumberFormat="1" applyFont="1" applyFill="1" applyBorder="1" applyAlignment="1" applyProtection="1">
      <alignment horizontal="left" vertical="center" wrapText="1"/>
    </xf>
    <xf numFmtId="3" fontId="15" fillId="2" borderId="21" xfId="0" applyNumberFormat="1" applyFont="1" applyFill="1" applyBorder="1" applyAlignment="1" applyProtection="1">
      <alignment horizontal="left" vertical="center" wrapText="1"/>
    </xf>
    <xf numFmtId="3" fontId="4" fillId="2" borderId="22" xfId="0" applyNumberFormat="1" applyFont="1" applyFill="1" applyBorder="1" applyAlignment="1" applyProtection="1">
      <alignment horizontal="center" vertical="top" wrapText="1"/>
      <protection locked="0"/>
    </xf>
    <xf numFmtId="3" fontId="4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19" fillId="3" borderId="21" xfId="0" applyNumberFormat="1" applyFont="1" applyFill="1" applyBorder="1" applyAlignment="1" applyProtection="1">
      <alignment horizontal="left" vertical="center" wrapText="1"/>
    </xf>
    <xf numFmtId="49" fontId="19" fillId="3" borderId="2" xfId="0" applyNumberFormat="1" applyFont="1" applyFill="1" applyBorder="1" applyAlignment="1" applyProtection="1">
      <alignment horizontal="left" vertical="center" wrapText="1"/>
    </xf>
    <xf numFmtId="49" fontId="19" fillId="2" borderId="21" xfId="0" applyNumberFormat="1" applyFont="1" applyFill="1" applyBorder="1" applyAlignment="1" applyProtection="1">
      <alignment horizontal="left" vertical="center" wrapText="1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8" fillId="2" borderId="20" xfId="0" applyNumberFormat="1" applyFont="1" applyFill="1" applyBorder="1" applyAlignment="1" applyProtection="1">
      <alignment horizontal="center" vertical="center" wrapText="1"/>
    </xf>
    <xf numFmtId="3" fontId="24" fillId="2" borderId="21" xfId="0" applyNumberFormat="1" applyFont="1" applyFill="1" applyBorder="1" applyAlignment="1" applyProtection="1">
      <alignment horizontal="left" vertical="center" wrapText="1"/>
    </xf>
    <xf numFmtId="3" fontId="48" fillId="2" borderId="3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3" xfId="0" applyNumberFormat="1" applyFont="1" applyFill="1" applyBorder="1" applyAlignment="1" applyProtection="1">
      <alignment horizontal="center" vertical="center" wrapText="1"/>
    </xf>
    <xf numFmtId="3" fontId="53" fillId="2" borderId="3" xfId="0" applyNumberFormat="1" applyFont="1" applyFill="1" applyBorder="1" applyAlignment="1" applyProtection="1">
      <alignment horizontal="center" vertical="center" wrapText="1"/>
    </xf>
    <xf numFmtId="3" fontId="15" fillId="2" borderId="20" xfId="0" applyNumberFormat="1" applyFont="1" applyFill="1" applyBorder="1" applyAlignment="1" applyProtection="1">
      <alignment horizontal="center" vertical="center" wrapText="1"/>
    </xf>
    <xf numFmtId="3" fontId="5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9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center" wrapText="1"/>
    </xf>
    <xf numFmtId="3" fontId="54" fillId="2" borderId="3" xfId="0" applyNumberFormat="1" applyFont="1" applyFill="1" applyBorder="1" applyAlignment="1" applyProtection="1">
      <alignment horizontal="center" vertical="center" wrapText="1"/>
    </xf>
    <xf numFmtId="3" fontId="9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53" fillId="2" borderId="0" xfId="0" applyNumberFormat="1" applyFont="1" applyFill="1" applyAlignment="1" applyProtection="1">
      <alignment horizontal="left" vertical="center" wrapText="1"/>
      <protection locked="0"/>
    </xf>
    <xf numFmtId="164" fontId="17" fillId="3" borderId="21" xfId="0" applyNumberFormat="1" applyFont="1" applyFill="1" applyBorder="1" applyAlignment="1" applyProtection="1">
      <alignment horizontal="left" vertical="center" wrapText="1"/>
    </xf>
    <xf numFmtId="164" fontId="17" fillId="3" borderId="2" xfId="0" applyNumberFormat="1" applyFont="1" applyFill="1" applyBorder="1" applyAlignment="1" applyProtection="1">
      <alignment horizontal="left" vertical="center" wrapText="1"/>
    </xf>
    <xf numFmtId="0" fontId="53" fillId="2" borderId="0" xfId="0" applyNumberFormat="1" applyFont="1" applyFill="1" applyAlignment="1" applyProtection="1">
      <alignment horizontal="left" vertical="top" wrapText="1"/>
      <protection locked="0"/>
    </xf>
    <xf numFmtId="0" fontId="53" fillId="2" borderId="0" xfId="0" applyNumberFormat="1" applyFont="1" applyFill="1" applyBorder="1" applyAlignment="1" applyProtection="1">
      <alignment horizontal="left" vertical="top" wrapText="1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1" fillId="2" borderId="2" xfId="0" applyNumberFormat="1" applyFont="1" applyFill="1" applyBorder="1" applyAlignment="1" applyProtection="1">
      <alignment horizontal="left" vertical="center" wrapText="1"/>
      <protection locked="0"/>
    </xf>
    <xf numFmtId="3" fontId="5" fillId="2" borderId="1" xfId="0" applyNumberFormat="1" applyFont="1" applyFill="1" applyBorder="1" applyAlignment="1" applyProtection="1">
      <alignment horizontal="left" vertical="center" wrapText="1"/>
      <protection locked="0"/>
    </xf>
    <xf numFmtId="3" fontId="5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6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6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4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4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" xfId="0" applyNumberFormat="1" applyFont="1" applyFill="1" applyBorder="1" applyAlignment="1" applyProtection="1">
      <alignment horizontal="left" vertical="center" wrapText="1"/>
      <protection locked="0"/>
    </xf>
    <xf numFmtId="3" fontId="27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7" fillId="2" borderId="2" xfId="0" applyNumberFormat="1" applyFont="1" applyFill="1" applyBorder="1" applyAlignment="1" applyProtection="1">
      <alignment horizontal="left" vertical="center" wrapText="1"/>
      <protection locked="0"/>
    </xf>
    <xf numFmtId="3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3" fontId="1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2" xfId="0" applyNumberFormat="1" applyFont="1" applyFill="1" applyBorder="1" applyAlignment="1" applyProtection="1">
      <alignment horizontal="left" vertical="center" wrapText="1"/>
      <protection locked="0"/>
    </xf>
    <xf numFmtId="3" fontId="24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7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8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0" applyNumberFormat="1" applyFont="1" applyFill="1" applyBorder="1" applyAlignment="1" applyProtection="1">
      <alignment horizontal="center" vertical="top" wrapText="1"/>
      <protection locked="0"/>
    </xf>
    <xf numFmtId="3" fontId="47" fillId="2" borderId="3" xfId="0" applyNumberFormat="1" applyFont="1" applyFill="1" applyBorder="1" applyAlignment="1" applyProtection="1">
      <alignment horizontal="center" vertical="top" wrapText="1"/>
      <protection locked="0"/>
    </xf>
    <xf numFmtId="3" fontId="5" fillId="3" borderId="3" xfId="0" applyNumberFormat="1" applyFont="1" applyFill="1" applyBorder="1" applyAlignment="1" applyProtection="1">
      <alignment horizontal="left" vertical="center" wrapText="1"/>
      <protection locked="0"/>
    </xf>
    <xf numFmtId="3" fontId="5" fillId="3" borderId="3" xfId="0" applyNumberFormat="1" applyFont="1" applyFill="1" applyBorder="1" applyAlignment="1" applyProtection="1">
      <alignment horizontal="left" vertical="center" wrapText="1"/>
    </xf>
    <xf numFmtId="3" fontId="21" fillId="2" borderId="3" xfId="0" applyNumberFormat="1" applyFont="1" applyFill="1" applyBorder="1" applyAlignment="1" applyProtection="1">
      <alignment horizontal="left" vertical="center" wrapText="1"/>
    </xf>
    <xf numFmtId="49" fontId="21" fillId="2" borderId="3" xfId="0" applyNumberFormat="1" applyFont="1" applyFill="1" applyBorder="1" applyAlignment="1" applyProtection="1">
      <alignment horizontal="left" vertical="center" wrapText="1"/>
    </xf>
    <xf numFmtId="3" fontId="5" fillId="2" borderId="3" xfId="0" applyNumberFormat="1" applyFont="1" applyFill="1" applyBorder="1" applyAlignment="1" applyProtection="1">
      <alignment horizontal="left" vertical="center" wrapText="1"/>
    </xf>
    <xf numFmtId="3" fontId="9" fillId="2" borderId="3" xfId="0" applyNumberFormat="1" applyFont="1" applyFill="1" applyBorder="1" applyAlignment="1" applyProtection="1">
      <alignment horizontal="left" vertical="center" wrapText="1"/>
    </xf>
    <xf numFmtId="3" fontId="9" fillId="2" borderId="3" xfId="0" applyNumberFormat="1" applyFont="1" applyFill="1" applyBorder="1" applyAlignment="1" applyProtection="1">
      <alignment horizontal="left" vertical="center" wrapText="1"/>
      <protection locked="0"/>
    </xf>
    <xf numFmtId="3" fontId="49" fillId="2" borderId="3" xfId="0" applyNumberFormat="1" applyFont="1" applyFill="1" applyBorder="1" applyAlignment="1" applyProtection="1">
      <alignment horizontal="left" vertical="center"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49" fontId="5" fillId="2" borderId="3" xfId="0" applyNumberFormat="1" applyFont="1" applyFill="1" applyBorder="1" applyAlignment="1" applyProtection="1">
      <alignment horizontal="left" vertical="center" wrapText="1"/>
    </xf>
    <xf numFmtId="49" fontId="5" fillId="3" borderId="3" xfId="0" applyNumberFormat="1" applyFont="1" applyFill="1" applyBorder="1" applyAlignment="1" applyProtection="1">
      <alignment horizontal="left" vertical="center" wrapText="1"/>
    </xf>
    <xf numFmtId="3" fontId="27" fillId="2" borderId="3" xfId="0" applyNumberFormat="1" applyFont="1" applyFill="1" applyBorder="1" applyAlignment="1" applyProtection="1">
      <alignment horizontal="left" vertical="center" wrapText="1"/>
    </xf>
    <xf numFmtId="3" fontId="15" fillId="2" borderId="3" xfId="0" applyNumberFormat="1" applyFont="1" applyFill="1" applyBorder="1" applyAlignment="1" applyProtection="1">
      <alignment horizontal="left" vertical="center" wrapText="1"/>
    </xf>
    <xf numFmtId="49" fontId="24" fillId="2" borderId="3" xfId="0" applyNumberFormat="1" applyFont="1" applyFill="1" applyBorder="1" applyAlignment="1" applyProtection="1">
      <alignment horizontal="left" vertical="center" wrapText="1"/>
    </xf>
    <xf numFmtId="3" fontId="24" fillId="2" borderId="3" xfId="0" applyNumberFormat="1" applyFont="1" applyFill="1" applyBorder="1" applyAlignment="1" applyProtection="1">
      <alignment horizontal="left" vertical="center" wrapText="1"/>
    </xf>
    <xf numFmtId="49" fontId="19" fillId="2" borderId="3" xfId="0" applyNumberFormat="1" applyFont="1" applyFill="1" applyBorder="1" applyAlignment="1" applyProtection="1">
      <alignment horizontal="left" vertical="center" wrapText="1"/>
    </xf>
    <xf numFmtId="164" fontId="17" fillId="2" borderId="3" xfId="0" applyNumberFormat="1" applyFont="1" applyFill="1" applyBorder="1" applyAlignment="1" applyProtection="1">
      <alignment horizontal="left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28" fillId="2" borderId="3" xfId="0" applyNumberFormat="1" applyFont="1" applyFill="1" applyBorder="1" applyAlignment="1" applyProtection="1">
      <alignment horizontal="left" vertical="center" wrapText="1"/>
    </xf>
    <xf numFmtId="3" fontId="9" fillId="3" borderId="3" xfId="0" applyNumberFormat="1" applyFont="1" applyFill="1" applyBorder="1" applyAlignment="1" applyProtection="1">
      <alignment horizontal="center" vertical="center" wrapText="1"/>
    </xf>
  </cellXfs>
  <cellStyles count="20">
    <cellStyle name="Обычный" xfId="0" builtinId="0"/>
    <cellStyle name="Обычный 13" xfId="2"/>
    <cellStyle name="Обычный 2" xfId="3"/>
    <cellStyle name="Обычный 3" xfId="4"/>
    <cellStyle name="Обычный 4" xfId="5"/>
    <cellStyle name="Процентный" xfId="1" builtinId="5"/>
    <cellStyle name="㼿‿‿㼿㼿㼿?" xfId="6"/>
    <cellStyle name="㼿㼿" xfId="7"/>
    <cellStyle name="㼿㼿 " xfId="8"/>
    <cellStyle name="㼿㼿?" xfId="9"/>
    <cellStyle name="㼿㼿‿㼿㼿㼿㼿㼿㼿㼿" xfId="10"/>
    <cellStyle name="㼿㼿㼿" xfId="11"/>
    <cellStyle name="㼿㼿㼿?" xfId="12"/>
    <cellStyle name="㼿㼿㼿㼿" xfId="13"/>
    <cellStyle name="㼿㼿㼿㼿?" xfId="14"/>
    <cellStyle name="㼿㼿㼿㼿‿?" xfId="15"/>
    <cellStyle name="㼿㼿㼿㼿‿㼿㼿㼿" xfId="16"/>
    <cellStyle name="㼿㼿㼿㼿㼿" xfId="17"/>
    <cellStyle name="㼿㼿㼿㼿㼿?" xfId="18"/>
    <cellStyle name="㼿㼿㼿㼿㼿‿㼿㼿㼿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xpsp3-pc\&#1048;&#1089;&#1087;&#1086;&#1083;&#1085;&#1077;&#1085;&#1080;&#1077;%20&#1073;&#1102;&#1076;&#1078;&#1077;&#1090;&#1072;\2018%20&#1075;&#1086;&#1076;\&#1048;&#1088;&#1080;&#1085;&#1072;\&#1050;&#1088;&#1077;&#1076;&#1080;&#1090;&#1099;\&#1043;&#1086;&#1088;&#1086;&#1076;&#1072;%20&#1080;%20&#1088;&#1072;&#1081;&#1086;&#1085;&#1099;\&#1057;&#1086;&#1088;&#1090;&#1072;&#1074;&#1072;&#1083;&#1072;\&#1047;&#1072;&#1103;&#1074;&#1082;&#1080;%20&#1085;&#1072;%20&#1082;&#1088;&#1077;&#1076;&#1080;&#1090;\2015%20&#1075;&#1086;&#1076;\&#1076;&#1077;&#1082;&#1072;&#1073;&#1088;&#1100;%202015\&#1087;&#1088;&#1086;&#1075;&#1085;&#1086;&#1079;%20&#1082;%20&#1082;&#1088;&#1077;&#1076;&#1080;&#1090;&#1091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xpsp3-pc\&#1048;&#1089;&#1087;&#1086;&#1083;&#1085;&#1077;&#1085;&#1080;&#1077;%20&#1073;&#1102;&#1076;&#1078;&#1077;&#1090;&#1072;\2015%20&#1075;&#1086;&#1076;\&#1059;&#1095;&#1077;&#1090;%20&#1089;&#1088;&#1077;&#1076;&#1089;&#1090;&#1074;%202015%20&#1075;&#1086;&#1076;\&#1042;&#1099;&#1088;&#1072;&#1074;&#1085;&#1080;&#1074;&#1072;&#1085;&#1080;&#1077;\&#1057;&#1091;&#1073;&#1089;&#1080;&#1076;&#1080;&#1080;%20&#1085;&#1072;%20&#1074;&#1099;&#1088;&#1072;&#1074;&#1085;&#1080;&#1074;&#1072;&#1085;&#1080;&#1077;\&#1040;&#1085;&#1072;&#1083;&#1080;&#1079;%20&#1074;&#1099;&#1087;&#1086;&#1083;&#1085;&#1077;&#1085;&#1080;&#1103;%20&#1087;&#1086;&#1082;&#1072;&#1079;&#1072;&#1090;&#1077;&#1083;&#1077;&#1081;%20&#1088;&#1077;&#1079;-&#1090;&#1080;%202015\&#1089;&#1074;&#1086;&#1076;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xpsp3-pc\&#1048;&#1089;&#1087;&#1086;&#1083;&#1085;&#1077;&#1085;&#1080;&#1077;%20&#1073;&#1102;&#1076;&#1078;&#1077;&#1090;&#1072;\2015%20&#1075;&#1086;&#1076;\&#1054;&#1058;&#1063;&#1045;&#1058;&#1053;&#1054;&#1057;&#1058;&#1068;%20&#1054;&#1052;&#1057;&#1059;\&#1054;&#1057;&#1058;&#1040;&#1058;&#1050;&#1048;\&#1085;&#1072;%2001.01.2016\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"/>
      <sheetName val="прогноз  (за счет собств.)"/>
    </sheetNames>
    <sheetDataSet>
      <sheetData sheetId="0">
        <row r="16">
          <cell r="A16" t="str">
            <v>I. ДОХОДЫ - всего,  в т.ч.:</v>
          </cell>
        </row>
        <row r="18">
          <cell r="B18">
            <v>208697.3</v>
          </cell>
          <cell r="C18">
            <v>150494.9</v>
          </cell>
        </row>
        <row r="19">
          <cell r="B19">
            <v>0</v>
          </cell>
          <cell r="C19">
            <v>0</v>
          </cell>
        </row>
        <row r="20">
          <cell r="B20">
            <v>32353.800000000003</v>
          </cell>
          <cell r="C20">
            <v>32353.599999999999</v>
          </cell>
        </row>
        <row r="21">
          <cell r="B21">
            <v>48.5</v>
          </cell>
          <cell r="C21">
            <v>24.270000000000003</v>
          </cell>
        </row>
        <row r="22">
          <cell r="B22">
            <v>1988</v>
          </cell>
        </row>
        <row r="23">
          <cell r="B23">
            <v>11676.9</v>
          </cell>
        </row>
        <row r="24">
          <cell r="B24">
            <v>533</v>
          </cell>
          <cell r="C24">
            <v>532.5</v>
          </cell>
        </row>
        <row r="25">
          <cell r="B25">
            <v>6834.7</v>
          </cell>
          <cell r="C25">
            <v>6834.4000000000005</v>
          </cell>
        </row>
        <row r="26">
          <cell r="B26">
            <v>8544.6</v>
          </cell>
          <cell r="C26">
            <v>2078.6000000000004</v>
          </cell>
        </row>
        <row r="27">
          <cell r="B27">
            <v>34256</v>
          </cell>
          <cell r="C27">
            <v>16756.5</v>
          </cell>
        </row>
        <row r="28">
          <cell r="B28">
            <v>1482.4</v>
          </cell>
          <cell r="C28">
            <v>1481.9499999999998</v>
          </cell>
        </row>
        <row r="29">
          <cell r="B29">
            <v>37654.800000000003</v>
          </cell>
          <cell r="C29">
            <v>37153.4</v>
          </cell>
        </row>
        <row r="30">
          <cell r="B30">
            <v>37170.699999999997</v>
          </cell>
          <cell r="C30">
            <v>25724.100000000002</v>
          </cell>
        </row>
        <row r="31">
          <cell r="B31">
            <v>4905.2</v>
          </cell>
          <cell r="C31">
            <v>4718.4399999999996</v>
          </cell>
        </row>
        <row r="32">
          <cell r="B32">
            <v>1969.7</v>
          </cell>
          <cell r="C32">
            <v>1936</v>
          </cell>
        </row>
        <row r="34">
          <cell r="B34">
            <v>7299.4</v>
          </cell>
          <cell r="C34">
            <v>0</v>
          </cell>
        </row>
        <row r="35">
          <cell r="B35">
            <v>325162.8</v>
          </cell>
          <cell r="C35">
            <v>332462.25</v>
          </cell>
        </row>
        <row r="36">
          <cell r="B36">
            <v>7372</v>
          </cell>
          <cell r="C36">
            <v>7372</v>
          </cell>
        </row>
        <row r="37">
          <cell r="B37">
            <v>33469</v>
          </cell>
          <cell r="C37">
            <v>33469.231</v>
          </cell>
        </row>
        <row r="38">
          <cell r="B38">
            <v>16834</v>
          </cell>
          <cell r="C38">
            <v>16833.671999999999</v>
          </cell>
        </row>
        <row r="39">
          <cell r="B39">
            <v>6327</v>
          </cell>
          <cell r="C39">
            <v>7000.0650000000005</v>
          </cell>
        </row>
        <row r="40">
          <cell r="B40">
            <v>200</v>
          </cell>
          <cell r="C40">
            <v>200</v>
          </cell>
        </row>
        <row r="41">
          <cell r="B41">
            <v>-3733.2</v>
          </cell>
          <cell r="C41">
            <v>-3733.155999999999</v>
          </cell>
        </row>
        <row r="44">
          <cell r="C44">
            <v>255847.2</v>
          </cell>
        </row>
        <row r="45">
          <cell r="C45">
            <v>166222.90000000002</v>
          </cell>
        </row>
        <row r="46">
          <cell r="B46">
            <v>51395.199999999997</v>
          </cell>
          <cell r="C46">
            <v>31907.499999999996</v>
          </cell>
        </row>
        <row r="47">
          <cell r="B47">
            <v>67539.899999999994</v>
          </cell>
          <cell r="C47">
            <v>56426.8</v>
          </cell>
        </row>
        <row r="48">
          <cell r="B48">
            <v>0</v>
          </cell>
          <cell r="C48">
            <v>7299</v>
          </cell>
        </row>
        <row r="50">
          <cell r="B50">
            <v>63428.200000000004</v>
          </cell>
          <cell r="C50">
            <v>63416.600000000006</v>
          </cell>
        </row>
        <row r="54">
          <cell r="C54">
            <v>1162</v>
          </cell>
        </row>
        <row r="55">
          <cell r="B55">
            <v>2734.5</v>
          </cell>
          <cell r="C55">
            <v>100</v>
          </cell>
        </row>
        <row r="57">
          <cell r="B57">
            <v>14422.5</v>
          </cell>
          <cell r="C57">
            <v>6897.0999999999995</v>
          </cell>
        </row>
        <row r="58">
          <cell r="B58">
            <v>34028.400000000001</v>
          </cell>
          <cell r="C58">
            <v>31513.4</v>
          </cell>
        </row>
        <row r="60">
          <cell r="B60">
            <v>33772.400000000001</v>
          </cell>
          <cell r="C60">
            <v>28812.7</v>
          </cell>
        </row>
        <row r="63">
          <cell r="B63">
            <v>-3535.3000000000684</v>
          </cell>
          <cell r="C63">
            <v>10754.349999999973</v>
          </cell>
        </row>
        <row r="65">
          <cell r="B65">
            <v>20446.400000000001</v>
          </cell>
          <cell r="C65">
            <v>20446.199999999997</v>
          </cell>
        </row>
        <row r="66">
          <cell r="B66">
            <v>19189</v>
          </cell>
          <cell r="C66">
            <v>19189</v>
          </cell>
        </row>
        <row r="68">
          <cell r="B68">
            <v>15000</v>
          </cell>
          <cell r="C68">
            <v>15000</v>
          </cell>
        </row>
        <row r="69">
          <cell r="B69">
            <v>8019</v>
          </cell>
          <cell r="C69">
            <v>8019.2</v>
          </cell>
        </row>
        <row r="71">
          <cell r="B71">
            <v>2650</v>
          </cell>
          <cell r="C71">
            <v>2650</v>
          </cell>
        </row>
        <row r="72">
          <cell r="B72">
            <v>0</v>
          </cell>
          <cell r="C72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зыскание с субвенциями"/>
      <sheetName val="Взыскание без субвенций"/>
      <sheetName val="Взыскание без субвенций (2)"/>
      <sheetName val="Взыскание без субвенций (3)"/>
      <sheetName val="Пр.зад-ть год.отчет 2014"/>
      <sheetName val="КУ-2015"/>
      <sheetName val="АУ, БУ-2015"/>
      <sheetName val="Консолид."/>
      <sheetName val="районы"/>
      <sheetName val="беломорск"/>
      <sheetName val="калевала"/>
      <sheetName val="кемь"/>
      <sheetName val="кондопога"/>
      <sheetName val="лахденпохья"/>
      <sheetName val="лоухи"/>
      <sheetName val="медгора"/>
      <sheetName val="муезерка"/>
      <sheetName val="олонец"/>
      <sheetName val="питкяранта"/>
      <sheetName val="прионежье"/>
      <sheetName val="пряжа"/>
      <sheetName val="пудож"/>
      <sheetName val="сегежа"/>
      <sheetName val="сегежа (1)"/>
      <sheetName val="сортавала"/>
      <sheetName val="суоярви"/>
      <sheetName val="свод"/>
      <sheetName val="Лист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3">
          <cell r="J23">
            <v>19330999.82</v>
          </cell>
          <cell r="M23">
            <v>271120.5</v>
          </cell>
          <cell r="AJ23">
            <v>0</v>
          </cell>
          <cell r="AZ23">
            <v>4834909.8499999996</v>
          </cell>
          <cell r="BC23">
            <v>0</v>
          </cell>
        </row>
      </sheetData>
      <sheetData sheetId="8">
        <row r="23">
          <cell r="H23">
            <v>15818172.609999999</v>
          </cell>
          <cell r="J23">
            <v>271120.5</v>
          </cell>
          <cell r="X23">
            <v>0</v>
          </cell>
          <cell r="AN23">
            <v>4834909.8499999996</v>
          </cell>
          <cell r="AP2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отчета с 01.06.2015"/>
    </sheetNames>
    <sheetDataSet>
      <sheetData sheetId="0">
        <row r="12">
          <cell r="B12">
            <v>16175.4</v>
          </cell>
          <cell r="C12">
            <v>14813</v>
          </cell>
        </row>
        <row r="14">
          <cell r="B14">
            <v>11342.5</v>
          </cell>
          <cell r="C14">
            <v>9980.1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324"/>
  <sheetViews>
    <sheetView zoomScale="70" zoomScaleNormal="70" zoomScaleSheetLayoutView="75" workbookViewId="0">
      <pane xSplit="2" ySplit="8" topLeftCell="BF9" activePane="bottomRight" state="frozen"/>
      <selection activeCell="C2" sqref="C2:DV2"/>
      <selection pane="topRight" activeCell="C2" sqref="C2:DV2"/>
      <selection pane="bottomLeft" activeCell="C2" sqref="C2:DV2"/>
      <selection pane="bottomRight" activeCell="BJ11" sqref="BJ11"/>
    </sheetView>
  </sheetViews>
  <sheetFormatPr defaultColWidth="9.33203125" defaultRowHeight="15"/>
  <cols>
    <col min="1" max="1" width="60.6640625" style="50" customWidth="1"/>
    <col min="2" max="2" width="5.5" style="50" customWidth="1"/>
    <col min="3" max="4" width="12.33203125" style="50" customWidth="1"/>
    <col min="5" max="50" width="12.33203125" style="51" customWidth="1"/>
    <col min="51" max="53" width="12.33203125" style="3" customWidth="1"/>
    <col min="54" max="54" width="12.33203125" style="2" customWidth="1"/>
    <col min="55" max="125" width="12.33203125" style="3" customWidth="1"/>
    <col min="126" max="126" width="12.33203125" style="8" customWidth="1"/>
    <col min="127" max="128" width="12.33203125" style="1" customWidth="1"/>
    <col min="129" max="149" width="12.33203125" style="2" customWidth="1"/>
    <col min="150" max="268" width="9.33203125" style="2"/>
    <col min="269" max="16384" width="9.33203125" style="3"/>
  </cols>
  <sheetData>
    <row r="1" spans="1:268" ht="57" hidden="1" customHeight="1">
      <c r="A1" s="334">
        <f>конс.!A1</f>
        <v>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268" ht="18.75" customHeight="1">
      <c r="A2" s="3"/>
      <c r="C2" s="340" t="s">
        <v>0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</row>
    <row r="3" spans="1:268" ht="15.75" customHeight="1">
      <c r="C3" s="340" t="s">
        <v>1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0"/>
      <c r="DT3" s="340"/>
      <c r="DU3" s="340"/>
      <c r="DV3" s="340"/>
    </row>
    <row r="4" spans="1:268" ht="15" customHeight="1">
      <c r="A4" s="4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C4" s="6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U4" s="7" t="s">
        <v>2</v>
      </c>
    </row>
    <row r="5" spans="1:268" ht="15.75" customHeight="1">
      <c r="A5" s="323" t="s">
        <v>3</v>
      </c>
      <c r="B5" s="324"/>
      <c r="C5" s="329" t="str">
        <f>'бюджет округа (района)'!C5</f>
        <v>2014 год</v>
      </c>
      <c r="D5" s="330"/>
      <c r="E5" s="331">
        <f>'бюджет округа (района)'!D5:Z5</f>
        <v>0</v>
      </c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>
        <f>'бюджет округа (района)'!AA5:BL5</f>
        <v>0</v>
      </c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9"/>
    </row>
    <row r="6" spans="1:268" s="120" customFormat="1" ht="16.5" customHeight="1">
      <c r="A6" s="325"/>
      <c r="B6" s="326"/>
      <c r="C6" s="332" t="s">
        <v>149</v>
      </c>
      <c r="D6" s="332"/>
      <c r="E6" s="333" t="s">
        <v>149</v>
      </c>
      <c r="F6" s="333"/>
      <c r="G6" s="332" t="s">
        <v>8</v>
      </c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 t="s">
        <v>150</v>
      </c>
      <c r="AZ6" s="332"/>
      <c r="BA6" s="321" t="s">
        <v>96</v>
      </c>
      <c r="BB6" s="321"/>
      <c r="BC6" s="322" t="s">
        <v>10</v>
      </c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  <c r="CA6" s="322"/>
      <c r="CB6" s="322"/>
      <c r="CC6" s="322"/>
      <c r="CD6" s="322"/>
      <c r="CE6" s="322"/>
      <c r="CF6" s="322"/>
      <c r="CG6" s="322"/>
      <c r="CH6" s="322"/>
      <c r="CI6" s="322"/>
      <c r="CJ6" s="322"/>
      <c r="CK6" s="322"/>
      <c r="CL6" s="322"/>
      <c r="CM6" s="322"/>
      <c r="CN6" s="322"/>
      <c r="CO6" s="322"/>
      <c r="CP6" s="322"/>
      <c r="CQ6" s="322"/>
      <c r="CR6" s="322"/>
      <c r="CS6" s="322"/>
      <c r="CT6" s="322"/>
      <c r="CU6" s="322"/>
      <c r="CV6" s="322"/>
      <c r="CW6" s="322"/>
      <c r="CX6" s="322"/>
      <c r="CY6" s="322"/>
      <c r="CZ6" s="322"/>
      <c r="DA6" s="322"/>
      <c r="DB6" s="322"/>
      <c r="DC6" s="322"/>
      <c r="DD6" s="322"/>
      <c r="DE6" s="322"/>
      <c r="DF6" s="322"/>
      <c r="DG6" s="322"/>
      <c r="DH6" s="322"/>
      <c r="DI6" s="322"/>
      <c r="DJ6" s="322"/>
      <c r="DK6" s="322"/>
      <c r="DL6" s="322"/>
      <c r="DM6" s="322"/>
      <c r="DN6" s="322"/>
      <c r="DO6" s="322"/>
      <c r="DP6" s="322"/>
      <c r="DQ6" s="335" t="s">
        <v>125</v>
      </c>
      <c r="DR6" s="336"/>
      <c r="DS6" s="339" t="s">
        <v>126</v>
      </c>
      <c r="DT6" s="339"/>
      <c r="DU6" s="339" t="s">
        <v>96</v>
      </c>
      <c r="DV6" s="339"/>
      <c r="DW6" s="163"/>
      <c r="DX6" s="118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19"/>
      <c r="JD6" s="119"/>
      <c r="JE6" s="119"/>
      <c r="JF6" s="119"/>
      <c r="JG6" s="119"/>
      <c r="JH6" s="119"/>
    </row>
    <row r="7" spans="1:268" s="120" customFormat="1" ht="36.75" customHeight="1">
      <c r="A7" s="325"/>
      <c r="B7" s="326"/>
      <c r="C7" s="332"/>
      <c r="D7" s="332"/>
      <c r="E7" s="333"/>
      <c r="F7" s="333"/>
      <c r="G7" s="316" t="s">
        <v>11</v>
      </c>
      <c r="H7" s="316"/>
      <c r="I7" s="316" t="s">
        <v>12</v>
      </c>
      <c r="J7" s="316"/>
      <c r="K7" s="318" t="s">
        <v>70</v>
      </c>
      <c r="L7" s="318"/>
      <c r="M7" s="316" t="s">
        <v>13</v>
      </c>
      <c r="N7" s="316"/>
      <c r="O7" s="318" t="s">
        <v>14</v>
      </c>
      <c r="P7" s="318"/>
      <c r="Q7" s="316" t="s">
        <v>15</v>
      </c>
      <c r="R7" s="316"/>
      <c r="S7" s="318" t="s">
        <v>81</v>
      </c>
      <c r="T7" s="318"/>
      <c r="U7" s="316" t="s">
        <v>16</v>
      </c>
      <c r="V7" s="316"/>
      <c r="W7" s="318" t="s">
        <v>82</v>
      </c>
      <c r="X7" s="318"/>
      <c r="Y7" s="316" t="s">
        <v>17</v>
      </c>
      <c r="Z7" s="316"/>
      <c r="AA7" s="318" t="s">
        <v>83</v>
      </c>
      <c r="AB7" s="318"/>
      <c r="AC7" s="316" t="s">
        <v>18</v>
      </c>
      <c r="AD7" s="316"/>
      <c r="AE7" s="318" t="s">
        <v>84</v>
      </c>
      <c r="AF7" s="318"/>
      <c r="AG7" s="316" t="s">
        <v>19</v>
      </c>
      <c r="AH7" s="316"/>
      <c r="AI7" s="318" t="s">
        <v>85</v>
      </c>
      <c r="AJ7" s="318"/>
      <c r="AK7" s="316" t="s">
        <v>20</v>
      </c>
      <c r="AL7" s="316"/>
      <c r="AM7" s="318" t="s">
        <v>86</v>
      </c>
      <c r="AN7" s="318"/>
      <c r="AO7" s="316" t="s">
        <v>21</v>
      </c>
      <c r="AP7" s="316"/>
      <c r="AQ7" s="318" t="s">
        <v>87</v>
      </c>
      <c r="AR7" s="318"/>
      <c r="AS7" s="316" t="s">
        <v>22</v>
      </c>
      <c r="AT7" s="316"/>
      <c r="AU7" s="318" t="s">
        <v>88</v>
      </c>
      <c r="AV7" s="318"/>
      <c r="AW7" s="316" t="s">
        <v>23</v>
      </c>
      <c r="AX7" s="316"/>
      <c r="AY7" s="332"/>
      <c r="AZ7" s="332"/>
      <c r="BA7" s="321"/>
      <c r="BB7" s="321"/>
      <c r="BC7" s="316" t="s">
        <v>11</v>
      </c>
      <c r="BD7" s="316"/>
      <c r="BE7" s="316" t="s">
        <v>12</v>
      </c>
      <c r="BF7" s="316"/>
      <c r="BG7" s="318" t="s">
        <v>70</v>
      </c>
      <c r="BH7" s="318"/>
      <c r="BI7" s="319" t="s">
        <v>96</v>
      </c>
      <c r="BJ7" s="320"/>
      <c r="BK7" s="316" t="s">
        <v>13</v>
      </c>
      <c r="BL7" s="316"/>
      <c r="BM7" s="318" t="s">
        <v>14</v>
      </c>
      <c r="BN7" s="318"/>
      <c r="BO7" s="319" t="s">
        <v>96</v>
      </c>
      <c r="BP7" s="320"/>
      <c r="BQ7" s="316" t="s">
        <v>15</v>
      </c>
      <c r="BR7" s="316"/>
      <c r="BS7" s="318" t="s">
        <v>81</v>
      </c>
      <c r="BT7" s="318"/>
      <c r="BU7" s="319" t="s">
        <v>96</v>
      </c>
      <c r="BV7" s="320"/>
      <c r="BW7" s="316" t="s">
        <v>141</v>
      </c>
      <c r="BX7" s="316"/>
      <c r="BY7" s="318" t="s">
        <v>82</v>
      </c>
      <c r="BZ7" s="318"/>
      <c r="CA7" s="319" t="s">
        <v>96</v>
      </c>
      <c r="CB7" s="320"/>
      <c r="CC7" s="316" t="s">
        <v>17</v>
      </c>
      <c r="CD7" s="316"/>
      <c r="CE7" s="318" t="s">
        <v>83</v>
      </c>
      <c r="CF7" s="318"/>
      <c r="CG7" s="319" t="s">
        <v>96</v>
      </c>
      <c r="CH7" s="320"/>
      <c r="CI7" s="316" t="s">
        <v>18</v>
      </c>
      <c r="CJ7" s="316"/>
      <c r="CK7" s="318" t="s">
        <v>84</v>
      </c>
      <c r="CL7" s="318"/>
      <c r="CM7" s="319" t="s">
        <v>96</v>
      </c>
      <c r="CN7" s="320"/>
      <c r="CO7" s="316" t="s">
        <v>19</v>
      </c>
      <c r="CP7" s="316"/>
      <c r="CQ7" s="318" t="s">
        <v>85</v>
      </c>
      <c r="CR7" s="318"/>
      <c r="CS7" s="319" t="s">
        <v>96</v>
      </c>
      <c r="CT7" s="320"/>
      <c r="CU7" s="316" t="s">
        <v>20</v>
      </c>
      <c r="CV7" s="316"/>
      <c r="CW7" s="318" t="s">
        <v>86</v>
      </c>
      <c r="CX7" s="318"/>
      <c r="CY7" s="319" t="s">
        <v>96</v>
      </c>
      <c r="CZ7" s="320"/>
      <c r="DA7" s="316" t="s">
        <v>21</v>
      </c>
      <c r="DB7" s="316"/>
      <c r="DC7" s="318" t="s">
        <v>87</v>
      </c>
      <c r="DD7" s="318"/>
      <c r="DE7" s="319" t="s">
        <v>96</v>
      </c>
      <c r="DF7" s="320"/>
      <c r="DG7" s="316" t="s">
        <v>22</v>
      </c>
      <c r="DH7" s="316"/>
      <c r="DI7" s="318" t="s">
        <v>88</v>
      </c>
      <c r="DJ7" s="318"/>
      <c r="DK7" s="319" t="s">
        <v>96</v>
      </c>
      <c r="DL7" s="320"/>
      <c r="DM7" s="316" t="s">
        <v>23</v>
      </c>
      <c r="DN7" s="316"/>
      <c r="DO7" s="317" t="str">
        <f>'бюджет округа (района)'!BI7:BI7</f>
        <v>Ожидаемая оценка на __________</v>
      </c>
      <c r="DP7" s="317"/>
      <c r="DQ7" s="337"/>
      <c r="DR7" s="338"/>
      <c r="DS7" s="339"/>
      <c r="DT7" s="339"/>
      <c r="DU7" s="339"/>
      <c r="DV7" s="339"/>
      <c r="DW7" s="164"/>
      <c r="DX7" s="118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19"/>
      <c r="JD7" s="119"/>
      <c r="JE7" s="119"/>
      <c r="JF7" s="119"/>
      <c r="JG7" s="119"/>
      <c r="JH7" s="119"/>
    </row>
    <row r="8" spans="1:268" s="12" customFormat="1" ht="52.5" customHeight="1">
      <c r="A8" s="327"/>
      <c r="B8" s="328"/>
      <c r="C8" s="95" t="s">
        <v>26</v>
      </c>
      <c r="D8" s="95" t="s">
        <v>24</v>
      </c>
      <c r="E8" s="128" t="s">
        <v>26</v>
      </c>
      <c r="F8" s="128" t="s">
        <v>24</v>
      </c>
      <c r="G8" s="95" t="str">
        <f>E8</f>
        <v>консолиди-                       рованный бюджет района</v>
      </c>
      <c r="H8" s="95" t="str">
        <f>F8</f>
        <v>в т.ч. бюджет района</v>
      </c>
      <c r="I8" s="95" t="str">
        <f t="shared" ref="I8:AX8" si="0">G8</f>
        <v>консолиди-                       рованный бюджет района</v>
      </c>
      <c r="J8" s="95" t="str">
        <f t="shared" si="0"/>
        <v>в т.ч. бюджет района</v>
      </c>
      <c r="K8" s="128" t="str">
        <f t="shared" si="0"/>
        <v>консолиди-                       рованный бюджет района</v>
      </c>
      <c r="L8" s="128" t="str">
        <f t="shared" si="0"/>
        <v>в т.ч. бюджет района</v>
      </c>
      <c r="M8" s="95" t="str">
        <f t="shared" si="0"/>
        <v>консолиди-                       рованный бюджет района</v>
      </c>
      <c r="N8" s="95" t="str">
        <f t="shared" si="0"/>
        <v>в т.ч. бюджет района</v>
      </c>
      <c r="O8" s="128" t="str">
        <f t="shared" si="0"/>
        <v>консолиди-                       рованный бюджет района</v>
      </c>
      <c r="P8" s="128" t="str">
        <f t="shared" si="0"/>
        <v>в т.ч. бюджет района</v>
      </c>
      <c r="Q8" s="95" t="str">
        <f t="shared" si="0"/>
        <v>консолиди-                       рованный бюджет района</v>
      </c>
      <c r="R8" s="95" t="str">
        <f t="shared" si="0"/>
        <v>в т.ч. бюджет района</v>
      </c>
      <c r="S8" s="128" t="str">
        <f t="shared" si="0"/>
        <v>консолиди-                       рованный бюджет района</v>
      </c>
      <c r="T8" s="128" t="str">
        <f t="shared" si="0"/>
        <v>в т.ч. бюджет района</v>
      </c>
      <c r="U8" s="95" t="str">
        <f t="shared" si="0"/>
        <v>консолиди-                       рованный бюджет района</v>
      </c>
      <c r="V8" s="95" t="str">
        <f t="shared" si="0"/>
        <v>в т.ч. бюджет района</v>
      </c>
      <c r="W8" s="128" t="str">
        <f t="shared" si="0"/>
        <v>консолиди-                       рованный бюджет района</v>
      </c>
      <c r="X8" s="128" t="str">
        <f t="shared" si="0"/>
        <v>в т.ч. бюджет района</v>
      </c>
      <c r="Y8" s="95" t="str">
        <f t="shared" si="0"/>
        <v>консолиди-                       рованный бюджет района</v>
      </c>
      <c r="Z8" s="95" t="str">
        <f t="shared" si="0"/>
        <v>в т.ч. бюджет района</v>
      </c>
      <c r="AA8" s="128" t="str">
        <f t="shared" si="0"/>
        <v>консолиди-                       рованный бюджет района</v>
      </c>
      <c r="AB8" s="128" t="str">
        <f t="shared" si="0"/>
        <v>в т.ч. бюджет района</v>
      </c>
      <c r="AC8" s="95" t="str">
        <f t="shared" si="0"/>
        <v>консолиди-                       рованный бюджет района</v>
      </c>
      <c r="AD8" s="95" t="str">
        <f t="shared" si="0"/>
        <v>в т.ч. бюджет района</v>
      </c>
      <c r="AE8" s="128" t="str">
        <f t="shared" si="0"/>
        <v>консолиди-                       рованный бюджет района</v>
      </c>
      <c r="AF8" s="128" t="str">
        <f t="shared" si="0"/>
        <v>в т.ч. бюджет района</v>
      </c>
      <c r="AG8" s="95" t="str">
        <f t="shared" si="0"/>
        <v>консолиди-                       рованный бюджет района</v>
      </c>
      <c r="AH8" s="95" t="str">
        <f t="shared" si="0"/>
        <v>в т.ч. бюджет района</v>
      </c>
      <c r="AI8" s="128" t="str">
        <f t="shared" si="0"/>
        <v>консолиди-                       рованный бюджет района</v>
      </c>
      <c r="AJ8" s="128" t="str">
        <f t="shared" si="0"/>
        <v>в т.ч. бюджет района</v>
      </c>
      <c r="AK8" s="95" t="str">
        <f t="shared" si="0"/>
        <v>консолиди-                       рованный бюджет района</v>
      </c>
      <c r="AL8" s="95" t="str">
        <f t="shared" si="0"/>
        <v>в т.ч. бюджет района</v>
      </c>
      <c r="AM8" s="128" t="str">
        <f t="shared" si="0"/>
        <v>консолиди-                       рованный бюджет района</v>
      </c>
      <c r="AN8" s="128" t="str">
        <f t="shared" si="0"/>
        <v>в т.ч. бюджет района</v>
      </c>
      <c r="AO8" s="95" t="str">
        <f t="shared" si="0"/>
        <v>консолиди-                       рованный бюджет района</v>
      </c>
      <c r="AP8" s="95" t="str">
        <f t="shared" si="0"/>
        <v>в т.ч. бюджет района</v>
      </c>
      <c r="AQ8" s="128" t="str">
        <f t="shared" si="0"/>
        <v>консолиди-                       рованный бюджет района</v>
      </c>
      <c r="AR8" s="128" t="str">
        <f t="shared" si="0"/>
        <v>в т.ч. бюджет района</v>
      </c>
      <c r="AS8" s="95" t="str">
        <f t="shared" si="0"/>
        <v>консолиди-                       рованный бюджет района</v>
      </c>
      <c r="AT8" s="95" t="str">
        <f t="shared" si="0"/>
        <v>в т.ч. бюджет района</v>
      </c>
      <c r="AU8" s="128" t="str">
        <f t="shared" si="0"/>
        <v>консолиди-                       рованный бюджет района</v>
      </c>
      <c r="AV8" s="128" t="str">
        <f t="shared" si="0"/>
        <v>в т.ч. бюджет района</v>
      </c>
      <c r="AW8" s="95" t="str">
        <f t="shared" si="0"/>
        <v>консолиди-                       рованный бюджет района</v>
      </c>
      <c r="AX8" s="95" t="str">
        <f t="shared" si="0"/>
        <v>в т.ч. бюджет района</v>
      </c>
      <c r="AY8" s="95" t="str">
        <f>E8</f>
        <v>консолиди-                       рованный бюджет района</v>
      </c>
      <c r="AZ8" s="95" t="s">
        <v>24</v>
      </c>
      <c r="BA8" s="128" t="str">
        <f>AY8</f>
        <v>консолиди-                       рованный бюджет района</v>
      </c>
      <c r="BB8" s="128" t="s">
        <v>25</v>
      </c>
      <c r="BC8" s="95" t="s">
        <v>27</v>
      </c>
      <c r="BD8" s="95" t="s">
        <v>24</v>
      </c>
      <c r="BE8" s="95" t="s">
        <v>27</v>
      </c>
      <c r="BF8" s="95" t="s">
        <v>24</v>
      </c>
      <c r="BG8" s="128" t="str">
        <f t="shared" ref="BG8:BJ8" si="1">BE8</f>
        <v>консолидированный бюджет района</v>
      </c>
      <c r="BH8" s="128" t="str">
        <f t="shared" si="1"/>
        <v>в т.ч. бюджет района</v>
      </c>
      <c r="BI8" s="128" t="str">
        <f t="shared" si="1"/>
        <v>консолидированный бюджет района</v>
      </c>
      <c r="BJ8" s="128" t="str">
        <f t="shared" si="1"/>
        <v>в т.ч. бюджет района</v>
      </c>
      <c r="BK8" s="95" t="s">
        <v>27</v>
      </c>
      <c r="BL8" s="95" t="s">
        <v>24</v>
      </c>
      <c r="BM8" s="128" t="str">
        <f t="shared" ref="BM8:BP8" si="2">BK8</f>
        <v>консолидированный бюджет района</v>
      </c>
      <c r="BN8" s="128" t="str">
        <f t="shared" si="2"/>
        <v>в т.ч. бюджет района</v>
      </c>
      <c r="BO8" s="128" t="str">
        <f t="shared" si="2"/>
        <v>консолидированный бюджет района</v>
      </c>
      <c r="BP8" s="128" t="str">
        <f t="shared" si="2"/>
        <v>в т.ч. бюджет района</v>
      </c>
      <c r="BQ8" s="95" t="str">
        <f t="shared" ref="BQ8:BR8" si="3">BM8</f>
        <v>консолидированный бюджет района</v>
      </c>
      <c r="BR8" s="95" t="str">
        <f t="shared" si="3"/>
        <v>в т.ч. бюджет района</v>
      </c>
      <c r="BS8" s="128" t="str">
        <f t="shared" ref="BS8:BV8" si="4">BQ8</f>
        <v>консолидированный бюджет района</v>
      </c>
      <c r="BT8" s="128" t="str">
        <f t="shared" si="4"/>
        <v>в т.ч. бюджет района</v>
      </c>
      <c r="BU8" s="128" t="str">
        <f t="shared" si="4"/>
        <v>консолидированный бюджет района</v>
      </c>
      <c r="BV8" s="128" t="str">
        <f t="shared" si="4"/>
        <v>в т.ч. бюджет района</v>
      </c>
      <c r="BW8" s="95" t="str">
        <f t="shared" ref="BW8:BX8" si="5">BS8</f>
        <v>консолидированный бюджет района</v>
      </c>
      <c r="BX8" s="95" t="str">
        <f t="shared" si="5"/>
        <v>в т.ч. бюджет района</v>
      </c>
      <c r="BY8" s="128" t="str">
        <f t="shared" ref="BY8:CB8" si="6">BW8</f>
        <v>консолидированный бюджет района</v>
      </c>
      <c r="BZ8" s="128" t="str">
        <f t="shared" si="6"/>
        <v>в т.ч. бюджет района</v>
      </c>
      <c r="CA8" s="128" t="str">
        <f t="shared" si="6"/>
        <v>консолидированный бюджет района</v>
      </c>
      <c r="CB8" s="128" t="str">
        <f t="shared" si="6"/>
        <v>в т.ч. бюджет района</v>
      </c>
      <c r="CC8" s="95" t="str">
        <f t="shared" ref="CC8:CD8" si="7">BY8</f>
        <v>консолидированный бюджет района</v>
      </c>
      <c r="CD8" s="95" t="str">
        <f t="shared" si="7"/>
        <v>в т.ч. бюджет района</v>
      </c>
      <c r="CE8" s="128" t="str">
        <f t="shared" ref="CE8:CH8" si="8">CC8</f>
        <v>консолидированный бюджет района</v>
      </c>
      <c r="CF8" s="128" t="str">
        <f t="shared" si="8"/>
        <v>в т.ч. бюджет района</v>
      </c>
      <c r="CG8" s="128" t="str">
        <f t="shared" si="8"/>
        <v>консолидированный бюджет района</v>
      </c>
      <c r="CH8" s="128" t="str">
        <f t="shared" si="8"/>
        <v>в т.ч. бюджет района</v>
      </c>
      <c r="CI8" s="95" t="str">
        <f t="shared" ref="CI8:CJ8" si="9">CE8</f>
        <v>консолидированный бюджет района</v>
      </c>
      <c r="CJ8" s="95" t="str">
        <f t="shared" si="9"/>
        <v>в т.ч. бюджет района</v>
      </c>
      <c r="CK8" s="128" t="str">
        <f t="shared" ref="CK8:CN8" si="10">CI8</f>
        <v>консолидированный бюджет района</v>
      </c>
      <c r="CL8" s="128" t="str">
        <f t="shared" si="10"/>
        <v>в т.ч. бюджет района</v>
      </c>
      <c r="CM8" s="128" t="str">
        <f t="shared" si="10"/>
        <v>консолидированный бюджет района</v>
      </c>
      <c r="CN8" s="128" t="str">
        <f t="shared" si="10"/>
        <v>в т.ч. бюджет района</v>
      </c>
      <c r="CO8" s="95" t="str">
        <f t="shared" ref="CO8:CP8" si="11">CK8</f>
        <v>консолидированный бюджет района</v>
      </c>
      <c r="CP8" s="95" t="str">
        <f t="shared" si="11"/>
        <v>в т.ч. бюджет района</v>
      </c>
      <c r="CQ8" s="128" t="str">
        <f t="shared" ref="CQ8:CT8" si="12">CO8</f>
        <v>консолидированный бюджет района</v>
      </c>
      <c r="CR8" s="128" t="str">
        <f t="shared" si="12"/>
        <v>в т.ч. бюджет района</v>
      </c>
      <c r="CS8" s="128" t="str">
        <f t="shared" si="12"/>
        <v>консолидированный бюджет района</v>
      </c>
      <c r="CT8" s="128" t="str">
        <f t="shared" si="12"/>
        <v>в т.ч. бюджет района</v>
      </c>
      <c r="CU8" s="95" t="str">
        <f t="shared" ref="CU8:CV8" si="13">CQ8</f>
        <v>консолидированный бюджет района</v>
      </c>
      <c r="CV8" s="95" t="str">
        <f t="shared" si="13"/>
        <v>в т.ч. бюджет района</v>
      </c>
      <c r="CW8" s="128" t="str">
        <f t="shared" ref="CW8:CZ8" si="14">CU8</f>
        <v>консолидированный бюджет района</v>
      </c>
      <c r="CX8" s="128" t="str">
        <f t="shared" si="14"/>
        <v>в т.ч. бюджет района</v>
      </c>
      <c r="CY8" s="128" t="str">
        <f t="shared" si="14"/>
        <v>консолидированный бюджет района</v>
      </c>
      <c r="CZ8" s="128" t="str">
        <f t="shared" si="14"/>
        <v>в т.ч. бюджет района</v>
      </c>
      <c r="DA8" s="95" t="str">
        <f t="shared" ref="DA8:DB8" si="15">CW8</f>
        <v>консолидированный бюджет района</v>
      </c>
      <c r="DB8" s="95" t="str">
        <f t="shared" si="15"/>
        <v>в т.ч. бюджет района</v>
      </c>
      <c r="DC8" s="128" t="str">
        <f t="shared" ref="DC8:DF8" si="16">DA8</f>
        <v>консолидированный бюджет района</v>
      </c>
      <c r="DD8" s="128" t="str">
        <f t="shared" si="16"/>
        <v>в т.ч. бюджет района</v>
      </c>
      <c r="DE8" s="128" t="str">
        <f t="shared" si="16"/>
        <v>консолидированный бюджет района</v>
      </c>
      <c r="DF8" s="128" t="str">
        <f t="shared" si="16"/>
        <v>в т.ч. бюджет района</v>
      </c>
      <c r="DG8" s="95" t="str">
        <f t="shared" ref="DG8:DH8" si="17">DC8</f>
        <v>консолидированный бюджет района</v>
      </c>
      <c r="DH8" s="95" t="str">
        <f t="shared" si="17"/>
        <v>в т.ч. бюджет района</v>
      </c>
      <c r="DI8" s="128" t="str">
        <f t="shared" ref="DI8:DL8" si="18">DG8</f>
        <v>консолидированный бюджет района</v>
      </c>
      <c r="DJ8" s="128" t="str">
        <f t="shared" si="18"/>
        <v>в т.ч. бюджет района</v>
      </c>
      <c r="DK8" s="128" t="str">
        <f t="shared" si="18"/>
        <v>консолидированный бюджет района</v>
      </c>
      <c r="DL8" s="128" t="str">
        <f t="shared" si="18"/>
        <v>в т.ч. бюджет района</v>
      </c>
      <c r="DM8" s="95" t="str">
        <f t="shared" ref="DM8:DN8" si="19">DI8</f>
        <v>консолидированный бюджет района</v>
      </c>
      <c r="DN8" s="95" t="str">
        <f t="shared" si="19"/>
        <v>в т.ч. бюджет района</v>
      </c>
      <c r="DO8" s="95" t="s">
        <v>27</v>
      </c>
      <c r="DP8" s="95" t="s">
        <v>24</v>
      </c>
      <c r="DQ8" s="95" t="s">
        <v>27</v>
      </c>
      <c r="DR8" s="95" t="s">
        <v>24</v>
      </c>
      <c r="DS8" s="128" t="s">
        <v>28</v>
      </c>
      <c r="DT8" s="129" t="s">
        <v>25</v>
      </c>
      <c r="DU8" s="128" t="s">
        <v>28</v>
      </c>
      <c r="DV8" s="129" t="s">
        <v>25</v>
      </c>
      <c r="DW8" s="14"/>
      <c r="DX8" s="15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</row>
    <row r="9" spans="1:268" s="18" customFormat="1" ht="23.25" customHeight="1">
      <c r="A9" s="279" t="s">
        <v>29</v>
      </c>
      <c r="B9" s="280"/>
      <c r="C9" s="130">
        <f>C10+C27</f>
        <v>0</v>
      </c>
      <c r="D9" s="130">
        <f t="shared" ref="D9:AF9" si="20">D10+D27</f>
        <v>0</v>
      </c>
      <c r="E9" s="130">
        <f t="shared" si="20"/>
        <v>0</v>
      </c>
      <c r="F9" s="130">
        <f t="shared" si="20"/>
        <v>0</v>
      </c>
      <c r="G9" s="130">
        <f>G10+G27</f>
        <v>0</v>
      </c>
      <c r="H9" s="130">
        <f t="shared" ref="H9" si="21">H10+H27</f>
        <v>0</v>
      </c>
      <c r="I9" s="130">
        <f>I10+I27</f>
        <v>0</v>
      </c>
      <c r="J9" s="130">
        <f t="shared" ref="J9" si="22">J10+J27</f>
        <v>0</v>
      </c>
      <c r="K9" s="130">
        <f t="shared" si="20"/>
        <v>0</v>
      </c>
      <c r="L9" s="130">
        <f t="shared" si="20"/>
        <v>0</v>
      </c>
      <c r="M9" s="130">
        <f>M10+M27</f>
        <v>0</v>
      </c>
      <c r="N9" s="130">
        <f t="shared" ref="N9" si="23">N10+N27</f>
        <v>0</v>
      </c>
      <c r="O9" s="130">
        <f t="shared" si="20"/>
        <v>0</v>
      </c>
      <c r="P9" s="130">
        <f t="shared" si="20"/>
        <v>0</v>
      </c>
      <c r="Q9" s="130">
        <f>Q10+Q27</f>
        <v>0</v>
      </c>
      <c r="R9" s="130">
        <f t="shared" ref="R9" si="24">R10+R27</f>
        <v>0</v>
      </c>
      <c r="S9" s="130">
        <f t="shared" si="20"/>
        <v>0</v>
      </c>
      <c r="T9" s="130">
        <f t="shared" si="20"/>
        <v>0</v>
      </c>
      <c r="U9" s="130">
        <f>U10+U27</f>
        <v>0</v>
      </c>
      <c r="V9" s="130">
        <f t="shared" ref="V9" si="25">V10+V27</f>
        <v>0</v>
      </c>
      <c r="W9" s="130">
        <f t="shared" si="20"/>
        <v>0</v>
      </c>
      <c r="X9" s="130">
        <f t="shared" si="20"/>
        <v>0</v>
      </c>
      <c r="Y9" s="130">
        <f>Y10+Y27</f>
        <v>0</v>
      </c>
      <c r="Z9" s="130">
        <f t="shared" ref="Z9" si="26">Z10+Z27</f>
        <v>0</v>
      </c>
      <c r="AA9" s="130">
        <f t="shared" si="20"/>
        <v>0</v>
      </c>
      <c r="AB9" s="130">
        <f t="shared" si="20"/>
        <v>0</v>
      </c>
      <c r="AC9" s="130">
        <f>AC10+AC27</f>
        <v>0</v>
      </c>
      <c r="AD9" s="130">
        <f t="shared" ref="AD9" si="27">AD10+AD27</f>
        <v>0</v>
      </c>
      <c r="AE9" s="130">
        <f t="shared" si="20"/>
        <v>0</v>
      </c>
      <c r="AF9" s="130">
        <f t="shared" si="20"/>
        <v>0</v>
      </c>
      <c r="AG9" s="130">
        <f>AG10+AG27</f>
        <v>0</v>
      </c>
      <c r="AH9" s="130">
        <f t="shared" ref="AH9:AJ9" si="28">AH10+AH27</f>
        <v>0</v>
      </c>
      <c r="AI9" s="130">
        <f t="shared" si="28"/>
        <v>0</v>
      </c>
      <c r="AJ9" s="130">
        <f t="shared" si="28"/>
        <v>0</v>
      </c>
      <c r="AK9" s="130">
        <f>AK10+AK27</f>
        <v>0</v>
      </c>
      <c r="AL9" s="130">
        <f t="shared" ref="AL9:AN9" si="29">AL10+AL27</f>
        <v>0</v>
      </c>
      <c r="AM9" s="130">
        <f t="shared" si="29"/>
        <v>0</v>
      </c>
      <c r="AN9" s="130">
        <f t="shared" si="29"/>
        <v>0</v>
      </c>
      <c r="AO9" s="130">
        <f>AO10+AO27</f>
        <v>0</v>
      </c>
      <c r="AP9" s="130">
        <f t="shared" ref="AP9:AR9" si="30">AP10+AP27</f>
        <v>0</v>
      </c>
      <c r="AQ9" s="130">
        <f t="shared" si="30"/>
        <v>0</v>
      </c>
      <c r="AR9" s="130">
        <f t="shared" si="30"/>
        <v>0</v>
      </c>
      <c r="AS9" s="130">
        <f>AS10+AS27</f>
        <v>0</v>
      </c>
      <c r="AT9" s="130">
        <f t="shared" ref="AT9:AV9" si="31">AT10+AT27</f>
        <v>0</v>
      </c>
      <c r="AU9" s="130">
        <f t="shared" si="31"/>
        <v>0</v>
      </c>
      <c r="AV9" s="130">
        <f t="shared" si="31"/>
        <v>0</v>
      </c>
      <c r="AW9" s="130">
        <f>AW10+AW27</f>
        <v>0</v>
      </c>
      <c r="AX9" s="130">
        <f t="shared" ref="AX9" si="32">AX10+AX27</f>
        <v>0</v>
      </c>
      <c r="AY9" s="130">
        <f>AY10+AY27</f>
        <v>0</v>
      </c>
      <c r="AZ9" s="130">
        <f t="shared" ref="AZ9" si="33">AZ10+AZ27</f>
        <v>0</v>
      </c>
      <c r="BA9" s="131">
        <f>IF(E9=0,1,AY9/E9-1)</f>
        <v>1</v>
      </c>
      <c r="BB9" s="131">
        <f>IF(F9=0,1,AZ9/F9-1)</f>
        <v>1</v>
      </c>
      <c r="BC9" s="130">
        <f>BC10+BC27</f>
        <v>0</v>
      </c>
      <c r="BD9" s="130">
        <f t="shared" ref="BD9" si="34">BD10+BD27</f>
        <v>0</v>
      </c>
      <c r="BE9" s="130">
        <f>BE10+BE27</f>
        <v>0</v>
      </c>
      <c r="BF9" s="130">
        <f t="shared" ref="BF9:BH9" si="35">BF10+BF27</f>
        <v>0</v>
      </c>
      <c r="BG9" s="130">
        <f t="shared" si="35"/>
        <v>0</v>
      </c>
      <c r="BH9" s="130">
        <f t="shared" si="35"/>
        <v>0</v>
      </c>
      <c r="BI9" s="131">
        <f t="shared" ref="BI9:BJ40" si="36">IF(K9=0,1,BG9/K9-1)</f>
        <v>1</v>
      </c>
      <c r="BJ9" s="131">
        <f t="shared" si="36"/>
        <v>1</v>
      </c>
      <c r="BK9" s="130">
        <f>BK10+BK27</f>
        <v>0</v>
      </c>
      <c r="BL9" s="130">
        <f t="shared" ref="BL9:DJ9" si="37">BL10+BL27</f>
        <v>0</v>
      </c>
      <c r="BM9" s="130">
        <f t="shared" si="37"/>
        <v>0</v>
      </c>
      <c r="BN9" s="130">
        <f t="shared" si="37"/>
        <v>0</v>
      </c>
      <c r="BO9" s="131">
        <f t="shared" ref="BO9:BP40" si="38">IF(O9=0,1,BM9/O9-1)</f>
        <v>1</v>
      </c>
      <c r="BP9" s="131">
        <f t="shared" si="38"/>
        <v>1</v>
      </c>
      <c r="BQ9" s="130">
        <f>BQ10+BQ27</f>
        <v>0</v>
      </c>
      <c r="BR9" s="130">
        <f t="shared" ref="BR9" si="39">BR10+BR27</f>
        <v>0</v>
      </c>
      <c r="BS9" s="130">
        <f t="shared" si="37"/>
        <v>0</v>
      </c>
      <c r="BT9" s="130">
        <f t="shared" si="37"/>
        <v>0</v>
      </c>
      <c r="BU9" s="131">
        <f t="shared" ref="BU9:BV40" si="40">IF(S9=0,1,BS9/S9-1)</f>
        <v>1</v>
      </c>
      <c r="BV9" s="131">
        <f t="shared" si="40"/>
        <v>1</v>
      </c>
      <c r="BW9" s="130">
        <f>BW10+BW27</f>
        <v>0</v>
      </c>
      <c r="BX9" s="130">
        <f t="shared" ref="BX9" si="41">BX10+BX27</f>
        <v>0</v>
      </c>
      <c r="BY9" s="130">
        <f t="shared" si="37"/>
        <v>0</v>
      </c>
      <c r="BZ9" s="130">
        <f t="shared" si="37"/>
        <v>0</v>
      </c>
      <c r="CA9" s="131">
        <f t="shared" ref="CA9:CB40" si="42">IF(W9=0,1,BY9/W9-1)</f>
        <v>1</v>
      </c>
      <c r="CB9" s="131">
        <f t="shared" si="42"/>
        <v>1</v>
      </c>
      <c r="CC9" s="130">
        <f>CC10+CC27</f>
        <v>0</v>
      </c>
      <c r="CD9" s="130">
        <f t="shared" ref="CD9" si="43">CD10+CD27</f>
        <v>0</v>
      </c>
      <c r="CE9" s="130">
        <f t="shared" si="37"/>
        <v>0</v>
      </c>
      <c r="CF9" s="130">
        <f t="shared" si="37"/>
        <v>0</v>
      </c>
      <c r="CG9" s="131">
        <f t="shared" ref="CG9:CH40" si="44">IF(AA9=0,1,CE9/AA9-1)</f>
        <v>1</v>
      </c>
      <c r="CH9" s="131">
        <f t="shared" si="44"/>
        <v>1</v>
      </c>
      <c r="CI9" s="130">
        <f>CI10+CI27</f>
        <v>0</v>
      </c>
      <c r="CJ9" s="130">
        <f t="shared" ref="CJ9" si="45">CJ10+CJ27</f>
        <v>0</v>
      </c>
      <c r="CK9" s="130">
        <f t="shared" si="37"/>
        <v>0</v>
      </c>
      <c r="CL9" s="130">
        <f t="shared" si="37"/>
        <v>0</v>
      </c>
      <c r="CM9" s="131">
        <f t="shared" ref="CM9:CN40" si="46">IF(AE9=0,1,CK9/AE9-1)</f>
        <v>1</v>
      </c>
      <c r="CN9" s="131">
        <f t="shared" si="46"/>
        <v>1</v>
      </c>
      <c r="CO9" s="130">
        <f>CO10+CO27</f>
        <v>0</v>
      </c>
      <c r="CP9" s="130">
        <f t="shared" ref="CP9" si="47">CP10+CP27</f>
        <v>0</v>
      </c>
      <c r="CQ9" s="130">
        <f t="shared" si="37"/>
        <v>0</v>
      </c>
      <c r="CR9" s="130">
        <f t="shared" si="37"/>
        <v>0</v>
      </c>
      <c r="CS9" s="131">
        <f t="shared" ref="CS9:CT40" si="48">IF(AI9=0,1,CQ9/AI9-1)</f>
        <v>1</v>
      </c>
      <c r="CT9" s="131">
        <f t="shared" si="48"/>
        <v>1</v>
      </c>
      <c r="CU9" s="130">
        <f>CU10+CU27</f>
        <v>0</v>
      </c>
      <c r="CV9" s="130">
        <f t="shared" ref="CV9" si="49">CV10+CV27</f>
        <v>0</v>
      </c>
      <c r="CW9" s="130">
        <f t="shared" si="37"/>
        <v>0</v>
      </c>
      <c r="CX9" s="130">
        <f t="shared" si="37"/>
        <v>0</v>
      </c>
      <c r="CY9" s="131">
        <f t="shared" ref="CY9:CZ40" si="50">IF(AM9=0,1,CW9/AM9-1)</f>
        <v>1</v>
      </c>
      <c r="CZ9" s="131">
        <f t="shared" si="50"/>
        <v>1</v>
      </c>
      <c r="DA9" s="130">
        <f>DA10+DA27</f>
        <v>0</v>
      </c>
      <c r="DB9" s="130">
        <f t="shared" ref="DB9" si="51">DB10+DB27</f>
        <v>0</v>
      </c>
      <c r="DC9" s="130">
        <f t="shared" si="37"/>
        <v>0</v>
      </c>
      <c r="DD9" s="130">
        <f t="shared" si="37"/>
        <v>0</v>
      </c>
      <c r="DE9" s="131">
        <f t="shared" ref="DE9:DF40" si="52">IF(AQ9=0,1,DC9/AQ9-1)</f>
        <v>1</v>
      </c>
      <c r="DF9" s="131">
        <f t="shared" si="52"/>
        <v>1</v>
      </c>
      <c r="DG9" s="130">
        <f>DG10+DG27</f>
        <v>0</v>
      </c>
      <c r="DH9" s="130">
        <f t="shared" ref="DH9" si="53">DH10+DH27</f>
        <v>0</v>
      </c>
      <c r="DI9" s="130">
        <f t="shared" si="37"/>
        <v>0</v>
      </c>
      <c r="DJ9" s="130">
        <f t="shared" si="37"/>
        <v>0</v>
      </c>
      <c r="DK9" s="131">
        <f t="shared" ref="DK9:DL40" si="54">IF(AU9=0,1,DI9/AU9-1)</f>
        <v>1</v>
      </c>
      <c r="DL9" s="131">
        <f t="shared" si="54"/>
        <v>1</v>
      </c>
      <c r="DM9" s="130">
        <f>DM10+DM27</f>
        <v>0</v>
      </c>
      <c r="DN9" s="130">
        <f t="shared" ref="DN9" si="55">DN10+DN27</f>
        <v>0</v>
      </c>
      <c r="DO9" s="130">
        <f>DO10+DO27</f>
        <v>0</v>
      </c>
      <c r="DP9" s="130">
        <f t="shared" ref="DP9" si="56">DP10+DP27</f>
        <v>0</v>
      </c>
      <c r="DQ9" s="130">
        <f>DQ10+DQ27</f>
        <v>0</v>
      </c>
      <c r="DR9" s="130">
        <f t="shared" ref="DR9" si="57">DR10+DR27</f>
        <v>0</v>
      </c>
      <c r="DS9" s="131">
        <f>IF($AY$9=0,1,DQ9/$AY$9-1)</f>
        <v>1</v>
      </c>
      <c r="DT9" s="131">
        <f>IF($AZ$9=0,1,DR9/$AZ$9-1)</f>
        <v>1</v>
      </c>
      <c r="DU9" s="131">
        <f t="shared" ref="DU9:DU63" si="58">IF($E9=0,1,DQ9/$E9-1)</f>
        <v>1</v>
      </c>
      <c r="DV9" s="131">
        <f t="shared" ref="DV9:DV63" si="59">IF($F9=0,1,DR9/$F9-1)</f>
        <v>1</v>
      </c>
      <c r="DW9" s="165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</row>
    <row r="10" spans="1:268" s="59" customFormat="1" ht="18" customHeight="1">
      <c r="A10" s="314" t="s">
        <v>30</v>
      </c>
      <c r="B10" s="315"/>
      <c r="C10" s="132">
        <f t="shared" ref="C10" si="60">C11+C13+C14+C15+C16+C17+C18+C19+C20+C21+C22+C23+C25+C26+C24</f>
        <v>0</v>
      </c>
      <c r="D10" s="132">
        <f t="shared" ref="D10" si="61">D11+D13+D14+D17+D18+D19+D20+D21+D22+D23+D25+D26+D24</f>
        <v>0</v>
      </c>
      <c r="E10" s="132">
        <f t="shared" ref="E10" si="62">E11+E13+E14+E15+E16+E17+E18+E19+E20+E21+E22+E23+E25+E26+E24</f>
        <v>0</v>
      </c>
      <c r="F10" s="132">
        <f t="shared" ref="F10" si="63">F11+F13+F14+F17+F18+F19+F20+F21+F22+F23+F25+F26+F24</f>
        <v>0</v>
      </c>
      <c r="G10" s="132">
        <f t="shared" ref="G10" si="64">G11+G13+G14+G15+G16+G17+G18+G19+G20+G21+G22+G23+G25+G26+G24</f>
        <v>0</v>
      </c>
      <c r="H10" s="132">
        <f t="shared" ref="H10" si="65">H11+H13+H14+H17+H18+H19+H20+H21+H22+H23+H25+H26+H24</f>
        <v>0</v>
      </c>
      <c r="I10" s="132">
        <f t="shared" ref="I10" si="66">I11+I13+I14+I15+I16+I17+I18+I19+I20+I21+I22+I23+I25+I26+I24</f>
        <v>0</v>
      </c>
      <c r="J10" s="132">
        <f t="shared" ref="J10" si="67">J11+J13+J14+J17+J18+J19+J20+J21+J22+J23+J25+J26+J24</f>
        <v>0</v>
      </c>
      <c r="K10" s="132">
        <f t="shared" ref="K10" si="68">K11+K13+K14+K15+K16+K17+K18+K19+K20+K21+K22+K23+K25+K26+K24</f>
        <v>0</v>
      </c>
      <c r="L10" s="132">
        <f t="shared" ref="L10" si="69">L11+L13+L14+L17+L18+L19+L20+L21+L22+L23+L25+L26+L24</f>
        <v>0</v>
      </c>
      <c r="M10" s="132">
        <f t="shared" ref="M10" si="70">M11+M13+M14+M15+M16+M17+M18+M19+M20+M21+M22+M23+M25+M26+M24</f>
        <v>0</v>
      </c>
      <c r="N10" s="132">
        <f t="shared" ref="N10" si="71">N11+N13+N14+N17+N18+N19+N20+N21+N22+N23+N25+N26+N24</f>
        <v>0</v>
      </c>
      <c r="O10" s="132">
        <f t="shared" ref="O10" si="72">O11+O13+O14+O15+O16+O17+O18+O19+O20+O21+O22+O23+O25+O26+O24</f>
        <v>0</v>
      </c>
      <c r="P10" s="132">
        <f t="shared" ref="P10" si="73">P11+P13+P14+P17+P18+P19+P20+P21+P22+P23+P25+P26+P24</f>
        <v>0</v>
      </c>
      <c r="Q10" s="132">
        <f t="shared" ref="Q10" si="74">Q11+Q13+Q14+Q15+Q16+Q17+Q18+Q19+Q20+Q21+Q22+Q23+Q25+Q26+Q24</f>
        <v>0</v>
      </c>
      <c r="R10" s="132">
        <f t="shared" ref="R10" si="75">R11+R13+R14+R17+R18+R19+R20+R21+R22+R23+R25+R26+R24</f>
        <v>0</v>
      </c>
      <c r="S10" s="132">
        <f t="shared" ref="S10" si="76">S11+S13+S14+S15+S16+S17+S18+S19+S20+S21+S22+S23+S25+S26+S24</f>
        <v>0</v>
      </c>
      <c r="T10" s="132">
        <f t="shared" ref="T10" si="77">T11+T13+T14+T17+T18+T19+T20+T21+T22+T23+T25+T26+T24</f>
        <v>0</v>
      </c>
      <c r="U10" s="132">
        <f t="shared" ref="U10" si="78">U11+U13+U14+U15+U16+U17+U18+U19+U20+U21+U22+U23+U25+U26+U24</f>
        <v>0</v>
      </c>
      <c r="V10" s="132">
        <f t="shared" ref="V10" si="79">V11+V13+V14+V17+V18+V19+V20+V21+V22+V23+V25+V26+V24</f>
        <v>0</v>
      </c>
      <c r="W10" s="132">
        <f t="shared" ref="W10" si="80">W11+W13+W14+W15+W16+W17+W18+W19+W20+W21+W22+W23+W25+W26+W24</f>
        <v>0</v>
      </c>
      <c r="X10" s="132">
        <f t="shared" ref="X10" si="81">X11+X13+X14+X17+X18+X19+X20+X21+X22+X23+X25+X26+X24</f>
        <v>0</v>
      </c>
      <c r="Y10" s="132">
        <f t="shared" ref="Y10" si="82">Y11+Y13+Y14+Y15+Y16+Y17+Y18+Y19+Y20+Y21+Y22+Y23+Y25+Y26+Y24</f>
        <v>0</v>
      </c>
      <c r="Z10" s="132">
        <f t="shared" ref="Z10" si="83">Z11+Z13+Z14+Z17+Z18+Z19+Z20+Z21+Z22+Z23+Z25+Z26+Z24</f>
        <v>0</v>
      </c>
      <c r="AA10" s="132">
        <f t="shared" ref="AA10" si="84">AA11+AA13+AA14+AA15+AA16+AA17+AA18+AA19+AA20+AA21+AA22+AA23+AA25+AA26+AA24</f>
        <v>0</v>
      </c>
      <c r="AB10" s="132">
        <f t="shared" ref="AB10" si="85">AB11+AB13+AB14+AB17+AB18+AB19+AB20+AB21+AB22+AB23+AB25+AB26+AB24</f>
        <v>0</v>
      </c>
      <c r="AC10" s="132">
        <f t="shared" ref="AC10" si="86">AC11+AC13+AC14+AC15+AC16+AC17+AC18+AC19+AC20+AC21+AC22+AC23+AC25+AC26+AC24</f>
        <v>0</v>
      </c>
      <c r="AD10" s="132">
        <f t="shared" ref="AD10" si="87">AD11+AD13+AD14+AD17+AD18+AD19+AD20+AD21+AD22+AD23+AD25+AD26+AD24</f>
        <v>0</v>
      </c>
      <c r="AE10" s="132">
        <f t="shared" ref="AE10" si="88">AE11+AE13+AE14+AE15+AE16+AE17+AE18+AE19+AE20+AE21+AE22+AE23+AE25+AE26+AE24</f>
        <v>0</v>
      </c>
      <c r="AF10" s="132">
        <f t="shared" ref="AF10" si="89">AF11+AF13+AF14+AF17+AF18+AF19+AF20+AF21+AF22+AF23+AF25+AF26+AF24</f>
        <v>0</v>
      </c>
      <c r="AG10" s="132">
        <f t="shared" ref="AG10" si="90">AG11+AG13+AG14+AG15+AG16+AG17+AG18+AG19+AG20+AG21+AG22+AG23+AG25+AG26+AG24</f>
        <v>0</v>
      </c>
      <c r="AH10" s="132">
        <f t="shared" ref="AH10" si="91">AH11+AH13+AH14+AH17+AH18+AH19+AH20+AH21+AH22+AH23+AH25+AH26+AH24</f>
        <v>0</v>
      </c>
      <c r="AI10" s="132">
        <f t="shared" ref="AI10" si="92">AI11+AI13+AI14+AI15+AI16+AI17+AI18+AI19+AI20+AI21+AI22+AI23+AI25+AI26+AI24</f>
        <v>0</v>
      </c>
      <c r="AJ10" s="132">
        <f t="shared" ref="AJ10" si="93">AJ11+AJ13+AJ14+AJ17+AJ18+AJ19+AJ20+AJ21+AJ22+AJ23+AJ25+AJ26+AJ24</f>
        <v>0</v>
      </c>
      <c r="AK10" s="132">
        <f t="shared" ref="AK10" si="94">AK11+AK13+AK14+AK15+AK16+AK17+AK18+AK19+AK20+AK21+AK22+AK23+AK25+AK26+AK24</f>
        <v>0</v>
      </c>
      <c r="AL10" s="132">
        <f t="shared" ref="AL10" si="95">AL11+AL13+AL14+AL17+AL18+AL19+AL20+AL21+AL22+AL23+AL25+AL26+AL24</f>
        <v>0</v>
      </c>
      <c r="AM10" s="132">
        <f t="shared" ref="AM10" si="96">AM11+AM13+AM14+AM15+AM16+AM17+AM18+AM19+AM20+AM21+AM22+AM23+AM25+AM26+AM24</f>
        <v>0</v>
      </c>
      <c r="AN10" s="132">
        <f t="shared" ref="AN10" si="97">AN11+AN13+AN14+AN17+AN18+AN19+AN20+AN21+AN22+AN23+AN25+AN26+AN24</f>
        <v>0</v>
      </c>
      <c r="AO10" s="132">
        <f t="shared" ref="AO10" si="98">AO11+AO13+AO14+AO15+AO16+AO17+AO18+AO19+AO20+AO21+AO22+AO23+AO25+AO26+AO24</f>
        <v>0</v>
      </c>
      <c r="AP10" s="132">
        <f t="shared" ref="AP10" si="99">AP11+AP13+AP14+AP17+AP18+AP19+AP20+AP21+AP22+AP23+AP25+AP26+AP24</f>
        <v>0</v>
      </c>
      <c r="AQ10" s="132">
        <f t="shared" ref="AQ10" si="100">AQ11+AQ13+AQ14+AQ15+AQ16+AQ17+AQ18+AQ19+AQ20+AQ21+AQ22+AQ23+AQ25+AQ26+AQ24</f>
        <v>0</v>
      </c>
      <c r="AR10" s="132">
        <f t="shared" ref="AR10" si="101">AR11+AR13+AR14+AR17+AR18+AR19+AR20+AR21+AR22+AR23+AR25+AR26+AR24</f>
        <v>0</v>
      </c>
      <c r="AS10" s="132">
        <f t="shared" ref="AS10" si="102">AS11+AS13+AS14+AS15+AS16+AS17+AS18+AS19+AS20+AS21+AS22+AS23+AS25+AS26+AS24</f>
        <v>0</v>
      </c>
      <c r="AT10" s="132">
        <f t="shared" ref="AT10" si="103">AT11+AT13+AT14+AT17+AT18+AT19+AT20+AT21+AT22+AT23+AT25+AT26+AT24</f>
        <v>0</v>
      </c>
      <c r="AU10" s="132">
        <f t="shared" ref="AU10" si="104">AU11+AU13+AU14+AU15+AU16+AU17+AU18+AU19+AU20+AU21+AU22+AU23+AU25+AU26+AU24</f>
        <v>0</v>
      </c>
      <c r="AV10" s="132">
        <f t="shared" ref="AV10" si="105">AV11+AV13+AV14+AV17+AV18+AV19+AV20+AV21+AV22+AV23+AV25+AV26+AV24</f>
        <v>0</v>
      </c>
      <c r="AW10" s="132">
        <f t="shared" ref="AW10" si="106">AW11+AW13+AW14+AW15+AW16+AW17+AW18+AW19+AW20+AW21+AW22+AW23+AW25+AW26+AW24</f>
        <v>0</v>
      </c>
      <c r="AX10" s="132">
        <f t="shared" ref="AX10" si="107">AX11+AX13+AX14+AX17+AX18+AX19+AX20+AX21+AX22+AX23+AX25+AX26+AX24</f>
        <v>0</v>
      </c>
      <c r="AY10" s="132">
        <f t="shared" ref="AY10" si="108">AY11+AY13+AY14+AY15+AY16+AY17+AY18+AY19+AY20+AY21+AY22+AY23+AY25+AY26+AY24</f>
        <v>0</v>
      </c>
      <c r="AZ10" s="132">
        <f t="shared" ref="AZ10" si="109">AZ11+AZ13+AZ14+AZ17+AZ18+AZ19+AZ20+AZ21+AZ22+AZ23+AZ25+AZ26+AZ24</f>
        <v>0</v>
      </c>
      <c r="BA10" s="133">
        <f>IF(E10=0,1,AY10/E10-1)</f>
        <v>1</v>
      </c>
      <c r="BB10" s="133">
        <f>IF(F10=0,1,AZ10/F10-1)</f>
        <v>1</v>
      </c>
      <c r="BC10" s="132">
        <f t="shared" ref="BC10" si="110">BC11+BC13+BC14+BC15+BC16+BC17+BC18+BC19+BC20+BC21+BC22+BC23+BC25+BC26+BC24</f>
        <v>0</v>
      </c>
      <c r="BD10" s="132">
        <f t="shared" ref="BD10" si="111">BD11+BD13+BD14+BD17+BD18+BD19+BD20+BD21+BD22+BD23+BD25+BD26+BD24</f>
        <v>0</v>
      </c>
      <c r="BE10" s="132">
        <f t="shared" ref="BE10" si="112">BE11+BE13+BE14+BE15+BE16+BE17+BE18+BE19+BE20+BE21+BE22+BE23+BE25+BE26+BE24</f>
        <v>0</v>
      </c>
      <c r="BF10" s="132">
        <f t="shared" ref="BF10" si="113">BF11+BF13+BF14+BF17+BF18+BF19+BF20+BF21+BF22+BF23+BF25+BF26+BF24</f>
        <v>0</v>
      </c>
      <c r="BG10" s="132">
        <f t="shared" ref="BG10:DI10" si="114">BG11+BG13+BG14+BG15+BG16+BG17+BG18+BG19+BG20+BG21+BG22+BG23+BG25+BG26+BG24</f>
        <v>0</v>
      </c>
      <c r="BH10" s="132">
        <f t="shared" ref="BH10" si="115">BH11+BH13+BH14+BH17+BH18+BH19+BH20+BH21+BH22+BH23+BH25+BH26+BH24</f>
        <v>0</v>
      </c>
      <c r="BI10" s="133">
        <f>IF(K10=0,1,BG10/K10-1)</f>
        <v>1</v>
      </c>
      <c r="BJ10" s="133">
        <f>IF(L10=0,1,BH10/L10-1)</f>
        <v>1</v>
      </c>
      <c r="BK10" s="132">
        <f t="shared" ref="BK10" si="116">BK11+BK13+BK14+BK15+BK16+BK17+BK18+BK19+BK20+BK21+BK22+BK23+BK25+BK26+BK24</f>
        <v>0</v>
      </c>
      <c r="BL10" s="132">
        <f t="shared" ref="BL10" si="117">BL11+BL13+BL14+BL17+BL18+BL19+BL20+BL21+BL22+BL23+BL25+BL26+BL24</f>
        <v>0</v>
      </c>
      <c r="BM10" s="132">
        <f t="shared" si="114"/>
        <v>0</v>
      </c>
      <c r="BN10" s="132">
        <f t="shared" ref="BN10" si="118">BN11+BN13+BN14+BN17+BN18+BN19+BN20+BN21+BN22+BN23+BN25+BN26+BN24</f>
        <v>0</v>
      </c>
      <c r="BO10" s="133">
        <f t="shared" si="38"/>
        <v>1</v>
      </c>
      <c r="BP10" s="133">
        <f t="shared" si="38"/>
        <v>1</v>
      </c>
      <c r="BQ10" s="132">
        <f t="shared" ref="BQ10" si="119">BQ11+BQ13+BQ14+BQ15+BQ16+BQ17+BQ18+BQ19+BQ20+BQ21+BQ22+BQ23+BQ25+BQ26+BQ24</f>
        <v>0</v>
      </c>
      <c r="BR10" s="132">
        <f t="shared" ref="BR10" si="120">BR11+BR13+BR14+BR17+BR18+BR19+BR20+BR21+BR22+BR23+BR25+BR26+BR24</f>
        <v>0</v>
      </c>
      <c r="BS10" s="132">
        <f t="shared" si="114"/>
        <v>0</v>
      </c>
      <c r="BT10" s="132">
        <f t="shared" ref="BT10" si="121">BT11+BT13+BT14+BT17+BT18+BT19+BT20+BT21+BT22+BT23+BT25+BT26+BT24</f>
        <v>0</v>
      </c>
      <c r="BU10" s="133">
        <f t="shared" si="40"/>
        <v>1</v>
      </c>
      <c r="BV10" s="133">
        <f t="shared" si="40"/>
        <v>1</v>
      </c>
      <c r="BW10" s="132">
        <f t="shared" ref="BW10" si="122">BW11+BW13+BW14+BW15+BW16+BW17+BW18+BW19+BW20+BW21+BW22+BW23+BW25+BW26+BW24</f>
        <v>0</v>
      </c>
      <c r="BX10" s="132">
        <f t="shared" ref="BX10" si="123">BX11+BX13+BX14+BX17+BX18+BX19+BX20+BX21+BX22+BX23+BX25+BX26+BX24</f>
        <v>0</v>
      </c>
      <c r="BY10" s="132">
        <f t="shared" si="114"/>
        <v>0</v>
      </c>
      <c r="BZ10" s="132">
        <f t="shared" ref="BZ10" si="124">BZ11+BZ13+BZ14+BZ17+BZ18+BZ19+BZ20+BZ21+BZ22+BZ23+BZ25+BZ26+BZ24</f>
        <v>0</v>
      </c>
      <c r="CA10" s="133">
        <f t="shared" si="42"/>
        <v>1</v>
      </c>
      <c r="CB10" s="133">
        <f t="shared" si="42"/>
        <v>1</v>
      </c>
      <c r="CC10" s="132">
        <f t="shared" ref="CC10" si="125">CC11+CC13+CC14+CC15+CC16+CC17+CC18+CC19+CC20+CC21+CC22+CC23+CC25+CC26+CC24</f>
        <v>0</v>
      </c>
      <c r="CD10" s="132">
        <f t="shared" ref="CD10" si="126">CD11+CD13+CD14+CD17+CD18+CD19+CD20+CD21+CD22+CD23+CD25+CD26+CD24</f>
        <v>0</v>
      </c>
      <c r="CE10" s="132">
        <f t="shared" si="114"/>
        <v>0</v>
      </c>
      <c r="CF10" s="132">
        <f t="shared" ref="CF10" si="127">CF11+CF13+CF14+CF17+CF18+CF19+CF20+CF21+CF22+CF23+CF25+CF26+CF24</f>
        <v>0</v>
      </c>
      <c r="CG10" s="133">
        <f t="shared" si="44"/>
        <v>1</v>
      </c>
      <c r="CH10" s="133">
        <f>IF(AB10=0,1,CF10/AB10-1)</f>
        <v>1</v>
      </c>
      <c r="CI10" s="132">
        <f t="shared" ref="CI10" si="128">CI11+CI13+CI14+CI15+CI16+CI17+CI18+CI19+CI20+CI21+CI22+CI23+CI25+CI26+CI24</f>
        <v>0</v>
      </c>
      <c r="CJ10" s="132">
        <f t="shared" ref="CJ10" si="129">CJ11+CJ13+CJ14+CJ17+CJ18+CJ19+CJ20+CJ21+CJ22+CJ23+CJ25+CJ26+CJ24</f>
        <v>0</v>
      </c>
      <c r="CK10" s="132">
        <f t="shared" si="114"/>
        <v>0</v>
      </c>
      <c r="CL10" s="132">
        <f t="shared" ref="CL10" si="130">CL11+CL13+CL14+CL17+CL18+CL19+CL20+CL21+CL22+CL23+CL25+CL26+CL24</f>
        <v>0</v>
      </c>
      <c r="CM10" s="133">
        <f t="shared" si="46"/>
        <v>1</v>
      </c>
      <c r="CN10" s="133">
        <f t="shared" si="46"/>
        <v>1</v>
      </c>
      <c r="CO10" s="132">
        <f t="shared" ref="CO10" si="131">CO11+CO13+CO14+CO15+CO16+CO17+CO18+CO19+CO20+CO21+CO22+CO23+CO25+CO26+CO24</f>
        <v>0</v>
      </c>
      <c r="CP10" s="132">
        <f t="shared" ref="CP10" si="132">CP11+CP13+CP14+CP17+CP18+CP19+CP20+CP21+CP22+CP23+CP25+CP26+CP24</f>
        <v>0</v>
      </c>
      <c r="CQ10" s="132">
        <f t="shared" si="114"/>
        <v>0</v>
      </c>
      <c r="CR10" s="132">
        <f t="shared" ref="CR10" si="133">CR11+CR13+CR14+CR17+CR18+CR19+CR20+CR21+CR22+CR23+CR25+CR26+CR24</f>
        <v>0</v>
      </c>
      <c r="CS10" s="133">
        <f t="shared" si="48"/>
        <v>1</v>
      </c>
      <c r="CT10" s="133">
        <f t="shared" si="48"/>
        <v>1</v>
      </c>
      <c r="CU10" s="132">
        <f t="shared" ref="CU10" si="134">CU11+CU13+CU14+CU15+CU16+CU17+CU18+CU19+CU20+CU21+CU22+CU23+CU25+CU26+CU24</f>
        <v>0</v>
      </c>
      <c r="CV10" s="132">
        <f t="shared" ref="CV10" si="135">CV11+CV13+CV14+CV17+CV18+CV19+CV20+CV21+CV22+CV23+CV25+CV26+CV24</f>
        <v>0</v>
      </c>
      <c r="CW10" s="132">
        <f t="shared" si="114"/>
        <v>0</v>
      </c>
      <c r="CX10" s="132">
        <f t="shared" ref="CX10" si="136">CX11+CX13+CX14+CX17+CX18+CX19+CX20+CX21+CX22+CX23+CX25+CX26+CX24</f>
        <v>0</v>
      </c>
      <c r="CY10" s="133">
        <f t="shared" si="50"/>
        <v>1</v>
      </c>
      <c r="CZ10" s="133">
        <f t="shared" si="50"/>
        <v>1</v>
      </c>
      <c r="DA10" s="132">
        <f t="shared" ref="DA10" si="137">DA11+DA13+DA14+DA15+DA16+DA17+DA18+DA19+DA20+DA21+DA22+DA23+DA25+DA26+DA24</f>
        <v>0</v>
      </c>
      <c r="DB10" s="132">
        <f t="shared" ref="DB10" si="138">DB11+DB13+DB14+DB17+DB18+DB19+DB20+DB21+DB22+DB23+DB25+DB26+DB24</f>
        <v>0</v>
      </c>
      <c r="DC10" s="132">
        <f t="shared" si="114"/>
        <v>0</v>
      </c>
      <c r="DD10" s="132">
        <f t="shared" ref="DD10" si="139">DD11+DD13+DD14+DD17+DD18+DD19+DD20+DD21+DD22+DD23+DD25+DD26+DD24</f>
        <v>0</v>
      </c>
      <c r="DE10" s="133">
        <f t="shared" si="52"/>
        <v>1</v>
      </c>
      <c r="DF10" s="133">
        <f t="shared" si="52"/>
        <v>1</v>
      </c>
      <c r="DG10" s="132">
        <f t="shared" ref="DG10" si="140">DG11+DG13+DG14+DG15+DG16+DG17+DG18+DG19+DG20+DG21+DG22+DG23+DG25+DG26+DG24</f>
        <v>0</v>
      </c>
      <c r="DH10" s="132">
        <f t="shared" ref="DH10" si="141">DH11+DH13+DH14+DH17+DH18+DH19+DH20+DH21+DH22+DH23+DH25+DH26+DH24</f>
        <v>0</v>
      </c>
      <c r="DI10" s="132">
        <f t="shared" si="114"/>
        <v>0</v>
      </c>
      <c r="DJ10" s="132">
        <f t="shared" ref="DJ10" si="142">DJ11+DJ13+DJ14+DJ17+DJ18+DJ19+DJ20+DJ21+DJ22+DJ23+DJ25+DJ26+DJ24</f>
        <v>0</v>
      </c>
      <c r="DK10" s="133">
        <f t="shared" si="54"/>
        <v>1</v>
      </c>
      <c r="DL10" s="133">
        <f t="shared" si="54"/>
        <v>1</v>
      </c>
      <c r="DM10" s="132">
        <f t="shared" ref="DM10" si="143">DM11+DM13+DM14+DM15+DM16+DM17+DM18+DM19+DM20+DM21+DM22+DM23+DM25+DM26+DM24</f>
        <v>0</v>
      </c>
      <c r="DN10" s="132">
        <f t="shared" ref="DN10" si="144">DN11+DN13+DN14+DN17+DN18+DN19+DN20+DN21+DN22+DN23+DN25+DN26+DN24</f>
        <v>0</v>
      </c>
      <c r="DO10" s="132">
        <f t="shared" ref="DO10" si="145">DO11+DO13+DO14+DO15+DO16+DO17+DO18+DO19+DO20+DO21+DO22+DO23+DO25+DO26+DO24</f>
        <v>0</v>
      </c>
      <c r="DP10" s="132">
        <f t="shared" ref="DP10" si="146">DP11+DP13+DP14+DP17+DP18+DP19+DP20+DP21+DP22+DP23+DP25+DP26+DP24</f>
        <v>0</v>
      </c>
      <c r="DQ10" s="132">
        <f t="shared" ref="DQ10" si="147">DQ11+DQ13+DQ14+DQ15+DQ16+DQ17+DQ18+DQ19+DQ20+DQ21+DQ22+DQ23+DQ25+DQ26+DQ24</f>
        <v>0</v>
      </c>
      <c r="DR10" s="132">
        <f t="shared" ref="DR10" si="148">DR11+DR13+DR14+DR17+DR18+DR19+DR20+DR21+DR22+DR23+DR25+DR26+DR24</f>
        <v>0</v>
      </c>
      <c r="DS10" s="133">
        <f>IF($AY$10=0,1,DQ10/$AY$10-1)</f>
        <v>1</v>
      </c>
      <c r="DT10" s="133">
        <f>IF($AZ$10=0,1,DR10/$AZ$10-1)</f>
        <v>1</v>
      </c>
      <c r="DU10" s="133">
        <f t="shared" si="58"/>
        <v>1</v>
      </c>
      <c r="DV10" s="133">
        <f t="shared" si="59"/>
        <v>1</v>
      </c>
      <c r="DW10" s="166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</row>
    <row r="11" spans="1:268" s="62" customFormat="1" ht="18" customHeight="1">
      <c r="A11" s="312" t="s">
        <v>31</v>
      </c>
      <c r="B11" s="313"/>
      <c r="C11" s="134">
        <f>'бюджет округа (района)'!C11+'бюджеты поселений'!C11</f>
        <v>0</v>
      </c>
      <c r="D11" s="134">
        <f>'бюджет округа (района)'!C11</f>
        <v>0</v>
      </c>
      <c r="E11" s="134">
        <f>G11+I11+M11+Q11+U11+Y11+AC11+AG11+AK11+AO11+AS11+AW11</f>
        <v>0</v>
      </c>
      <c r="F11" s="134">
        <f>H11+J11+N11+R11+V11+Z11+AD11+AH11+AL11+AP11+AT11+AX11</f>
        <v>0</v>
      </c>
      <c r="G11" s="134">
        <f>'бюджет округа (района)'!E11+'бюджеты поселений'!E11</f>
        <v>0</v>
      </c>
      <c r="H11" s="134">
        <f>'бюджет округа (района)'!E11</f>
        <v>0</v>
      </c>
      <c r="I11" s="134">
        <f>'бюджет округа (района)'!F11+'бюджеты поселений'!F11</f>
        <v>0</v>
      </c>
      <c r="J11" s="134">
        <f>'бюджет округа (района)'!F11</f>
        <v>0</v>
      </c>
      <c r="K11" s="134">
        <f>G11+I11</f>
        <v>0</v>
      </c>
      <c r="L11" s="134">
        <f>H11+J11</f>
        <v>0</v>
      </c>
      <c r="M11" s="134">
        <f>'бюджет округа (района)'!H11+'бюджеты поселений'!H11</f>
        <v>0</v>
      </c>
      <c r="N11" s="134">
        <f>'бюджет округа (района)'!H11</f>
        <v>0</v>
      </c>
      <c r="O11" s="134">
        <f>K11+M11</f>
        <v>0</v>
      </c>
      <c r="P11" s="134">
        <f>L11+N11</f>
        <v>0</v>
      </c>
      <c r="Q11" s="134">
        <f>'бюджет округа (района)'!J11+'бюджеты поселений'!J11</f>
        <v>0</v>
      </c>
      <c r="R11" s="134">
        <f>'бюджет округа (района)'!J11</f>
        <v>0</v>
      </c>
      <c r="S11" s="134">
        <f>O11+Q11</f>
        <v>0</v>
      </c>
      <c r="T11" s="134">
        <f>P11+R11</f>
        <v>0</v>
      </c>
      <c r="U11" s="134">
        <f>'бюджет округа (района)'!L11+'бюджеты поселений'!L11</f>
        <v>0</v>
      </c>
      <c r="V11" s="134">
        <f>'бюджет округа (района)'!L11</f>
        <v>0</v>
      </c>
      <c r="W11" s="134">
        <f>S11+U11</f>
        <v>0</v>
      </c>
      <c r="X11" s="134">
        <f>T11+V11</f>
        <v>0</v>
      </c>
      <c r="Y11" s="134">
        <f>'бюджет округа (района)'!N11+'бюджеты поселений'!N11</f>
        <v>0</v>
      </c>
      <c r="Z11" s="134">
        <f>'бюджет округа (района)'!N11</f>
        <v>0</v>
      </c>
      <c r="AA11" s="134">
        <f>W11+Y11</f>
        <v>0</v>
      </c>
      <c r="AB11" s="134">
        <f>X11+Z11</f>
        <v>0</v>
      </c>
      <c r="AC11" s="134">
        <f>'бюджет округа (района)'!P11+'бюджеты поселений'!P11</f>
        <v>0</v>
      </c>
      <c r="AD11" s="134">
        <f>'бюджет округа (района)'!P11</f>
        <v>0</v>
      </c>
      <c r="AE11" s="134">
        <f>AA11+AC11</f>
        <v>0</v>
      </c>
      <c r="AF11" s="134">
        <f>AB11+AD11</f>
        <v>0</v>
      </c>
      <c r="AG11" s="134">
        <f>'бюджет округа (района)'!R11+'бюджеты поселений'!R11</f>
        <v>0</v>
      </c>
      <c r="AH11" s="134">
        <f>'бюджет округа (района)'!R11</f>
        <v>0</v>
      </c>
      <c r="AI11" s="134">
        <f>AE11+AG11</f>
        <v>0</v>
      </c>
      <c r="AJ11" s="134">
        <f>AF11+AH11</f>
        <v>0</v>
      </c>
      <c r="AK11" s="134">
        <f>'бюджет округа (района)'!T11+'бюджеты поселений'!T11</f>
        <v>0</v>
      </c>
      <c r="AL11" s="134">
        <f>'бюджет округа (района)'!T11</f>
        <v>0</v>
      </c>
      <c r="AM11" s="134">
        <f>AI11+AK11</f>
        <v>0</v>
      </c>
      <c r="AN11" s="134">
        <f>AJ11+AL11</f>
        <v>0</v>
      </c>
      <c r="AO11" s="134">
        <f>'бюджет округа (района)'!V11+'бюджеты поселений'!V11</f>
        <v>0</v>
      </c>
      <c r="AP11" s="134">
        <f>'бюджет округа (района)'!V11</f>
        <v>0</v>
      </c>
      <c r="AQ11" s="134">
        <f>AM11+AO11</f>
        <v>0</v>
      </c>
      <c r="AR11" s="134">
        <f>AN11+AP11</f>
        <v>0</v>
      </c>
      <c r="AS11" s="134">
        <f>'бюджет округа (района)'!X11+'бюджеты поселений'!X11</f>
        <v>0</v>
      </c>
      <c r="AT11" s="134">
        <f>'бюджет округа (района)'!X11</f>
        <v>0</v>
      </c>
      <c r="AU11" s="134">
        <f>AQ11+AS11</f>
        <v>0</v>
      </c>
      <c r="AV11" s="134">
        <f>AR11+AT11</f>
        <v>0</v>
      </c>
      <c r="AW11" s="134">
        <f>'бюджет округа (района)'!Z11+'бюджеты поселений'!Z11</f>
        <v>0</v>
      </c>
      <c r="AX11" s="134">
        <f>'бюджет округа (района)'!Z11</f>
        <v>0</v>
      </c>
      <c r="AY11" s="134">
        <f>'бюджет округа (района)'!AA11+'бюджеты поселений'!AA11</f>
        <v>0</v>
      </c>
      <c r="AZ11" s="134">
        <f>'бюджет округа (района)'!AA11</f>
        <v>0</v>
      </c>
      <c r="BA11" s="135">
        <f t="shared" ref="BA11:BB26" si="149">IF(E11=0,1,AY11/E11-1)</f>
        <v>1</v>
      </c>
      <c r="BB11" s="135">
        <f t="shared" si="149"/>
        <v>1</v>
      </c>
      <c r="BC11" s="134">
        <f>'бюджет округа (района)'!AC11+'бюджеты поселений'!AC11</f>
        <v>0</v>
      </c>
      <c r="BD11" s="134">
        <f>'бюджет округа (района)'!AC11</f>
        <v>0</v>
      </c>
      <c r="BE11" s="134">
        <f>'бюджет округа (района)'!AD11+'бюджеты поселений'!AD11</f>
        <v>0</v>
      </c>
      <c r="BF11" s="134">
        <f>'бюджет округа (района)'!AD11</f>
        <v>0</v>
      </c>
      <c r="BG11" s="134">
        <f>BC11+BE11</f>
        <v>0</v>
      </c>
      <c r="BH11" s="134">
        <f>BD11+BF11</f>
        <v>0</v>
      </c>
      <c r="BI11" s="135">
        <f t="shared" si="36"/>
        <v>1</v>
      </c>
      <c r="BJ11" s="135">
        <f t="shared" si="36"/>
        <v>1</v>
      </c>
      <c r="BK11" s="134">
        <f>'бюджет округа (района)'!AG11+'бюджеты поселений'!AG11</f>
        <v>0</v>
      </c>
      <c r="BL11" s="134">
        <f>'бюджет округа (района)'!AG11</f>
        <v>0</v>
      </c>
      <c r="BM11" s="134">
        <f>BG11+BK11</f>
        <v>0</v>
      </c>
      <c r="BN11" s="134">
        <f>BH11+BL11</f>
        <v>0</v>
      </c>
      <c r="BO11" s="135">
        <f t="shared" si="38"/>
        <v>1</v>
      </c>
      <c r="BP11" s="135">
        <f t="shared" si="38"/>
        <v>1</v>
      </c>
      <c r="BQ11" s="134">
        <f>'бюджет округа (района)'!AJ11+'бюджеты поселений'!AJ11</f>
        <v>0</v>
      </c>
      <c r="BR11" s="134">
        <f>'бюджет округа (района)'!AJ11</f>
        <v>0</v>
      </c>
      <c r="BS11" s="134">
        <f>BM11+BQ11</f>
        <v>0</v>
      </c>
      <c r="BT11" s="134">
        <f>BN11+BR11</f>
        <v>0</v>
      </c>
      <c r="BU11" s="135">
        <f t="shared" si="40"/>
        <v>1</v>
      </c>
      <c r="BV11" s="135">
        <f t="shared" si="40"/>
        <v>1</v>
      </c>
      <c r="BW11" s="134">
        <f>'бюджет округа (района)'!AM11+'бюджеты поселений'!AM11</f>
        <v>0</v>
      </c>
      <c r="BX11" s="134">
        <f>'бюджет округа (района)'!AM11</f>
        <v>0</v>
      </c>
      <c r="BY11" s="134">
        <f>BS11+BW11</f>
        <v>0</v>
      </c>
      <c r="BZ11" s="134">
        <f>BT11+BX11</f>
        <v>0</v>
      </c>
      <c r="CA11" s="135">
        <f t="shared" si="42"/>
        <v>1</v>
      </c>
      <c r="CB11" s="135">
        <f t="shared" si="42"/>
        <v>1</v>
      </c>
      <c r="CC11" s="134">
        <f>'бюджет округа (района)'!AP11+'бюджеты поселений'!AP11</f>
        <v>0</v>
      </c>
      <c r="CD11" s="134">
        <f>'бюджет округа (района)'!AP11</f>
        <v>0</v>
      </c>
      <c r="CE11" s="134">
        <f>BY11+CC11</f>
        <v>0</v>
      </c>
      <c r="CF11" s="134">
        <f>BZ11+CD11</f>
        <v>0</v>
      </c>
      <c r="CG11" s="135">
        <f t="shared" si="44"/>
        <v>1</v>
      </c>
      <c r="CH11" s="135">
        <f t="shared" si="44"/>
        <v>1</v>
      </c>
      <c r="CI11" s="134">
        <f>'бюджет округа (района)'!AS11+'бюджеты поселений'!AS11</f>
        <v>0</v>
      </c>
      <c r="CJ11" s="134">
        <f>'бюджет округа (района)'!AS11</f>
        <v>0</v>
      </c>
      <c r="CK11" s="134">
        <f>CE11+CI11</f>
        <v>0</v>
      </c>
      <c r="CL11" s="134">
        <f>CF11+CJ11</f>
        <v>0</v>
      </c>
      <c r="CM11" s="135">
        <f t="shared" si="46"/>
        <v>1</v>
      </c>
      <c r="CN11" s="135">
        <f t="shared" si="46"/>
        <v>1</v>
      </c>
      <c r="CO11" s="134">
        <f>'бюджет округа (района)'!AV11+'бюджеты поселений'!AV11</f>
        <v>0</v>
      </c>
      <c r="CP11" s="134">
        <f>'бюджет округа (района)'!AV11</f>
        <v>0</v>
      </c>
      <c r="CQ11" s="134">
        <f>CK11+CO11</f>
        <v>0</v>
      </c>
      <c r="CR11" s="134">
        <f>CL11+CP11</f>
        <v>0</v>
      </c>
      <c r="CS11" s="135">
        <f t="shared" si="48"/>
        <v>1</v>
      </c>
      <c r="CT11" s="135">
        <f>IF(AJ11=0,1,CR11/AJ11-1)</f>
        <v>1</v>
      </c>
      <c r="CU11" s="134">
        <f>'бюджет округа (района)'!AY11+'бюджеты поселений'!AY11</f>
        <v>0</v>
      </c>
      <c r="CV11" s="134">
        <f>'бюджет округа (района)'!AY11</f>
        <v>0</v>
      </c>
      <c r="CW11" s="134">
        <f>CQ11+CU11</f>
        <v>0</v>
      </c>
      <c r="CX11" s="134">
        <f>CR11+CV11</f>
        <v>0</v>
      </c>
      <c r="CY11" s="135">
        <f t="shared" si="50"/>
        <v>1</v>
      </c>
      <c r="CZ11" s="135">
        <f t="shared" si="50"/>
        <v>1</v>
      </c>
      <c r="DA11" s="134">
        <f>'бюджет округа (района)'!BB11+'бюджеты поселений'!BB11</f>
        <v>0</v>
      </c>
      <c r="DB11" s="134">
        <f>'бюджет округа (района)'!BB11</f>
        <v>0</v>
      </c>
      <c r="DC11" s="134">
        <f>CW11+DA11</f>
        <v>0</v>
      </c>
      <c r="DD11" s="134">
        <f>CX11+DB11</f>
        <v>0</v>
      </c>
      <c r="DE11" s="135">
        <f t="shared" si="52"/>
        <v>1</v>
      </c>
      <c r="DF11" s="135">
        <f t="shared" si="52"/>
        <v>1</v>
      </c>
      <c r="DG11" s="134">
        <f>'бюджет округа (района)'!BE11+'бюджеты поселений'!BE11</f>
        <v>0</v>
      </c>
      <c r="DH11" s="134">
        <f>'бюджет округа (района)'!BE11</f>
        <v>0</v>
      </c>
      <c r="DI11" s="134">
        <f>DC11+DG11</f>
        <v>0</v>
      </c>
      <c r="DJ11" s="134">
        <f>DD11+DH11</f>
        <v>0</v>
      </c>
      <c r="DK11" s="135">
        <f>IF(AU11=0,1,DI11/AU11-1)</f>
        <v>1</v>
      </c>
      <c r="DL11" s="135">
        <f>IF(AV11=0,1,DJ11/AV11-1)</f>
        <v>1</v>
      </c>
      <c r="DM11" s="134">
        <f>'бюджет округа (района)'!BH11+'бюджеты поселений'!BH11</f>
        <v>0</v>
      </c>
      <c r="DN11" s="134">
        <f>'бюджет округа (района)'!BH11</f>
        <v>0</v>
      </c>
      <c r="DO11" s="134">
        <f>'бюджет округа (района)'!BI11+'бюджеты поселений'!BI11</f>
        <v>0</v>
      </c>
      <c r="DP11" s="134">
        <f>'бюджет округа (района)'!BI11</f>
        <v>0</v>
      </c>
      <c r="DQ11" s="134">
        <f>'бюджет округа (района)'!BJ11+'бюджеты поселений'!BJ11</f>
        <v>0</v>
      </c>
      <c r="DR11" s="134">
        <f>'бюджет округа (района)'!BJ11</f>
        <v>0</v>
      </c>
      <c r="DS11" s="135">
        <f>IF($AY$11=0,1,DQ11/$AY$11-1)</f>
        <v>1</v>
      </c>
      <c r="DT11" s="135">
        <f>IF($AZ$11=0,1,DR11/$AZ$11-1)</f>
        <v>1</v>
      </c>
      <c r="DU11" s="135">
        <f t="shared" si="58"/>
        <v>1</v>
      </c>
      <c r="DV11" s="135">
        <f t="shared" si="59"/>
        <v>1</v>
      </c>
      <c r="DW11" s="167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</row>
    <row r="12" spans="1:268" s="62" customFormat="1" ht="18" customHeight="1">
      <c r="A12" s="136" t="s">
        <v>130</v>
      </c>
      <c r="B12" s="113" t="s">
        <v>128</v>
      </c>
      <c r="C12" s="134">
        <f>'бюджет округа (района)'!C12+'бюджеты поселений'!C12</f>
        <v>0</v>
      </c>
      <c r="D12" s="134">
        <f>'бюджет округа (района)'!C12</f>
        <v>0</v>
      </c>
      <c r="E12" s="134">
        <f t="shared" ref="E12:F36" si="150">G12+I12+M12+Q12+U12+Y12+AC12+AG12+AK12+AO12+AS12+AW12</f>
        <v>0</v>
      </c>
      <c r="F12" s="134">
        <f>H12+J12+N12+R12+V12+Z12+AD12+AH12+AL12+AP12+AT12+AX12</f>
        <v>0</v>
      </c>
      <c r="G12" s="134">
        <f>'бюджет округа (района)'!E12+'бюджеты поселений'!E12</f>
        <v>0</v>
      </c>
      <c r="H12" s="134">
        <f>'бюджет округа (района)'!E12</f>
        <v>0</v>
      </c>
      <c r="I12" s="134">
        <f>'бюджет округа (района)'!F12+'бюджеты поселений'!F12</f>
        <v>0</v>
      </c>
      <c r="J12" s="134">
        <f>'бюджет округа (района)'!F12</f>
        <v>0</v>
      </c>
      <c r="K12" s="134">
        <f t="shared" ref="K12:L39" si="151">G12+I12</f>
        <v>0</v>
      </c>
      <c r="L12" s="134">
        <f t="shared" si="151"/>
        <v>0</v>
      </c>
      <c r="M12" s="134">
        <f>'бюджет округа (района)'!H12+'бюджеты поселений'!H12</f>
        <v>0</v>
      </c>
      <c r="N12" s="134">
        <f>'бюджет округа (района)'!H12</f>
        <v>0</v>
      </c>
      <c r="O12" s="134">
        <f t="shared" ref="O12:P42" si="152">K12+M12</f>
        <v>0</v>
      </c>
      <c r="P12" s="134">
        <f t="shared" si="152"/>
        <v>0</v>
      </c>
      <c r="Q12" s="134">
        <f>'бюджет округа (района)'!J12+'бюджеты поселений'!J12</f>
        <v>0</v>
      </c>
      <c r="R12" s="134">
        <f>'бюджет округа (района)'!J12</f>
        <v>0</v>
      </c>
      <c r="S12" s="134">
        <f t="shared" ref="S12:T42" si="153">O12+Q12</f>
        <v>0</v>
      </c>
      <c r="T12" s="134">
        <f t="shared" si="153"/>
        <v>0</v>
      </c>
      <c r="U12" s="134">
        <f>'бюджет округа (района)'!L12+'бюджеты поселений'!L12</f>
        <v>0</v>
      </c>
      <c r="V12" s="134">
        <f>'бюджет округа (района)'!L12</f>
        <v>0</v>
      </c>
      <c r="W12" s="134">
        <f t="shared" ref="W12:X42" si="154">S12+U12</f>
        <v>0</v>
      </c>
      <c r="X12" s="134">
        <f t="shared" si="154"/>
        <v>0</v>
      </c>
      <c r="Y12" s="134">
        <f>'бюджет округа (района)'!N12+'бюджеты поселений'!N12</f>
        <v>0</v>
      </c>
      <c r="Z12" s="134">
        <f>'бюджет округа (района)'!N12</f>
        <v>0</v>
      </c>
      <c r="AA12" s="134">
        <f t="shared" ref="AA12:AB42" si="155">W12+Y12</f>
        <v>0</v>
      </c>
      <c r="AB12" s="134">
        <f t="shared" si="155"/>
        <v>0</v>
      </c>
      <c r="AC12" s="134">
        <f>'бюджет округа (района)'!P12+'бюджеты поселений'!P12</f>
        <v>0</v>
      </c>
      <c r="AD12" s="134">
        <f>'бюджет округа (района)'!P12</f>
        <v>0</v>
      </c>
      <c r="AE12" s="134">
        <f t="shared" ref="AE12:AF42" si="156">AA12+AC12</f>
        <v>0</v>
      </c>
      <c r="AF12" s="134">
        <f t="shared" si="156"/>
        <v>0</v>
      </c>
      <c r="AG12" s="134">
        <f>'бюджет округа (района)'!R12+'бюджеты поселений'!R12</f>
        <v>0</v>
      </c>
      <c r="AH12" s="134">
        <f>'бюджет округа (района)'!R12</f>
        <v>0</v>
      </c>
      <c r="AI12" s="134">
        <f t="shared" ref="AI12:AJ26" si="157">AE12+AG12</f>
        <v>0</v>
      </c>
      <c r="AJ12" s="134">
        <f t="shared" si="157"/>
        <v>0</v>
      </c>
      <c r="AK12" s="134">
        <f>'бюджет округа (района)'!T12+'бюджеты поселений'!T12</f>
        <v>0</v>
      </c>
      <c r="AL12" s="134">
        <f>'бюджет округа (района)'!T12</f>
        <v>0</v>
      </c>
      <c r="AM12" s="134">
        <f t="shared" ref="AM12:AN26" si="158">AI12+AK12</f>
        <v>0</v>
      </c>
      <c r="AN12" s="134">
        <f t="shared" si="158"/>
        <v>0</v>
      </c>
      <c r="AO12" s="134">
        <f>'бюджет округа (района)'!V12+'бюджеты поселений'!V12</f>
        <v>0</v>
      </c>
      <c r="AP12" s="134">
        <f>'бюджет округа (района)'!V12</f>
        <v>0</v>
      </c>
      <c r="AQ12" s="134">
        <f t="shared" ref="AQ12:AR26" si="159">AM12+AO12</f>
        <v>0</v>
      </c>
      <c r="AR12" s="134">
        <f t="shared" si="159"/>
        <v>0</v>
      </c>
      <c r="AS12" s="134">
        <f>'бюджет округа (района)'!X12+'бюджеты поселений'!X12</f>
        <v>0</v>
      </c>
      <c r="AT12" s="134">
        <f>'бюджет округа (района)'!X12</f>
        <v>0</v>
      </c>
      <c r="AU12" s="134">
        <f t="shared" ref="AU12:AV26" si="160">AQ12+AS12</f>
        <v>0</v>
      </c>
      <c r="AV12" s="134">
        <f t="shared" si="160"/>
        <v>0</v>
      </c>
      <c r="AW12" s="134">
        <f>'бюджет округа (района)'!Z12+'бюджеты поселений'!Z12</f>
        <v>0</v>
      </c>
      <c r="AX12" s="134">
        <f>'бюджет округа (района)'!Z12</f>
        <v>0</v>
      </c>
      <c r="AY12" s="134">
        <f>'бюджет округа (района)'!AA12+'бюджеты поселений'!AA12</f>
        <v>0</v>
      </c>
      <c r="AZ12" s="134">
        <f>'бюджет округа (района)'!AA12</f>
        <v>0</v>
      </c>
      <c r="BA12" s="135">
        <f t="shared" si="149"/>
        <v>1</v>
      </c>
      <c r="BB12" s="135">
        <f t="shared" si="149"/>
        <v>1</v>
      </c>
      <c r="BC12" s="134">
        <f>'бюджет округа (района)'!AC12+'бюджеты поселений'!AC12</f>
        <v>0</v>
      </c>
      <c r="BD12" s="134">
        <f>'бюджет округа (района)'!AC12</f>
        <v>0</v>
      </c>
      <c r="BE12" s="134">
        <f>'бюджет округа (района)'!AD12+'бюджеты поселений'!AD12</f>
        <v>0</v>
      </c>
      <c r="BF12" s="134">
        <f>'бюджет округа (района)'!AD12</f>
        <v>0</v>
      </c>
      <c r="BG12" s="134">
        <f t="shared" ref="BG12:BH26" si="161">BC12+BE12</f>
        <v>0</v>
      </c>
      <c r="BH12" s="134">
        <f t="shared" si="161"/>
        <v>0</v>
      </c>
      <c r="BI12" s="135">
        <f t="shared" si="36"/>
        <v>1</v>
      </c>
      <c r="BJ12" s="135">
        <f t="shared" si="36"/>
        <v>1</v>
      </c>
      <c r="BK12" s="134">
        <f>'бюджет округа (района)'!AG12+'бюджеты поселений'!AG12</f>
        <v>0</v>
      </c>
      <c r="BL12" s="134">
        <f>'бюджет округа (района)'!AG12</f>
        <v>0</v>
      </c>
      <c r="BM12" s="134">
        <f t="shared" ref="BM12:BN26" si="162">BG12+BK12</f>
        <v>0</v>
      </c>
      <c r="BN12" s="134">
        <f t="shared" si="162"/>
        <v>0</v>
      </c>
      <c r="BO12" s="135">
        <f t="shared" si="38"/>
        <v>1</v>
      </c>
      <c r="BP12" s="135">
        <f t="shared" si="38"/>
        <v>1</v>
      </c>
      <c r="BQ12" s="134">
        <f>'бюджет округа (района)'!AJ12+'бюджеты поселений'!AJ12</f>
        <v>0</v>
      </c>
      <c r="BR12" s="134">
        <f>'бюджет округа (района)'!AJ12</f>
        <v>0</v>
      </c>
      <c r="BS12" s="134">
        <f t="shared" ref="BS12:BT26" si="163">BM12+BQ12</f>
        <v>0</v>
      </c>
      <c r="BT12" s="134">
        <f t="shared" si="163"/>
        <v>0</v>
      </c>
      <c r="BU12" s="135">
        <f t="shared" si="40"/>
        <v>1</v>
      </c>
      <c r="BV12" s="135">
        <f t="shared" si="40"/>
        <v>1</v>
      </c>
      <c r="BW12" s="134">
        <f>'бюджет округа (района)'!AM12+'бюджеты поселений'!AM12</f>
        <v>0</v>
      </c>
      <c r="BX12" s="134">
        <f>'бюджет округа (района)'!AM12</f>
        <v>0</v>
      </c>
      <c r="BY12" s="134">
        <f t="shared" ref="BY12:BZ26" si="164">BS12+BW12</f>
        <v>0</v>
      </c>
      <c r="BZ12" s="134">
        <f t="shared" si="164"/>
        <v>0</v>
      </c>
      <c r="CA12" s="135">
        <f t="shared" si="42"/>
        <v>1</v>
      </c>
      <c r="CB12" s="135">
        <f t="shared" si="42"/>
        <v>1</v>
      </c>
      <c r="CC12" s="134">
        <f>'бюджет округа (района)'!AP12+'бюджеты поселений'!AP12</f>
        <v>0</v>
      </c>
      <c r="CD12" s="134">
        <f>'бюджет округа (района)'!AP12</f>
        <v>0</v>
      </c>
      <c r="CE12" s="134">
        <f t="shared" ref="CE12:CF26" si="165">BY12+CC12</f>
        <v>0</v>
      </c>
      <c r="CF12" s="134">
        <f t="shared" si="165"/>
        <v>0</v>
      </c>
      <c r="CG12" s="135">
        <f t="shared" si="44"/>
        <v>1</v>
      </c>
      <c r="CH12" s="135">
        <f t="shared" si="44"/>
        <v>1</v>
      </c>
      <c r="CI12" s="134">
        <f>'бюджет округа (района)'!AS12+'бюджеты поселений'!AS12</f>
        <v>0</v>
      </c>
      <c r="CJ12" s="134">
        <f>'бюджет округа (района)'!AS12</f>
        <v>0</v>
      </c>
      <c r="CK12" s="134">
        <f t="shared" ref="CK12:CL26" si="166">CE12+CI12</f>
        <v>0</v>
      </c>
      <c r="CL12" s="134">
        <f t="shared" si="166"/>
        <v>0</v>
      </c>
      <c r="CM12" s="135">
        <f t="shared" si="46"/>
        <v>1</v>
      </c>
      <c r="CN12" s="135">
        <f t="shared" si="46"/>
        <v>1</v>
      </c>
      <c r="CO12" s="134">
        <f>'бюджет округа (района)'!AV12+'бюджеты поселений'!AV12</f>
        <v>0</v>
      </c>
      <c r="CP12" s="134">
        <f>'бюджет округа (района)'!AV12</f>
        <v>0</v>
      </c>
      <c r="CQ12" s="134">
        <f t="shared" ref="CQ12:CR26" si="167">CK12+CO12</f>
        <v>0</v>
      </c>
      <c r="CR12" s="134">
        <f t="shared" si="167"/>
        <v>0</v>
      </c>
      <c r="CS12" s="135">
        <f t="shared" si="48"/>
        <v>1</v>
      </c>
      <c r="CT12" s="135">
        <f t="shared" si="48"/>
        <v>1</v>
      </c>
      <c r="CU12" s="134">
        <f>'бюджет округа (района)'!AY12+'бюджеты поселений'!AY12</f>
        <v>0</v>
      </c>
      <c r="CV12" s="134">
        <f>'бюджет округа (района)'!AY12</f>
        <v>0</v>
      </c>
      <c r="CW12" s="134">
        <f t="shared" ref="CW12:CX26" si="168">CQ12+CU12</f>
        <v>0</v>
      </c>
      <c r="CX12" s="134">
        <f t="shared" si="168"/>
        <v>0</v>
      </c>
      <c r="CY12" s="135">
        <f t="shared" si="50"/>
        <v>1</v>
      </c>
      <c r="CZ12" s="135">
        <f t="shared" si="50"/>
        <v>1</v>
      </c>
      <c r="DA12" s="134">
        <f>'бюджет округа (района)'!BB12+'бюджеты поселений'!BB12</f>
        <v>0</v>
      </c>
      <c r="DB12" s="134">
        <f>'бюджет округа (района)'!BB12</f>
        <v>0</v>
      </c>
      <c r="DC12" s="134">
        <f t="shared" ref="DC12:DD26" si="169">CW12+DA12</f>
        <v>0</v>
      </c>
      <c r="DD12" s="134">
        <f t="shared" si="169"/>
        <v>0</v>
      </c>
      <c r="DE12" s="135">
        <f t="shared" si="52"/>
        <v>1</v>
      </c>
      <c r="DF12" s="135">
        <f t="shared" si="52"/>
        <v>1</v>
      </c>
      <c r="DG12" s="134">
        <f>'бюджет округа (района)'!BE12+'бюджеты поселений'!BE12</f>
        <v>0</v>
      </c>
      <c r="DH12" s="134">
        <f>'бюджет округа (района)'!BE12</f>
        <v>0</v>
      </c>
      <c r="DI12" s="134">
        <f t="shared" ref="DI12:DJ26" si="170">DC12+DG12</f>
        <v>0</v>
      </c>
      <c r="DJ12" s="134">
        <f t="shared" si="170"/>
        <v>0</v>
      </c>
      <c r="DK12" s="135">
        <f t="shared" si="54"/>
        <v>1</v>
      </c>
      <c r="DL12" s="135">
        <f t="shared" si="54"/>
        <v>1</v>
      </c>
      <c r="DM12" s="134">
        <f>'бюджет округа (района)'!BH12+'бюджеты поселений'!BH12</f>
        <v>0</v>
      </c>
      <c r="DN12" s="134">
        <f>'бюджет округа (района)'!BH12</f>
        <v>0</v>
      </c>
      <c r="DO12" s="134">
        <f>'бюджет округа (района)'!BI12+'бюджеты поселений'!BI12</f>
        <v>0</v>
      </c>
      <c r="DP12" s="134">
        <f>'бюджет округа (района)'!BI12</f>
        <v>0</v>
      </c>
      <c r="DQ12" s="134">
        <f>'бюджет округа (района)'!BJ12+'бюджеты поселений'!BJ12</f>
        <v>0</v>
      </c>
      <c r="DR12" s="134">
        <f>'бюджет округа (района)'!BJ12</f>
        <v>0</v>
      </c>
      <c r="DS12" s="135">
        <f>IF($AY$12=0,1,DQ12/$AY$12-1)</f>
        <v>1</v>
      </c>
      <c r="DT12" s="135">
        <f>IF($AZ$12=0,1,DR12/$AZ$12-1)</f>
        <v>1</v>
      </c>
      <c r="DU12" s="135">
        <f t="shared" si="58"/>
        <v>1</v>
      </c>
      <c r="DV12" s="135">
        <f t="shared" si="59"/>
        <v>1</v>
      </c>
      <c r="DW12" s="167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</row>
    <row r="13" spans="1:268" s="62" customFormat="1" ht="18" customHeight="1">
      <c r="A13" s="312" t="s">
        <v>32</v>
      </c>
      <c r="B13" s="313"/>
      <c r="C13" s="134">
        <f>'бюджет округа (района)'!C13+'бюджеты поселений'!C13</f>
        <v>0</v>
      </c>
      <c r="D13" s="134">
        <f>'бюджет округа (района)'!C13</f>
        <v>0</v>
      </c>
      <c r="E13" s="134">
        <f t="shared" si="150"/>
        <v>0</v>
      </c>
      <c r="F13" s="134">
        <f>H13+J13+N13+R13+V13+Z13+AD13+AH13+AL13+AP13+AT13+AX13</f>
        <v>0</v>
      </c>
      <c r="G13" s="134">
        <f>'бюджет округа (района)'!E13+'бюджеты поселений'!E13</f>
        <v>0</v>
      </c>
      <c r="H13" s="134">
        <f>'бюджет округа (района)'!E13</f>
        <v>0</v>
      </c>
      <c r="I13" s="134">
        <f>'бюджет округа (района)'!F13+'бюджеты поселений'!F13</f>
        <v>0</v>
      </c>
      <c r="J13" s="134">
        <f>'бюджет округа (района)'!F13</f>
        <v>0</v>
      </c>
      <c r="K13" s="134">
        <f t="shared" si="151"/>
        <v>0</v>
      </c>
      <c r="L13" s="134">
        <f t="shared" si="151"/>
        <v>0</v>
      </c>
      <c r="M13" s="134">
        <f>'бюджет округа (района)'!H13+'бюджеты поселений'!H13</f>
        <v>0</v>
      </c>
      <c r="N13" s="134">
        <f>'бюджет округа (района)'!H13</f>
        <v>0</v>
      </c>
      <c r="O13" s="134">
        <f t="shared" si="152"/>
        <v>0</v>
      </c>
      <c r="P13" s="134">
        <f t="shared" si="152"/>
        <v>0</v>
      </c>
      <c r="Q13" s="134">
        <f>'бюджет округа (района)'!J13+'бюджеты поселений'!J13</f>
        <v>0</v>
      </c>
      <c r="R13" s="134">
        <f>'бюджет округа (района)'!J13</f>
        <v>0</v>
      </c>
      <c r="S13" s="134">
        <f t="shared" si="153"/>
        <v>0</v>
      </c>
      <c r="T13" s="134">
        <f t="shared" si="153"/>
        <v>0</v>
      </c>
      <c r="U13" s="134">
        <f>'бюджет округа (района)'!L13+'бюджеты поселений'!L13</f>
        <v>0</v>
      </c>
      <c r="V13" s="134">
        <f>'бюджет округа (района)'!L13</f>
        <v>0</v>
      </c>
      <c r="W13" s="134">
        <f t="shared" si="154"/>
        <v>0</v>
      </c>
      <c r="X13" s="134">
        <f t="shared" si="154"/>
        <v>0</v>
      </c>
      <c r="Y13" s="134">
        <f>'бюджет округа (района)'!N13+'бюджеты поселений'!N13</f>
        <v>0</v>
      </c>
      <c r="Z13" s="134">
        <f>'бюджет округа (района)'!N13</f>
        <v>0</v>
      </c>
      <c r="AA13" s="134">
        <f t="shared" si="155"/>
        <v>0</v>
      </c>
      <c r="AB13" s="134">
        <f t="shared" si="155"/>
        <v>0</v>
      </c>
      <c r="AC13" s="134">
        <f>'бюджет округа (района)'!P13+'бюджеты поселений'!P13</f>
        <v>0</v>
      </c>
      <c r="AD13" s="134">
        <f>'бюджет округа (района)'!P13</f>
        <v>0</v>
      </c>
      <c r="AE13" s="134">
        <f t="shared" si="156"/>
        <v>0</v>
      </c>
      <c r="AF13" s="134">
        <f t="shared" si="156"/>
        <v>0</v>
      </c>
      <c r="AG13" s="134">
        <f>'бюджет округа (района)'!R13+'бюджеты поселений'!R13</f>
        <v>0</v>
      </c>
      <c r="AH13" s="134">
        <f>'бюджет округа (района)'!R13</f>
        <v>0</v>
      </c>
      <c r="AI13" s="134">
        <f t="shared" si="157"/>
        <v>0</v>
      </c>
      <c r="AJ13" s="134">
        <f t="shared" si="157"/>
        <v>0</v>
      </c>
      <c r="AK13" s="134">
        <f>'бюджет округа (района)'!T13+'бюджеты поселений'!T13</f>
        <v>0</v>
      </c>
      <c r="AL13" s="134">
        <f>'бюджет округа (района)'!T13</f>
        <v>0</v>
      </c>
      <c r="AM13" s="134">
        <f t="shared" si="158"/>
        <v>0</v>
      </c>
      <c r="AN13" s="134">
        <f t="shared" si="158"/>
        <v>0</v>
      </c>
      <c r="AO13" s="134">
        <f>'бюджет округа (района)'!V13+'бюджеты поселений'!V13</f>
        <v>0</v>
      </c>
      <c r="AP13" s="134">
        <f>'бюджет округа (района)'!V13</f>
        <v>0</v>
      </c>
      <c r="AQ13" s="134">
        <f t="shared" si="159"/>
        <v>0</v>
      </c>
      <c r="AR13" s="134">
        <f t="shared" si="159"/>
        <v>0</v>
      </c>
      <c r="AS13" s="134">
        <f>'бюджет округа (района)'!X13+'бюджеты поселений'!X13</f>
        <v>0</v>
      </c>
      <c r="AT13" s="134">
        <f>'бюджет округа (района)'!X13</f>
        <v>0</v>
      </c>
      <c r="AU13" s="134">
        <f t="shared" si="160"/>
        <v>0</v>
      </c>
      <c r="AV13" s="134">
        <f t="shared" si="160"/>
        <v>0</v>
      </c>
      <c r="AW13" s="134">
        <f>'бюджет округа (района)'!Z13+'бюджеты поселений'!Z13</f>
        <v>0</v>
      </c>
      <c r="AX13" s="134">
        <f>'бюджет округа (района)'!Z13</f>
        <v>0</v>
      </c>
      <c r="AY13" s="134">
        <f>'бюджет округа (района)'!AA13+'бюджеты поселений'!AA13</f>
        <v>0</v>
      </c>
      <c r="AZ13" s="134">
        <f>'бюджет округа (района)'!AA13</f>
        <v>0</v>
      </c>
      <c r="BA13" s="135">
        <f t="shared" si="149"/>
        <v>1</v>
      </c>
      <c r="BB13" s="135">
        <f t="shared" si="149"/>
        <v>1</v>
      </c>
      <c r="BC13" s="134">
        <f>'бюджет округа (района)'!AC13+'бюджеты поселений'!AC13</f>
        <v>0</v>
      </c>
      <c r="BD13" s="134">
        <f>'бюджет округа (района)'!AC13</f>
        <v>0</v>
      </c>
      <c r="BE13" s="134">
        <f>'бюджет округа (района)'!AD13+'бюджеты поселений'!AD13</f>
        <v>0</v>
      </c>
      <c r="BF13" s="134">
        <f>'бюджет округа (района)'!AD13</f>
        <v>0</v>
      </c>
      <c r="BG13" s="134">
        <f t="shared" si="161"/>
        <v>0</v>
      </c>
      <c r="BH13" s="134">
        <f t="shared" si="161"/>
        <v>0</v>
      </c>
      <c r="BI13" s="135">
        <f t="shared" si="36"/>
        <v>1</v>
      </c>
      <c r="BJ13" s="135">
        <f t="shared" si="36"/>
        <v>1</v>
      </c>
      <c r="BK13" s="134">
        <f>'бюджет округа (района)'!AG13+'бюджеты поселений'!AG13</f>
        <v>0</v>
      </c>
      <c r="BL13" s="134">
        <f>'бюджет округа (района)'!AG13</f>
        <v>0</v>
      </c>
      <c r="BM13" s="134">
        <f t="shared" si="162"/>
        <v>0</v>
      </c>
      <c r="BN13" s="134">
        <f t="shared" si="162"/>
        <v>0</v>
      </c>
      <c r="BO13" s="135">
        <f t="shared" si="38"/>
        <v>1</v>
      </c>
      <c r="BP13" s="135">
        <f t="shared" si="38"/>
        <v>1</v>
      </c>
      <c r="BQ13" s="134">
        <f>'бюджет округа (района)'!AJ13+'бюджеты поселений'!AJ13</f>
        <v>0</v>
      </c>
      <c r="BR13" s="134">
        <f>'бюджет округа (района)'!AJ13</f>
        <v>0</v>
      </c>
      <c r="BS13" s="134">
        <f t="shared" si="163"/>
        <v>0</v>
      </c>
      <c r="BT13" s="134">
        <f t="shared" si="163"/>
        <v>0</v>
      </c>
      <c r="BU13" s="135">
        <f t="shared" si="40"/>
        <v>1</v>
      </c>
      <c r="BV13" s="135">
        <f t="shared" si="40"/>
        <v>1</v>
      </c>
      <c r="BW13" s="134">
        <f>'бюджет округа (района)'!AM13+'бюджеты поселений'!AM13</f>
        <v>0</v>
      </c>
      <c r="BX13" s="134">
        <f>'бюджет округа (района)'!AM13</f>
        <v>0</v>
      </c>
      <c r="BY13" s="134">
        <f t="shared" si="164"/>
        <v>0</v>
      </c>
      <c r="BZ13" s="134">
        <f t="shared" si="164"/>
        <v>0</v>
      </c>
      <c r="CA13" s="135">
        <f t="shared" si="42"/>
        <v>1</v>
      </c>
      <c r="CB13" s="135">
        <f t="shared" si="42"/>
        <v>1</v>
      </c>
      <c r="CC13" s="134">
        <f>'бюджет округа (района)'!AP13+'бюджеты поселений'!AP13</f>
        <v>0</v>
      </c>
      <c r="CD13" s="134">
        <f>'бюджет округа (района)'!AP13</f>
        <v>0</v>
      </c>
      <c r="CE13" s="134">
        <f t="shared" si="165"/>
        <v>0</v>
      </c>
      <c r="CF13" s="134">
        <f t="shared" si="165"/>
        <v>0</v>
      </c>
      <c r="CG13" s="135">
        <f t="shared" si="44"/>
        <v>1</v>
      </c>
      <c r="CH13" s="135">
        <f t="shared" si="44"/>
        <v>1</v>
      </c>
      <c r="CI13" s="134">
        <f>'бюджет округа (района)'!AS13+'бюджеты поселений'!AS13</f>
        <v>0</v>
      </c>
      <c r="CJ13" s="134">
        <f>'бюджет округа (района)'!AS13</f>
        <v>0</v>
      </c>
      <c r="CK13" s="134">
        <f t="shared" si="166"/>
        <v>0</v>
      </c>
      <c r="CL13" s="134">
        <f t="shared" si="166"/>
        <v>0</v>
      </c>
      <c r="CM13" s="135">
        <f t="shared" si="46"/>
        <v>1</v>
      </c>
      <c r="CN13" s="135">
        <f t="shared" si="46"/>
        <v>1</v>
      </c>
      <c r="CO13" s="134">
        <f>'бюджет округа (района)'!AV13+'бюджеты поселений'!AV13</f>
        <v>0</v>
      </c>
      <c r="CP13" s="134">
        <f>'бюджет округа (района)'!AV13</f>
        <v>0</v>
      </c>
      <c r="CQ13" s="134">
        <f t="shared" si="167"/>
        <v>0</v>
      </c>
      <c r="CR13" s="134">
        <f t="shared" si="167"/>
        <v>0</v>
      </c>
      <c r="CS13" s="135">
        <f t="shared" si="48"/>
        <v>1</v>
      </c>
      <c r="CT13" s="135">
        <f t="shared" si="48"/>
        <v>1</v>
      </c>
      <c r="CU13" s="134">
        <f>'бюджет округа (района)'!AY13+'бюджеты поселений'!AY13</f>
        <v>0</v>
      </c>
      <c r="CV13" s="134">
        <f>'бюджет округа (района)'!AY13</f>
        <v>0</v>
      </c>
      <c r="CW13" s="134">
        <f t="shared" si="168"/>
        <v>0</v>
      </c>
      <c r="CX13" s="134">
        <f t="shared" si="168"/>
        <v>0</v>
      </c>
      <c r="CY13" s="135">
        <f t="shared" si="50"/>
        <v>1</v>
      </c>
      <c r="CZ13" s="135">
        <f t="shared" si="50"/>
        <v>1</v>
      </c>
      <c r="DA13" s="134">
        <f>'бюджет округа (района)'!BB13+'бюджеты поселений'!BB13</f>
        <v>0</v>
      </c>
      <c r="DB13" s="134">
        <f>'бюджет округа (района)'!BB13</f>
        <v>0</v>
      </c>
      <c r="DC13" s="134">
        <f t="shared" si="169"/>
        <v>0</v>
      </c>
      <c r="DD13" s="134">
        <f t="shared" si="169"/>
        <v>0</v>
      </c>
      <c r="DE13" s="135">
        <f t="shared" si="52"/>
        <v>1</v>
      </c>
      <c r="DF13" s="135">
        <f t="shared" si="52"/>
        <v>1</v>
      </c>
      <c r="DG13" s="134">
        <f>'бюджет округа (района)'!BE13+'бюджеты поселений'!BE13</f>
        <v>0</v>
      </c>
      <c r="DH13" s="134">
        <f>'бюджет округа (района)'!BE13</f>
        <v>0</v>
      </c>
      <c r="DI13" s="134">
        <f t="shared" si="170"/>
        <v>0</v>
      </c>
      <c r="DJ13" s="134">
        <f t="shared" si="170"/>
        <v>0</v>
      </c>
      <c r="DK13" s="135">
        <f t="shared" si="54"/>
        <v>1</v>
      </c>
      <c r="DL13" s="135">
        <f t="shared" si="54"/>
        <v>1</v>
      </c>
      <c r="DM13" s="134">
        <f>'бюджет округа (района)'!BH13+'бюджеты поселений'!BH13</f>
        <v>0</v>
      </c>
      <c r="DN13" s="134">
        <f>'бюджет округа (района)'!BH13</f>
        <v>0</v>
      </c>
      <c r="DO13" s="134">
        <f>'бюджет округа (района)'!BI13+'бюджеты поселений'!BI13</f>
        <v>0</v>
      </c>
      <c r="DP13" s="134">
        <f>'бюджет округа (района)'!BI13</f>
        <v>0</v>
      </c>
      <c r="DQ13" s="134">
        <f>'бюджет округа (района)'!BJ13+'бюджеты поселений'!BJ13</f>
        <v>0</v>
      </c>
      <c r="DR13" s="134">
        <f>'бюджет округа (района)'!BJ13</f>
        <v>0</v>
      </c>
      <c r="DS13" s="135">
        <f>IF($AY$13=0,1,DQ13/$AY$13-1)</f>
        <v>1</v>
      </c>
      <c r="DT13" s="135">
        <f>IF($AZ$13=0,1,DR13/$AZ$13-1)</f>
        <v>1</v>
      </c>
      <c r="DU13" s="135">
        <f t="shared" si="58"/>
        <v>1</v>
      </c>
      <c r="DV13" s="135">
        <f t="shared" si="59"/>
        <v>1</v>
      </c>
      <c r="DW13" s="167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</row>
    <row r="14" spans="1:268" s="62" customFormat="1" ht="18" customHeight="1">
      <c r="A14" s="312" t="s">
        <v>80</v>
      </c>
      <c r="B14" s="313"/>
      <c r="C14" s="134">
        <f>'бюджет округа (района)'!C14+'бюджеты поселений'!C14</f>
        <v>0</v>
      </c>
      <c r="D14" s="134">
        <f>'бюджет округа (района)'!C14</f>
        <v>0</v>
      </c>
      <c r="E14" s="134">
        <f t="shared" si="150"/>
        <v>0</v>
      </c>
      <c r="F14" s="134">
        <f>H14+J14+N14+R14+V14+Z14+AD14+AH14+AL14+AP14+AT14+AX14</f>
        <v>0</v>
      </c>
      <c r="G14" s="134">
        <f>'бюджет округа (района)'!E14+'бюджеты поселений'!E14</f>
        <v>0</v>
      </c>
      <c r="H14" s="134">
        <f>'бюджет округа (района)'!E14</f>
        <v>0</v>
      </c>
      <c r="I14" s="134">
        <f>'бюджет округа (района)'!F14+'бюджеты поселений'!F14</f>
        <v>0</v>
      </c>
      <c r="J14" s="134">
        <f>'бюджет округа (района)'!F14</f>
        <v>0</v>
      </c>
      <c r="K14" s="134">
        <f t="shared" si="151"/>
        <v>0</v>
      </c>
      <c r="L14" s="134">
        <f t="shared" si="151"/>
        <v>0</v>
      </c>
      <c r="M14" s="134">
        <f>'бюджет округа (района)'!H14+'бюджеты поселений'!H14</f>
        <v>0</v>
      </c>
      <c r="N14" s="134">
        <f>'бюджет округа (района)'!H14</f>
        <v>0</v>
      </c>
      <c r="O14" s="134">
        <f t="shared" si="152"/>
        <v>0</v>
      </c>
      <c r="P14" s="134">
        <f t="shared" si="152"/>
        <v>0</v>
      </c>
      <c r="Q14" s="134">
        <f>'бюджет округа (района)'!J14+'бюджеты поселений'!J14</f>
        <v>0</v>
      </c>
      <c r="R14" s="134">
        <f>'бюджет округа (района)'!J14</f>
        <v>0</v>
      </c>
      <c r="S14" s="134">
        <f t="shared" si="153"/>
        <v>0</v>
      </c>
      <c r="T14" s="134">
        <f t="shared" si="153"/>
        <v>0</v>
      </c>
      <c r="U14" s="134">
        <f>'бюджет округа (района)'!L14+'бюджеты поселений'!L14</f>
        <v>0</v>
      </c>
      <c r="V14" s="134">
        <f>'бюджет округа (района)'!L14</f>
        <v>0</v>
      </c>
      <c r="W14" s="134">
        <f t="shared" si="154"/>
        <v>0</v>
      </c>
      <c r="X14" s="134">
        <f t="shared" si="154"/>
        <v>0</v>
      </c>
      <c r="Y14" s="134">
        <f>'бюджет округа (района)'!N14+'бюджеты поселений'!N14</f>
        <v>0</v>
      </c>
      <c r="Z14" s="134">
        <f>'бюджет округа (района)'!N14</f>
        <v>0</v>
      </c>
      <c r="AA14" s="134">
        <f t="shared" si="155"/>
        <v>0</v>
      </c>
      <c r="AB14" s="134">
        <f t="shared" si="155"/>
        <v>0</v>
      </c>
      <c r="AC14" s="134">
        <f>'бюджет округа (района)'!P14+'бюджеты поселений'!P14</f>
        <v>0</v>
      </c>
      <c r="AD14" s="134">
        <f>'бюджет округа (района)'!P14</f>
        <v>0</v>
      </c>
      <c r="AE14" s="134">
        <f t="shared" si="156"/>
        <v>0</v>
      </c>
      <c r="AF14" s="134">
        <f t="shared" si="156"/>
        <v>0</v>
      </c>
      <c r="AG14" s="134">
        <f>'бюджет округа (района)'!R14+'бюджеты поселений'!R14</f>
        <v>0</v>
      </c>
      <c r="AH14" s="134">
        <f>'бюджет округа (района)'!R14</f>
        <v>0</v>
      </c>
      <c r="AI14" s="134">
        <f t="shared" si="157"/>
        <v>0</v>
      </c>
      <c r="AJ14" s="134">
        <f t="shared" si="157"/>
        <v>0</v>
      </c>
      <c r="AK14" s="134">
        <f>'бюджет округа (района)'!T14+'бюджеты поселений'!T14</f>
        <v>0</v>
      </c>
      <c r="AL14" s="134">
        <f>'бюджет округа (района)'!T14</f>
        <v>0</v>
      </c>
      <c r="AM14" s="134">
        <f t="shared" si="158"/>
        <v>0</v>
      </c>
      <c r="AN14" s="134">
        <f t="shared" si="158"/>
        <v>0</v>
      </c>
      <c r="AO14" s="134">
        <f>'бюджет округа (района)'!V14+'бюджеты поселений'!V14</f>
        <v>0</v>
      </c>
      <c r="AP14" s="134">
        <f>'бюджет округа (района)'!V14</f>
        <v>0</v>
      </c>
      <c r="AQ14" s="134">
        <f t="shared" si="159"/>
        <v>0</v>
      </c>
      <c r="AR14" s="134">
        <f t="shared" si="159"/>
        <v>0</v>
      </c>
      <c r="AS14" s="134">
        <f>'бюджет округа (района)'!X14+'бюджеты поселений'!X14</f>
        <v>0</v>
      </c>
      <c r="AT14" s="134">
        <f>'бюджет округа (района)'!X14</f>
        <v>0</v>
      </c>
      <c r="AU14" s="134">
        <f t="shared" si="160"/>
        <v>0</v>
      </c>
      <c r="AV14" s="134">
        <f t="shared" si="160"/>
        <v>0</v>
      </c>
      <c r="AW14" s="134">
        <f>'бюджет округа (района)'!Z14+'бюджеты поселений'!Z14</f>
        <v>0</v>
      </c>
      <c r="AX14" s="134">
        <f>'бюджет округа (района)'!Z14</f>
        <v>0</v>
      </c>
      <c r="AY14" s="134">
        <f>'бюджет округа (района)'!AA14+'бюджеты поселений'!AA14</f>
        <v>0</v>
      </c>
      <c r="AZ14" s="134">
        <f>'бюджет округа (района)'!AA14</f>
        <v>0</v>
      </c>
      <c r="BA14" s="135">
        <f t="shared" si="149"/>
        <v>1</v>
      </c>
      <c r="BB14" s="135">
        <f t="shared" si="149"/>
        <v>1</v>
      </c>
      <c r="BC14" s="134">
        <f>'бюджет округа (района)'!AC14+'бюджеты поселений'!AC14</f>
        <v>0</v>
      </c>
      <c r="BD14" s="134">
        <f>'бюджет округа (района)'!AC14</f>
        <v>0</v>
      </c>
      <c r="BE14" s="134">
        <f>'бюджет округа (района)'!AD14+'бюджеты поселений'!AD14</f>
        <v>0</v>
      </c>
      <c r="BF14" s="134">
        <f>'бюджет округа (района)'!AD14</f>
        <v>0</v>
      </c>
      <c r="BG14" s="134">
        <f t="shared" si="161"/>
        <v>0</v>
      </c>
      <c r="BH14" s="134">
        <f t="shared" si="161"/>
        <v>0</v>
      </c>
      <c r="BI14" s="135">
        <f t="shared" si="36"/>
        <v>1</v>
      </c>
      <c r="BJ14" s="135">
        <f t="shared" si="36"/>
        <v>1</v>
      </c>
      <c r="BK14" s="134">
        <f>'бюджет округа (района)'!AG14+'бюджеты поселений'!AG14</f>
        <v>0</v>
      </c>
      <c r="BL14" s="134">
        <f>'бюджет округа (района)'!AG14</f>
        <v>0</v>
      </c>
      <c r="BM14" s="134">
        <f t="shared" si="162"/>
        <v>0</v>
      </c>
      <c r="BN14" s="134">
        <f t="shared" si="162"/>
        <v>0</v>
      </c>
      <c r="BO14" s="135">
        <f t="shared" si="38"/>
        <v>1</v>
      </c>
      <c r="BP14" s="135">
        <f t="shared" si="38"/>
        <v>1</v>
      </c>
      <c r="BQ14" s="134">
        <f>'бюджет округа (района)'!AJ14+'бюджеты поселений'!AJ14</f>
        <v>0</v>
      </c>
      <c r="BR14" s="134">
        <f>'бюджет округа (района)'!AJ14</f>
        <v>0</v>
      </c>
      <c r="BS14" s="134">
        <f t="shared" si="163"/>
        <v>0</v>
      </c>
      <c r="BT14" s="134">
        <f t="shared" si="163"/>
        <v>0</v>
      </c>
      <c r="BU14" s="135">
        <f t="shared" si="40"/>
        <v>1</v>
      </c>
      <c r="BV14" s="135">
        <f t="shared" si="40"/>
        <v>1</v>
      </c>
      <c r="BW14" s="134">
        <f>'бюджет округа (района)'!AM14+'бюджеты поселений'!AM14</f>
        <v>0</v>
      </c>
      <c r="BX14" s="134">
        <f>'бюджет округа (района)'!AM14</f>
        <v>0</v>
      </c>
      <c r="BY14" s="134">
        <f t="shared" si="164"/>
        <v>0</v>
      </c>
      <c r="BZ14" s="134">
        <f t="shared" si="164"/>
        <v>0</v>
      </c>
      <c r="CA14" s="135">
        <f t="shared" si="42"/>
        <v>1</v>
      </c>
      <c r="CB14" s="135">
        <f t="shared" si="42"/>
        <v>1</v>
      </c>
      <c r="CC14" s="134">
        <f>'бюджет округа (района)'!AP14+'бюджеты поселений'!AP14</f>
        <v>0</v>
      </c>
      <c r="CD14" s="134">
        <f>'бюджет округа (района)'!AP14</f>
        <v>0</v>
      </c>
      <c r="CE14" s="134">
        <f t="shared" si="165"/>
        <v>0</v>
      </c>
      <c r="CF14" s="134">
        <f t="shared" si="165"/>
        <v>0</v>
      </c>
      <c r="CG14" s="135">
        <f t="shared" si="44"/>
        <v>1</v>
      </c>
      <c r="CH14" s="135">
        <f t="shared" si="44"/>
        <v>1</v>
      </c>
      <c r="CI14" s="134">
        <f>'бюджет округа (района)'!AS14+'бюджеты поселений'!AS14</f>
        <v>0</v>
      </c>
      <c r="CJ14" s="134">
        <f>'бюджет округа (района)'!AS14</f>
        <v>0</v>
      </c>
      <c r="CK14" s="134">
        <f t="shared" si="166"/>
        <v>0</v>
      </c>
      <c r="CL14" s="134">
        <f t="shared" si="166"/>
        <v>0</v>
      </c>
      <c r="CM14" s="135">
        <f t="shared" si="46"/>
        <v>1</v>
      </c>
      <c r="CN14" s="135">
        <f t="shared" si="46"/>
        <v>1</v>
      </c>
      <c r="CO14" s="134">
        <f>'бюджет округа (района)'!AV14+'бюджеты поселений'!AV14</f>
        <v>0</v>
      </c>
      <c r="CP14" s="134">
        <f>'бюджет округа (района)'!AV14</f>
        <v>0</v>
      </c>
      <c r="CQ14" s="134">
        <f t="shared" si="167"/>
        <v>0</v>
      </c>
      <c r="CR14" s="134">
        <f t="shared" si="167"/>
        <v>0</v>
      </c>
      <c r="CS14" s="135">
        <f t="shared" si="48"/>
        <v>1</v>
      </c>
      <c r="CT14" s="135">
        <f t="shared" si="48"/>
        <v>1</v>
      </c>
      <c r="CU14" s="134">
        <f>'бюджет округа (района)'!AY14+'бюджеты поселений'!AY14</f>
        <v>0</v>
      </c>
      <c r="CV14" s="134">
        <f>'бюджет округа (района)'!AY14</f>
        <v>0</v>
      </c>
      <c r="CW14" s="134">
        <f t="shared" si="168"/>
        <v>0</v>
      </c>
      <c r="CX14" s="134">
        <f t="shared" si="168"/>
        <v>0</v>
      </c>
      <c r="CY14" s="135">
        <f t="shared" si="50"/>
        <v>1</v>
      </c>
      <c r="CZ14" s="135">
        <f t="shared" si="50"/>
        <v>1</v>
      </c>
      <c r="DA14" s="134">
        <f>'бюджет округа (района)'!BB14+'бюджеты поселений'!BB14</f>
        <v>0</v>
      </c>
      <c r="DB14" s="134">
        <f>'бюджет округа (района)'!BB14</f>
        <v>0</v>
      </c>
      <c r="DC14" s="134">
        <f t="shared" si="169"/>
        <v>0</v>
      </c>
      <c r="DD14" s="134">
        <f t="shared" si="169"/>
        <v>0</v>
      </c>
      <c r="DE14" s="135">
        <f t="shared" si="52"/>
        <v>1</v>
      </c>
      <c r="DF14" s="135">
        <f t="shared" si="52"/>
        <v>1</v>
      </c>
      <c r="DG14" s="134">
        <f>'бюджет округа (района)'!BE14+'бюджеты поселений'!BE14</f>
        <v>0</v>
      </c>
      <c r="DH14" s="134">
        <f>'бюджет округа (района)'!BE14</f>
        <v>0</v>
      </c>
      <c r="DI14" s="134">
        <f t="shared" si="170"/>
        <v>0</v>
      </c>
      <c r="DJ14" s="134">
        <f t="shared" si="170"/>
        <v>0</v>
      </c>
      <c r="DK14" s="135">
        <f t="shared" si="54"/>
        <v>1</v>
      </c>
      <c r="DL14" s="135">
        <f t="shared" si="54"/>
        <v>1</v>
      </c>
      <c r="DM14" s="134">
        <f>'бюджет округа (района)'!BH14+'бюджеты поселений'!BH14</f>
        <v>0</v>
      </c>
      <c r="DN14" s="134">
        <f>'бюджет округа (района)'!BH14</f>
        <v>0</v>
      </c>
      <c r="DO14" s="134">
        <f>'бюджет округа (района)'!BI14+'бюджеты поселений'!BI14</f>
        <v>0</v>
      </c>
      <c r="DP14" s="134">
        <f>'бюджет округа (района)'!BI14</f>
        <v>0</v>
      </c>
      <c r="DQ14" s="134">
        <f>'бюджет округа (района)'!BJ14+'бюджеты поселений'!BJ14</f>
        <v>0</v>
      </c>
      <c r="DR14" s="134">
        <f>'бюджет округа (района)'!BJ14</f>
        <v>0</v>
      </c>
      <c r="DS14" s="135">
        <f>IF($AY$14=0,1,DQ14/$AY$14-1)</f>
        <v>1</v>
      </c>
      <c r="DT14" s="135">
        <f>IF($AZ$14=0,1,DR14/$AZ$14-1)</f>
        <v>1</v>
      </c>
      <c r="DU14" s="135">
        <f t="shared" si="58"/>
        <v>1</v>
      </c>
      <c r="DV14" s="135">
        <f t="shared" si="59"/>
        <v>1</v>
      </c>
      <c r="DW14" s="167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61"/>
      <c r="JA14" s="61"/>
      <c r="JB14" s="61"/>
      <c r="JC14" s="61"/>
      <c r="JD14" s="61"/>
      <c r="JE14" s="61"/>
      <c r="JF14" s="61"/>
      <c r="JG14" s="61"/>
      <c r="JH14" s="61"/>
    </row>
    <row r="15" spans="1:268" s="62" customFormat="1" ht="18" customHeight="1">
      <c r="A15" s="312" t="s">
        <v>33</v>
      </c>
      <c r="B15" s="313"/>
      <c r="C15" s="134">
        <f>'бюджеты поселений'!C15</f>
        <v>0</v>
      </c>
      <c r="D15" s="134" t="s">
        <v>34</v>
      </c>
      <c r="E15" s="134">
        <f t="shared" si="150"/>
        <v>0</v>
      </c>
      <c r="F15" s="134" t="s">
        <v>34</v>
      </c>
      <c r="G15" s="134">
        <f>'бюджеты поселений'!E15</f>
        <v>0</v>
      </c>
      <c r="H15" s="134" t="s">
        <v>34</v>
      </c>
      <c r="I15" s="134">
        <f>'бюджеты поселений'!F15</f>
        <v>0</v>
      </c>
      <c r="J15" s="134" t="s">
        <v>34</v>
      </c>
      <c r="K15" s="134">
        <f t="shared" si="151"/>
        <v>0</v>
      </c>
      <c r="L15" s="134" t="s">
        <v>34</v>
      </c>
      <c r="M15" s="134">
        <f>'бюджеты поселений'!H15</f>
        <v>0</v>
      </c>
      <c r="N15" s="134" t="s">
        <v>34</v>
      </c>
      <c r="O15" s="134">
        <f t="shared" si="152"/>
        <v>0</v>
      </c>
      <c r="P15" s="134" t="s">
        <v>34</v>
      </c>
      <c r="Q15" s="134">
        <f>'бюджеты поселений'!J15</f>
        <v>0</v>
      </c>
      <c r="R15" s="134" t="s">
        <v>34</v>
      </c>
      <c r="S15" s="134">
        <f t="shared" si="153"/>
        <v>0</v>
      </c>
      <c r="T15" s="134" t="s">
        <v>34</v>
      </c>
      <c r="U15" s="134">
        <f>'бюджеты поселений'!L15</f>
        <v>0</v>
      </c>
      <c r="V15" s="134" t="s">
        <v>34</v>
      </c>
      <c r="W15" s="134">
        <f t="shared" si="154"/>
        <v>0</v>
      </c>
      <c r="X15" s="134" t="s">
        <v>34</v>
      </c>
      <c r="Y15" s="134">
        <f>'бюджеты поселений'!N15</f>
        <v>0</v>
      </c>
      <c r="Z15" s="134" t="s">
        <v>34</v>
      </c>
      <c r="AA15" s="134">
        <f t="shared" si="155"/>
        <v>0</v>
      </c>
      <c r="AB15" s="134" t="s">
        <v>34</v>
      </c>
      <c r="AC15" s="134">
        <f>'бюджеты поселений'!P15</f>
        <v>0</v>
      </c>
      <c r="AD15" s="134" t="s">
        <v>34</v>
      </c>
      <c r="AE15" s="134">
        <f t="shared" si="156"/>
        <v>0</v>
      </c>
      <c r="AF15" s="134" t="s">
        <v>34</v>
      </c>
      <c r="AG15" s="134">
        <f>'бюджеты поселений'!R15</f>
        <v>0</v>
      </c>
      <c r="AH15" s="134" t="s">
        <v>34</v>
      </c>
      <c r="AI15" s="134">
        <f t="shared" si="157"/>
        <v>0</v>
      </c>
      <c r="AJ15" s="134" t="s">
        <v>34</v>
      </c>
      <c r="AK15" s="134">
        <f>'бюджеты поселений'!T15</f>
        <v>0</v>
      </c>
      <c r="AL15" s="134" t="s">
        <v>34</v>
      </c>
      <c r="AM15" s="134">
        <f t="shared" si="158"/>
        <v>0</v>
      </c>
      <c r="AN15" s="134" t="s">
        <v>34</v>
      </c>
      <c r="AO15" s="134">
        <f>'бюджеты поселений'!V15</f>
        <v>0</v>
      </c>
      <c r="AP15" s="134" t="s">
        <v>34</v>
      </c>
      <c r="AQ15" s="134">
        <f t="shared" si="159"/>
        <v>0</v>
      </c>
      <c r="AR15" s="134" t="s">
        <v>34</v>
      </c>
      <c r="AS15" s="134">
        <f>'бюджеты поселений'!X15</f>
        <v>0</v>
      </c>
      <c r="AT15" s="134" t="s">
        <v>34</v>
      </c>
      <c r="AU15" s="134">
        <f t="shared" si="160"/>
        <v>0</v>
      </c>
      <c r="AV15" s="134" t="s">
        <v>34</v>
      </c>
      <c r="AW15" s="134">
        <f>'бюджеты поселений'!Z15</f>
        <v>0</v>
      </c>
      <c r="AX15" s="134" t="s">
        <v>34</v>
      </c>
      <c r="AY15" s="134">
        <f>'бюджеты поселений'!AA15</f>
        <v>0</v>
      </c>
      <c r="AZ15" s="134" t="s">
        <v>34</v>
      </c>
      <c r="BA15" s="135">
        <f t="shared" si="149"/>
        <v>1</v>
      </c>
      <c r="BB15" s="135" t="s">
        <v>34</v>
      </c>
      <c r="BC15" s="134">
        <f>'бюджеты поселений'!AC15</f>
        <v>0</v>
      </c>
      <c r="BD15" s="134" t="s">
        <v>34</v>
      </c>
      <c r="BE15" s="134">
        <f>'бюджеты поселений'!AD15</f>
        <v>0</v>
      </c>
      <c r="BF15" s="134" t="s">
        <v>34</v>
      </c>
      <c r="BG15" s="134">
        <f t="shared" si="161"/>
        <v>0</v>
      </c>
      <c r="BH15" s="134" t="s">
        <v>34</v>
      </c>
      <c r="BI15" s="135">
        <f t="shared" si="36"/>
        <v>1</v>
      </c>
      <c r="BJ15" s="135" t="s">
        <v>34</v>
      </c>
      <c r="BK15" s="134">
        <f>'бюджеты поселений'!AG15</f>
        <v>0</v>
      </c>
      <c r="BL15" s="134" t="s">
        <v>34</v>
      </c>
      <c r="BM15" s="134">
        <f t="shared" si="162"/>
        <v>0</v>
      </c>
      <c r="BN15" s="134" t="s">
        <v>34</v>
      </c>
      <c r="BO15" s="135">
        <f t="shared" si="38"/>
        <v>1</v>
      </c>
      <c r="BP15" s="135" t="s">
        <v>34</v>
      </c>
      <c r="BQ15" s="134">
        <f>'бюджеты поселений'!AJ15</f>
        <v>0</v>
      </c>
      <c r="BR15" s="134" t="s">
        <v>34</v>
      </c>
      <c r="BS15" s="134">
        <f t="shared" si="163"/>
        <v>0</v>
      </c>
      <c r="BT15" s="134" t="s">
        <v>34</v>
      </c>
      <c r="BU15" s="135">
        <f t="shared" si="40"/>
        <v>1</v>
      </c>
      <c r="BV15" s="134" t="s">
        <v>34</v>
      </c>
      <c r="BW15" s="134">
        <f>'бюджеты поселений'!AM15</f>
        <v>0</v>
      </c>
      <c r="BX15" s="134" t="s">
        <v>34</v>
      </c>
      <c r="BY15" s="134">
        <f t="shared" si="164"/>
        <v>0</v>
      </c>
      <c r="BZ15" s="134" t="s">
        <v>34</v>
      </c>
      <c r="CA15" s="135">
        <f t="shared" si="42"/>
        <v>1</v>
      </c>
      <c r="CB15" s="134" t="s">
        <v>34</v>
      </c>
      <c r="CC15" s="134">
        <f>'бюджеты поселений'!AP15</f>
        <v>0</v>
      </c>
      <c r="CD15" s="134" t="s">
        <v>34</v>
      </c>
      <c r="CE15" s="134">
        <f t="shared" si="165"/>
        <v>0</v>
      </c>
      <c r="CF15" s="134" t="s">
        <v>34</v>
      </c>
      <c r="CG15" s="135">
        <f t="shared" si="44"/>
        <v>1</v>
      </c>
      <c r="CH15" s="134" t="s">
        <v>34</v>
      </c>
      <c r="CI15" s="134">
        <f>'бюджеты поселений'!AS15</f>
        <v>0</v>
      </c>
      <c r="CJ15" s="134" t="s">
        <v>34</v>
      </c>
      <c r="CK15" s="134">
        <f t="shared" si="166"/>
        <v>0</v>
      </c>
      <c r="CL15" s="134" t="s">
        <v>34</v>
      </c>
      <c r="CM15" s="135">
        <f t="shared" si="46"/>
        <v>1</v>
      </c>
      <c r="CN15" s="134" t="s">
        <v>34</v>
      </c>
      <c r="CO15" s="134">
        <f>'бюджеты поселений'!AV15</f>
        <v>0</v>
      </c>
      <c r="CP15" s="134" t="s">
        <v>34</v>
      </c>
      <c r="CQ15" s="134">
        <f t="shared" si="167"/>
        <v>0</v>
      </c>
      <c r="CR15" s="134" t="s">
        <v>34</v>
      </c>
      <c r="CS15" s="135">
        <f t="shared" si="48"/>
        <v>1</v>
      </c>
      <c r="CT15" s="134" t="s">
        <v>34</v>
      </c>
      <c r="CU15" s="134">
        <f>'бюджеты поселений'!AY15</f>
        <v>0</v>
      </c>
      <c r="CV15" s="134" t="s">
        <v>34</v>
      </c>
      <c r="CW15" s="134">
        <f t="shared" si="168"/>
        <v>0</v>
      </c>
      <c r="CX15" s="134" t="s">
        <v>34</v>
      </c>
      <c r="CY15" s="135">
        <f t="shared" si="50"/>
        <v>1</v>
      </c>
      <c r="CZ15" s="134" t="s">
        <v>34</v>
      </c>
      <c r="DA15" s="134">
        <f>'бюджеты поселений'!BB15</f>
        <v>0</v>
      </c>
      <c r="DB15" s="134" t="s">
        <v>34</v>
      </c>
      <c r="DC15" s="134">
        <f t="shared" si="169"/>
        <v>0</v>
      </c>
      <c r="DD15" s="134" t="s">
        <v>34</v>
      </c>
      <c r="DE15" s="135">
        <f t="shared" si="52"/>
        <v>1</v>
      </c>
      <c r="DF15" s="134" t="s">
        <v>34</v>
      </c>
      <c r="DG15" s="134">
        <f>'бюджеты поселений'!BE15</f>
        <v>0</v>
      </c>
      <c r="DH15" s="134" t="s">
        <v>34</v>
      </c>
      <c r="DI15" s="134">
        <f t="shared" si="170"/>
        <v>0</v>
      </c>
      <c r="DJ15" s="134" t="s">
        <v>34</v>
      </c>
      <c r="DK15" s="135">
        <f t="shared" si="54"/>
        <v>1</v>
      </c>
      <c r="DL15" s="134" t="s">
        <v>34</v>
      </c>
      <c r="DM15" s="134">
        <f>'бюджеты поселений'!BH15</f>
        <v>0</v>
      </c>
      <c r="DN15" s="134" t="s">
        <v>34</v>
      </c>
      <c r="DO15" s="134">
        <f>'бюджеты поселений'!BI15</f>
        <v>0</v>
      </c>
      <c r="DP15" s="134" t="s">
        <v>34</v>
      </c>
      <c r="DQ15" s="134">
        <f>'бюджеты поселений'!BJ15</f>
        <v>0</v>
      </c>
      <c r="DR15" s="134" t="s">
        <v>34</v>
      </c>
      <c r="DS15" s="135">
        <f>IF($AY$15=0,1,DQ15/$AY$15-1)</f>
        <v>1</v>
      </c>
      <c r="DT15" s="134" t="s">
        <v>34</v>
      </c>
      <c r="DU15" s="135">
        <f t="shared" si="58"/>
        <v>1</v>
      </c>
      <c r="DV15" s="134" t="s">
        <v>34</v>
      </c>
      <c r="DW15" s="167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</row>
    <row r="16" spans="1:268" s="62" customFormat="1" ht="18" customHeight="1">
      <c r="A16" s="312" t="s">
        <v>35</v>
      </c>
      <c r="B16" s="313"/>
      <c r="C16" s="134">
        <f>'бюджеты поселений'!C16</f>
        <v>0</v>
      </c>
      <c r="D16" s="134" t="s">
        <v>34</v>
      </c>
      <c r="E16" s="134">
        <f t="shared" si="150"/>
        <v>0</v>
      </c>
      <c r="F16" s="134" t="s">
        <v>34</v>
      </c>
      <c r="G16" s="134">
        <f>'бюджеты поселений'!E16</f>
        <v>0</v>
      </c>
      <c r="H16" s="134" t="s">
        <v>34</v>
      </c>
      <c r="I16" s="134">
        <f>'бюджеты поселений'!F16</f>
        <v>0</v>
      </c>
      <c r="J16" s="134" t="s">
        <v>34</v>
      </c>
      <c r="K16" s="134">
        <f t="shared" si="151"/>
        <v>0</v>
      </c>
      <c r="L16" s="134" t="s">
        <v>34</v>
      </c>
      <c r="M16" s="134">
        <f>'бюджеты поселений'!H16</f>
        <v>0</v>
      </c>
      <c r="N16" s="134" t="s">
        <v>34</v>
      </c>
      <c r="O16" s="134">
        <f t="shared" si="152"/>
        <v>0</v>
      </c>
      <c r="P16" s="134" t="s">
        <v>34</v>
      </c>
      <c r="Q16" s="134">
        <f>'бюджеты поселений'!J16</f>
        <v>0</v>
      </c>
      <c r="R16" s="134" t="s">
        <v>34</v>
      </c>
      <c r="S16" s="134">
        <f t="shared" si="153"/>
        <v>0</v>
      </c>
      <c r="T16" s="134" t="s">
        <v>34</v>
      </c>
      <c r="U16" s="134">
        <f>'бюджеты поселений'!L16</f>
        <v>0</v>
      </c>
      <c r="V16" s="134" t="s">
        <v>34</v>
      </c>
      <c r="W16" s="134">
        <f t="shared" si="154"/>
        <v>0</v>
      </c>
      <c r="X16" s="134" t="s">
        <v>34</v>
      </c>
      <c r="Y16" s="134">
        <f>'бюджеты поселений'!N16</f>
        <v>0</v>
      </c>
      <c r="Z16" s="134" t="s">
        <v>34</v>
      </c>
      <c r="AA16" s="134">
        <f t="shared" si="155"/>
        <v>0</v>
      </c>
      <c r="AB16" s="134" t="s">
        <v>34</v>
      </c>
      <c r="AC16" s="134">
        <f>'бюджеты поселений'!P16</f>
        <v>0</v>
      </c>
      <c r="AD16" s="134" t="s">
        <v>34</v>
      </c>
      <c r="AE16" s="134">
        <f t="shared" si="156"/>
        <v>0</v>
      </c>
      <c r="AF16" s="134" t="s">
        <v>34</v>
      </c>
      <c r="AG16" s="134">
        <f>'бюджеты поселений'!R16</f>
        <v>0</v>
      </c>
      <c r="AH16" s="134" t="s">
        <v>34</v>
      </c>
      <c r="AI16" s="134">
        <f t="shared" si="157"/>
        <v>0</v>
      </c>
      <c r="AJ16" s="134" t="s">
        <v>34</v>
      </c>
      <c r="AK16" s="134">
        <f>'бюджеты поселений'!T16</f>
        <v>0</v>
      </c>
      <c r="AL16" s="134" t="s">
        <v>34</v>
      </c>
      <c r="AM16" s="134">
        <f t="shared" si="158"/>
        <v>0</v>
      </c>
      <c r="AN16" s="134" t="s">
        <v>34</v>
      </c>
      <c r="AO16" s="134">
        <f>'бюджеты поселений'!V16</f>
        <v>0</v>
      </c>
      <c r="AP16" s="134" t="s">
        <v>34</v>
      </c>
      <c r="AQ16" s="134">
        <f t="shared" si="159"/>
        <v>0</v>
      </c>
      <c r="AR16" s="134" t="s">
        <v>34</v>
      </c>
      <c r="AS16" s="134">
        <f>'бюджеты поселений'!X16</f>
        <v>0</v>
      </c>
      <c r="AT16" s="134" t="s">
        <v>34</v>
      </c>
      <c r="AU16" s="134">
        <f t="shared" si="160"/>
        <v>0</v>
      </c>
      <c r="AV16" s="134" t="s">
        <v>34</v>
      </c>
      <c r="AW16" s="134">
        <f>'бюджеты поселений'!Z16</f>
        <v>0</v>
      </c>
      <c r="AX16" s="134" t="s">
        <v>34</v>
      </c>
      <c r="AY16" s="134">
        <f>'бюджеты поселений'!AA16</f>
        <v>0</v>
      </c>
      <c r="AZ16" s="134" t="s">
        <v>34</v>
      </c>
      <c r="BA16" s="135">
        <f t="shared" si="149"/>
        <v>1</v>
      </c>
      <c r="BB16" s="135" t="s">
        <v>34</v>
      </c>
      <c r="BC16" s="134">
        <f>'бюджеты поселений'!AC16</f>
        <v>0</v>
      </c>
      <c r="BD16" s="134" t="s">
        <v>34</v>
      </c>
      <c r="BE16" s="134">
        <f>'бюджеты поселений'!AD16</f>
        <v>0</v>
      </c>
      <c r="BF16" s="134" t="s">
        <v>34</v>
      </c>
      <c r="BG16" s="134">
        <f t="shared" si="161"/>
        <v>0</v>
      </c>
      <c r="BH16" s="134" t="s">
        <v>34</v>
      </c>
      <c r="BI16" s="135">
        <f t="shared" si="36"/>
        <v>1</v>
      </c>
      <c r="BJ16" s="135" t="s">
        <v>34</v>
      </c>
      <c r="BK16" s="134">
        <f>'бюджеты поселений'!AG16</f>
        <v>0</v>
      </c>
      <c r="BL16" s="134" t="s">
        <v>34</v>
      </c>
      <c r="BM16" s="134">
        <f t="shared" si="162"/>
        <v>0</v>
      </c>
      <c r="BN16" s="134" t="s">
        <v>34</v>
      </c>
      <c r="BO16" s="135">
        <f t="shared" si="38"/>
        <v>1</v>
      </c>
      <c r="BP16" s="135" t="s">
        <v>34</v>
      </c>
      <c r="BQ16" s="134">
        <f>'бюджеты поселений'!AJ16</f>
        <v>0</v>
      </c>
      <c r="BR16" s="134" t="s">
        <v>34</v>
      </c>
      <c r="BS16" s="134">
        <f t="shared" si="163"/>
        <v>0</v>
      </c>
      <c r="BT16" s="134" t="s">
        <v>34</v>
      </c>
      <c r="BU16" s="135">
        <f t="shared" si="40"/>
        <v>1</v>
      </c>
      <c r="BV16" s="134" t="s">
        <v>34</v>
      </c>
      <c r="BW16" s="134">
        <f>'бюджеты поселений'!AM16</f>
        <v>0</v>
      </c>
      <c r="BX16" s="134" t="s">
        <v>34</v>
      </c>
      <c r="BY16" s="134">
        <f t="shared" si="164"/>
        <v>0</v>
      </c>
      <c r="BZ16" s="134" t="s">
        <v>34</v>
      </c>
      <c r="CA16" s="135">
        <f t="shared" si="42"/>
        <v>1</v>
      </c>
      <c r="CB16" s="134" t="s">
        <v>34</v>
      </c>
      <c r="CC16" s="134">
        <f>'бюджеты поселений'!AP16</f>
        <v>0</v>
      </c>
      <c r="CD16" s="134" t="s">
        <v>34</v>
      </c>
      <c r="CE16" s="134">
        <f t="shared" si="165"/>
        <v>0</v>
      </c>
      <c r="CF16" s="134" t="s">
        <v>34</v>
      </c>
      <c r="CG16" s="135">
        <f t="shared" si="44"/>
        <v>1</v>
      </c>
      <c r="CH16" s="134" t="s">
        <v>34</v>
      </c>
      <c r="CI16" s="134">
        <f>'бюджеты поселений'!AS16</f>
        <v>0</v>
      </c>
      <c r="CJ16" s="134" t="s">
        <v>34</v>
      </c>
      <c r="CK16" s="134">
        <f t="shared" si="166"/>
        <v>0</v>
      </c>
      <c r="CL16" s="134" t="s">
        <v>34</v>
      </c>
      <c r="CM16" s="135">
        <f t="shared" si="46"/>
        <v>1</v>
      </c>
      <c r="CN16" s="134" t="s">
        <v>34</v>
      </c>
      <c r="CO16" s="134">
        <f>'бюджеты поселений'!AV16</f>
        <v>0</v>
      </c>
      <c r="CP16" s="134" t="s">
        <v>34</v>
      </c>
      <c r="CQ16" s="134">
        <f t="shared" si="167"/>
        <v>0</v>
      </c>
      <c r="CR16" s="134" t="s">
        <v>34</v>
      </c>
      <c r="CS16" s="135">
        <f t="shared" si="48"/>
        <v>1</v>
      </c>
      <c r="CT16" s="134" t="s">
        <v>34</v>
      </c>
      <c r="CU16" s="134">
        <f>'бюджеты поселений'!AY16</f>
        <v>0</v>
      </c>
      <c r="CV16" s="134" t="s">
        <v>34</v>
      </c>
      <c r="CW16" s="134">
        <f t="shared" si="168"/>
        <v>0</v>
      </c>
      <c r="CX16" s="134" t="s">
        <v>34</v>
      </c>
      <c r="CY16" s="135">
        <f t="shared" si="50"/>
        <v>1</v>
      </c>
      <c r="CZ16" s="134" t="s">
        <v>34</v>
      </c>
      <c r="DA16" s="134">
        <f>'бюджеты поселений'!BB16</f>
        <v>0</v>
      </c>
      <c r="DB16" s="134" t="s">
        <v>34</v>
      </c>
      <c r="DC16" s="134">
        <f t="shared" si="169"/>
        <v>0</v>
      </c>
      <c r="DD16" s="134" t="s">
        <v>34</v>
      </c>
      <c r="DE16" s="135">
        <f t="shared" si="52"/>
        <v>1</v>
      </c>
      <c r="DF16" s="134" t="s">
        <v>34</v>
      </c>
      <c r="DG16" s="134">
        <f>'бюджеты поселений'!BE16</f>
        <v>0</v>
      </c>
      <c r="DH16" s="134" t="s">
        <v>34</v>
      </c>
      <c r="DI16" s="134">
        <f t="shared" si="170"/>
        <v>0</v>
      </c>
      <c r="DJ16" s="134" t="s">
        <v>34</v>
      </c>
      <c r="DK16" s="135">
        <f t="shared" si="54"/>
        <v>1</v>
      </c>
      <c r="DL16" s="134" t="s">
        <v>34</v>
      </c>
      <c r="DM16" s="134">
        <f>'бюджеты поселений'!BH16</f>
        <v>0</v>
      </c>
      <c r="DN16" s="134" t="s">
        <v>34</v>
      </c>
      <c r="DO16" s="134">
        <f>'бюджеты поселений'!BI16</f>
        <v>0</v>
      </c>
      <c r="DP16" s="134" t="s">
        <v>34</v>
      </c>
      <c r="DQ16" s="134">
        <f>'бюджеты поселений'!BJ16</f>
        <v>0</v>
      </c>
      <c r="DR16" s="134" t="s">
        <v>34</v>
      </c>
      <c r="DS16" s="135">
        <f>IF($AY$16=0,1,DQ16/$AY$16-1)</f>
        <v>1</v>
      </c>
      <c r="DT16" s="134" t="s">
        <v>34</v>
      </c>
      <c r="DU16" s="135">
        <f t="shared" si="58"/>
        <v>1</v>
      </c>
      <c r="DV16" s="134" t="s">
        <v>34</v>
      </c>
      <c r="DW16" s="167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</row>
    <row r="17" spans="1:268" s="62" customFormat="1" ht="18" customHeight="1">
      <c r="A17" s="312" t="s">
        <v>36</v>
      </c>
      <c r="B17" s="313"/>
      <c r="C17" s="134">
        <f>'бюджет округа (района)'!C17+'бюджеты поселений'!C17</f>
        <v>0</v>
      </c>
      <c r="D17" s="134">
        <f>'бюджет округа (района)'!C17</f>
        <v>0</v>
      </c>
      <c r="E17" s="134">
        <f t="shared" si="150"/>
        <v>0</v>
      </c>
      <c r="F17" s="134">
        <f t="shared" si="150"/>
        <v>0</v>
      </c>
      <c r="G17" s="134">
        <f>'бюджет округа (района)'!E17+'бюджеты поселений'!E17</f>
        <v>0</v>
      </c>
      <c r="H17" s="134">
        <f>'бюджет округа (района)'!E17</f>
        <v>0</v>
      </c>
      <c r="I17" s="134">
        <f>'бюджет округа (района)'!F17+'бюджеты поселений'!F17</f>
        <v>0</v>
      </c>
      <c r="J17" s="134">
        <f>'бюджет округа (района)'!F17</f>
        <v>0</v>
      </c>
      <c r="K17" s="134">
        <f t="shared" si="151"/>
        <v>0</v>
      </c>
      <c r="L17" s="134">
        <f t="shared" si="151"/>
        <v>0</v>
      </c>
      <c r="M17" s="134">
        <f>'бюджет округа (района)'!H17+'бюджеты поселений'!H17</f>
        <v>0</v>
      </c>
      <c r="N17" s="134">
        <f>'бюджет округа (района)'!H17</f>
        <v>0</v>
      </c>
      <c r="O17" s="134">
        <f t="shared" si="152"/>
        <v>0</v>
      </c>
      <c r="P17" s="134">
        <f t="shared" si="152"/>
        <v>0</v>
      </c>
      <c r="Q17" s="134">
        <f>'бюджет округа (района)'!J17+'бюджеты поселений'!J17</f>
        <v>0</v>
      </c>
      <c r="R17" s="134">
        <f>'бюджет округа (района)'!J17</f>
        <v>0</v>
      </c>
      <c r="S17" s="134">
        <f t="shared" si="153"/>
        <v>0</v>
      </c>
      <c r="T17" s="134">
        <f t="shared" si="153"/>
        <v>0</v>
      </c>
      <c r="U17" s="134">
        <f>'бюджет округа (района)'!L17+'бюджеты поселений'!L17</f>
        <v>0</v>
      </c>
      <c r="V17" s="134">
        <f>'бюджет округа (района)'!L17</f>
        <v>0</v>
      </c>
      <c r="W17" s="134">
        <f t="shared" si="154"/>
        <v>0</v>
      </c>
      <c r="X17" s="134">
        <f t="shared" si="154"/>
        <v>0</v>
      </c>
      <c r="Y17" s="134">
        <f>'бюджет округа (района)'!N17+'бюджеты поселений'!N17</f>
        <v>0</v>
      </c>
      <c r="Z17" s="134">
        <f>'бюджет округа (района)'!N17</f>
        <v>0</v>
      </c>
      <c r="AA17" s="134">
        <f t="shared" si="155"/>
        <v>0</v>
      </c>
      <c r="AB17" s="134">
        <f t="shared" si="155"/>
        <v>0</v>
      </c>
      <c r="AC17" s="134">
        <f>'бюджет округа (района)'!P17+'бюджеты поселений'!P17</f>
        <v>0</v>
      </c>
      <c r="AD17" s="134">
        <f>'бюджет округа (района)'!P17</f>
        <v>0</v>
      </c>
      <c r="AE17" s="134">
        <f t="shared" si="156"/>
        <v>0</v>
      </c>
      <c r="AF17" s="134">
        <f t="shared" si="156"/>
        <v>0</v>
      </c>
      <c r="AG17" s="134">
        <f>'бюджет округа (района)'!R17+'бюджеты поселений'!R17</f>
        <v>0</v>
      </c>
      <c r="AH17" s="134">
        <f>'бюджет округа (района)'!R17</f>
        <v>0</v>
      </c>
      <c r="AI17" s="134">
        <f t="shared" si="157"/>
        <v>0</v>
      </c>
      <c r="AJ17" s="134">
        <f t="shared" si="157"/>
        <v>0</v>
      </c>
      <c r="AK17" s="134">
        <f>'бюджет округа (района)'!T17+'бюджеты поселений'!T17</f>
        <v>0</v>
      </c>
      <c r="AL17" s="134">
        <f>'бюджет округа (района)'!T17</f>
        <v>0</v>
      </c>
      <c r="AM17" s="134">
        <f t="shared" si="158"/>
        <v>0</v>
      </c>
      <c r="AN17" s="134">
        <f t="shared" si="158"/>
        <v>0</v>
      </c>
      <c r="AO17" s="134">
        <f>'бюджет округа (района)'!V17+'бюджеты поселений'!V17</f>
        <v>0</v>
      </c>
      <c r="AP17" s="134">
        <f>'бюджет округа (района)'!V17</f>
        <v>0</v>
      </c>
      <c r="AQ17" s="134">
        <f t="shared" si="159"/>
        <v>0</v>
      </c>
      <c r="AR17" s="134">
        <f t="shared" si="159"/>
        <v>0</v>
      </c>
      <c r="AS17" s="134">
        <f>'бюджет округа (района)'!X17+'бюджеты поселений'!X17</f>
        <v>0</v>
      </c>
      <c r="AT17" s="134">
        <f>'бюджет округа (района)'!X17</f>
        <v>0</v>
      </c>
      <c r="AU17" s="134">
        <f t="shared" si="160"/>
        <v>0</v>
      </c>
      <c r="AV17" s="134">
        <f t="shared" si="160"/>
        <v>0</v>
      </c>
      <c r="AW17" s="134">
        <f>'бюджет округа (района)'!Z17+'бюджеты поселений'!Z17</f>
        <v>0</v>
      </c>
      <c r="AX17" s="134">
        <f>'бюджет округа (района)'!Z17</f>
        <v>0</v>
      </c>
      <c r="AY17" s="134">
        <f>'бюджет округа (района)'!AA17+'бюджеты поселений'!AA17</f>
        <v>0</v>
      </c>
      <c r="AZ17" s="134">
        <f>'бюджет округа (района)'!AA17</f>
        <v>0</v>
      </c>
      <c r="BA17" s="135">
        <f t="shared" si="149"/>
        <v>1</v>
      </c>
      <c r="BB17" s="135">
        <f t="shared" si="149"/>
        <v>1</v>
      </c>
      <c r="BC17" s="134">
        <f>'бюджет округа (района)'!AC17+'бюджеты поселений'!AC17</f>
        <v>0</v>
      </c>
      <c r="BD17" s="134">
        <f>'бюджет округа (района)'!AC17</f>
        <v>0</v>
      </c>
      <c r="BE17" s="134">
        <f>'бюджет округа (района)'!AD17+'бюджеты поселений'!AD17</f>
        <v>0</v>
      </c>
      <c r="BF17" s="134">
        <f>'бюджет округа (района)'!AD17</f>
        <v>0</v>
      </c>
      <c r="BG17" s="134">
        <f t="shared" si="161"/>
        <v>0</v>
      </c>
      <c r="BH17" s="134">
        <f t="shared" si="161"/>
        <v>0</v>
      </c>
      <c r="BI17" s="135">
        <f t="shared" si="36"/>
        <v>1</v>
      </c>
      <c r="BJ17" s="135">
        <f t="shared" si="36"/>
        <v>1</v>
      </c>
      <c r="BK17" s="134">
        <f>'бюджет округа (района)'!AG17+'бюджеты поселений'!AG17</f>
        <v>0</v>
      </c>
      <c r="BL17" s="134">
        <f>'бюджет округа (района)'!AG17</f>
        <v>0</v>
      </c>
      <c r="BM17" s="134">
        <f t="shared" si="162"/>
        <v>0</v>
      </c>
      <c r="BN17" s="134">
        <f t="shared" si="162"/>
        <v>0</v>
      </c>
      <c r="BO17" s="135">
        <f t="shared" si="38"/>
        <v>1</v>
      </c>
      <c r="BP17" s="135">
        <f t="shared" si="38"/>
        <v>1</v>
      </c>
      <c r="BQ17" s="134">
        <f>'бюджет округа (района)'!AJ17+'бюджеты поселений'!AJ17</f>
        <v>0</v>
      </c>
      <c r="BR17" s="134">
        <f>'бюджет округа (района)'!AJ17</f>
        <v>0</v>
      </c>
      <c r="BS17" s="134">
        <f t="shared" si="163"/>
        <v>0</v>
      </c>
      <c r="BT17" s="134">
        <f t="shared" si="163"/>
        <v>0</v>
      </c>
      <c r="BU17" s="135">
        <f t="shared" si="40"/>
        <v>1</v>
      </c>
      <c r="BV17" s="135">
        <f t="shared" si="40"/>
        <v>1</v>
      </c>
      <c r="BW17" s="134">
        <f>'бюджет округа (района)'!AM17+'бюджеты поселений'!AM17</f>
        <v>0</v>
      </c>
      <c r="BX17" s="134">
        <f>'бюджет округа (района)'!AM17</f>
        <v>0</v>
      </c>
      <c r="BY17" s="134">
        <f t="shared" si="164"/>
        <v>0</v>
      </c>
      <c r="BZ17" s="134">
        <f t="shared" si="164"/>
        <v>0</v>
      </c>
      <c r="CA17" s="135">
        <f t="shared" si="42"/>
        <v>1</v>
      </c>
      <c r="CB17" s="135">
        <f t="shared" si="42"/>
        <v>1</v>
      </c>
      <c r="CC17" s="134">
        <f>'бюджет округа (района)'!AP17+'бюджеты поселений'!AP17</f>
        <v>0</v>
      </c>
      <c r="CD17" s="134">
        <f>'бюджет округа (района)'!AP17</f>
        <v>0</v>
      </c>
      <c r="CE17" s="134">
        <f t="shared" si="165"/>
        <v>0</v>
      </c>
      <c r="CF17" s="134">
        <f t="shared" si="165"/>
        <v>0</v>
      </c>
      <c r="CG17" s="135">
        <f t="shared" si="44"/>
        <v>1</v>
      </c>
      <c r="CH17" s="135">
        <f t="shared" si="44"/>
        <v>1</v>
      </c>
      <c r="CI17" s="134">
        <f>'бюджет округа (района)'!AS17+'бюджеты поселений'!AS17</f>
        <v>0</v>
      </c>
      <c r="CJ17" s="134">
        <f>'бюджет округа (района)'!AS17</f>
        <v>0</v>
      </c>
      <c r="CK17" s="134">
        <f t="shared" si="166"/>
        <v>0</v>
      </c>
      <c r="CL17" s="134">
        <f t="shared" si="166"/>
        <v>0</v>
      </c>
      <c r="CM17" s="135">
        <f t="shared" si="46"/>
        <v>1</v>
      </c>
      <c r="CN17" s="135">
        <f t="shared" si="46"/>
        <v>1</v>
      </c>
      <c r="CO17" s="134">
        <f>'бюджет округа (района)'!AV17+'бюджеты поселений'!AV17</f>
        <v>0</v>
      </c>
      <c r="CP17" s="134">
        <f>'бюджет округа (района)'!AV17</f>
        <v>0</v>
      </c>
      <c r="CQ17" s="134">
        <f t="shared" si="167"/>
        <v>0</v>
      </c>
      <c r="CR17" s="134">
        <f t="shared" si="167"/>
        <v>0</v>
      </c>
      <c r="CS17" s="135">
        <f t="shared" si="48"/>
        <v>1</v>
      </c>
      <c r="CT17" s="135">
        <f t="shared" si="48"/>
        <v>1</v>
      </c>
      <c r="CU17" s="134">
        <f>'бюджет округа (района)'!AY17+'бюджеты поселений'!AY17</f>
        <v>0</v>
      </c>
      <c r="CV17" s="134">
        <f>'бюджет округа (района)'!AY17</f>
        <v>0</v>
      </c>
      <c r="CW17" s="134">
        <f t="shared" si="168"/>
        <v>0</v>
      </c>
      <c r="CX17" s="134">
        <f t="shared" si="168"/>
        <v>0</v>
      </c>
      <c r="CY17" s="135">
        <f t="shared" si="50"/>
        <v>1</v>
      </c>
      <c r="CZ17" s="135">
        <f t="shared" si="50"/>
        <v>1</v>
      </c>
      <c r="DA17" s="134">
        <f>'бюджет округа (района)'!BB17+'бюджеты поселений'!BB17</f>
        <v>0</v>
      </c>
      <c r="DB17" s="134">
        <f>'бюджет округа (района)'!BB17</f>
        <v>0</v>
      </c>
      <c r="DC17" s="134">
        <f t="shared" si="169"/>
        <v>0</v>
      </c>
      <c r="DD17" s="134">
        <f t="shared" si="169"/>
        <v>0</v>
      </c>
      <c r="DE17" s="135">
        <f t="shared" si="52"/>
        <v>1</v>
      </c>
      <c r="DF17" s="135">
        <f t="shared" si="52"/>
        <v>1</v>
      </c>
      <c r="DG17" s="134">
        <f>'бюджет округа (района)'!BE17+'бюджеты поселений'!BE17</f>
        <v>0</v>
      </c>
      <c r="DH17" s="134">
        <f>'бюджет округа (района)'!BE17</f>
        <v>0</v>
      </c>
      <c r="DI17" s="134">
        <f t="shared" si="170"/>
        <v>0</v>
      </c>
      <c r="DJ17" s="134">
        <f t="shared" si="170"/>
        <v>0</v>
      </c>
      <c r="DK17" s="135">
        <f t="shared" si="54"/>
        <v>1</v>
      </c>
      <c r="DL17" s="135">
        <f t="shared" si="54"/>
        <v>1</v>
      </c>
      <c r="DM17" s="134">
        <f>'бюджет округа (района)'!BH17+'бюджеты поселений'!BH17</f>
        <v>0</v>
      </c>
      <c r="DN17" s="134">
        <f>'бюджет округа (района)'!BH17</f>
        <v>0</v>
      </c>
      <c r="DO17" s="134">
        <f>'бюджет округа (района)'!BI17+'бюджеты поселений'!BI17</f>
        <v>0</v>
      </c>
      <c r="DP17" s="134">
        <f>'бюджет округа (района)'!BI17</f>
        <v>0</v>
      </c>
      <c r="DQ17" s="134">
        <f>'бюджет округа (района)'!BJ17+'бюджеты поселений'!BJ17</f>
        <v>0</v>
      </c>
      <c r="DR17" s="134">
        <f>'бюджет округа (района)'!BJ17</f>
        <v>0</v>
      </c>
      <c r="DS17" s="135">
        <f>IF($AY$17=0,1,DQ17/$AY$17-1)</f>
        <v>1</v>
      </c>
      <c r="DT17" s="135">
        <f>IF($AZ$17=0,1,DR17/$AZ$17-1)</f>
        <v>1</v>
      </c>
      <c r="DU17" s="135">
        <f t="shared" si="58"/>
        <v>1</v>
      </c>
      <c r="DV17" s="135">
        <f t="shared" si="59"/>
        <v>1</v>
      </c>
      <c r="DW17" s="167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</row>
    <row r="18" spans="1:268" s="62" customFormat="1" ht="18" customHeight="1">
      <c r="A18" s="312" t="s">
        <v>37</v>
      </c>
      <c r="B18" s="313"/>
      <c r="C18" s="134">
        <f>'бюджет округа (района)'!C18+'бюджеты поселений'!C18</f>
        <v>0</v>
      </c>
      <c r="D18" s="134">
        <f>'бюджет округа (района)'!C18</f>
        <v>0</v>
      </c>
      <c r="E18" s="134">
        <f t="shared" si="150"/>
        <v>0</v>
      </c>
      <c r="F18" s="134">
        <f t="shared" si="150"/>
        <v>0</v>
      </c>
      <c r="G18" s="134">
        <f>'бюджет округа (района)'!E18+'бюджеты поселений'!E18</f>
        <v>0</v>
      </c>
      <c r="H18" s="134">
        <f>'бюджет округа (района)'!E18</f>
        <v>0</v>
      </c>
      <c r="I18" s="134">
        <f>'бюджет округа (района)'!F18+'бюджеты поселений'!F18</f>
        <v>0</v>
      </c>
      <c r="J18" s="134">
        <f>'бюджет округа (района)'!F18</f>
        <v>0</v>
      </c>
      <c r="K18" s="134">
        <f t="shared" si="151"/>
        <v>0</v>
      </c>
      <c r="L18" s="134">
        <f t="shared" si="151"/>
        <v>0</v>
      </c>
      <c r="M18" s="134">
        <f>'бюджет округа (района)'!H18+'бюджеты поселений'!H18</f>
        <v>0</v>
      </c>
      <c r="N18" s="134">
        <f>'бюджет округа (района)'!H18</f>
        <v>0</v>
      </c>
      <c r="O18" s="134">
        <f t="shared" si="152"/>
        <v>0</v>
      </c>
      <c r="P18" s="134">
        <f t="shared" si="152"/>
        <v>0</v>
      </c>
      <c r="Q18" s="134">
        <f>'бюджет округа (района)'!J18+'бюджеты поселений'!J18</f>
        <v>0</v>
      </c>
      <c r="R18" s="134">
        <f>'бюджет округа (района)'!J18</f>
        <v>0</v>
      </c>
      <c r="S18" s="134">
        <f t="shared" si="153"/>
        <v>0</v>
      </c>
      <c r="T18" s="134">
        <f t="shared" si="153"/>
        <v>0</v>
      </c>
      <c r="U18" s="134">
        <f>'бюджет округа (района)'!L18+'бюджеты поселений'!L18</f>
        <v>0</v>
      </c>
      <c r="V18" s="134">
        <f>'бюджет округа (района)'!L18</f>
        <v>0</v>
      </c>
      <c r="W18" s="134">
        <f t="shared" si="154"/>
        <v>0</v>
      </c>
      <c r="X18" s="134">
        <f t="shared" si="154"/>
        <v>0</v>
      </c>
      <c r="Y18" s="134">
        <f>'бюджет округа (района)'!N18+'бюджеты поселений'!N18</f>
        <v>0</v>
      </c>
      <c r="Z18" s="134">
        <f>'бюджет округа (района)'!N18</f>
        <v>0</v>
      </c>
      <c r="AA18" s="134">
        <f t="shared" si="155"/>
        <v>0</v>
      </c>
      <c r="AB18" s="134">
        <f t="shared" si="155"/>
        <v>0</v>
      </c>
      <c r="AC18" s="134">
        <f>'бюджет округа (района)'!P18+'бюджеты поселений'!P18</f>
        <v>0</v>
      </c>
      <c r="AD18" s="134">
        <f>'бюджет округа (района)'!P18</f>
        <v>0</v>
      </c>
      <c r="AE18" s="134">
        <f t="shared" si="156"/>
        <v>0</v>
      </c>
      <c r="AF18" s="134">
        <f t="shared" si="156"/>
        <v>0</v>
      </c>
      <c r="AG18" s="134">
        <f>'бюджет округа (района)'!R18+'бюджеты поселений'!R18</f>
        <v>0</v>
      </c>
      <c r="AH18" s="134">
        <f>'бюджет округа (района)'!R18</f>
        <v>0</v>
      </c>
      <c r="AI18" s="134">
        <f t="shared" si="157"/>
        <v>0</v>
      </c>
      <c r="AJ18" s="134">
        <f t="shared" si="157"/>
        <v>0</v>
      </c>
      <c r="AK18" s="134">
        <f>'бюджет округа (района)'!T18+'бюджеты поселений'!T18</f>
        <v>0</v>
      </c>
      <c r="AL18" s="134">
        <f>'бюджет округа (района)'!T18</f>
        <v>0</v>
      </c>
      <c r="AM18" s="134">
        <f t="shared" si="158"/>
        <v>0</v>
      </c>
      <c r="AN18" s="134">
        <f t="shared" si="158"/>
        <v>0</v>
      </c>
      <c r="AO18" s="134">
        <f>'бюджет округа (района)'!V18+'бюджеты поселений'!V18</f>
        <v>0</v>
      </c>
      <c r="AP18" s="134">
        <f>'бюджет округа (района)'!V18</f>
        <v>0</v>
      </c>
      <c r="AQ18" s="134">
        <f t="shared" si="159"/>
        <v>0</v>
      </c>
      <c r="AR18" s="134">
        <f t="shared" si="159"/>
        <v>0</v>
      </c>
      <c r="AS18" s="134">
        <f>'бюджет округа (района)'!X18+'бюджеты поселений'!X18</f>
        <v>0</v>
      </c>
      <c r="AT18" s="134">
        <f>'бюджет округа (района)'!X18</f>
        <v>0</v>
      </c>
      <c r="AU18" s="134">
        <f t="shared" si="160"/>
        <v>0</v>
      </c>
      <c r="AV18" s="134">
        <f t="shared" si="160"/>
        <v>0</v>
      </c>
      <c r="AW18" s="134">
        <f>'бюджет округа (района)'!Z18+'бюджеты поселений'!Z18</f>
        <v>0</v>
      </c>
      <c r="AX18" s="134">
        <f>'бюджет округа (района)'!Z18</f>
        <v>0</v>
      </c>
      <c r="AY18" s="134">
        <f>'бюджет округа (района)'!AA18+'бюджеты поселений'!AA18</f>
        <v>0</v>
      </c>
      <c r="AZ18" s="134">
        <f>'бюджет округа (района)'!AA18</f>
        <v>0</v>
      </c>
      <c r="BA18" s="135">
        <f t="shared" si="149"/>
        <v>1</v>
      </c>
      <c r="BB18" s="135">
        <f t="shared" si="149"/>
        <v>1</v>
      </c>
      <c r="BC18" s="134">
        <f>'бюджет округа (района)'!AC18+'бюджеты поселений'!AC18</f>
        <v>0</v>
      </c>
      <c r="BD18" s="134">
        <f>'бюджет округа (района)'!AC18</f>
        <v>0</v>
      </c>
      <c r="BE18" s="134">
        <f>'бюджет округа (района)'!AD18+'бюджеты поселений'!AD18</f>
        <v>0</v>
      </c>
      <c r="BF18" s="134">
        <f>'бюджет округа (района)'!AD18</f>
        <v>0</v>
      </c>
      <c r="BG18" s="134">
        <f t="shared" si="161"/>
        <v>0</v>
      </c>
      <c r="BH18" s="134">
        <f t="shared" si="161"/>
        <v>0</v>
      </c>
      <c r="BI18" s="135">
        <f t="shared" si="36"/>
        <v>1</v>
      </c>
      <c r="BJ18" s="135">
        <f t="shared" si="36"/>
        <v>1</v>
      </c>
      <c r="BK18" s="134">
        <f>'бюджет округа (района)'!AG18+'бюджеты поселений'!AG18</f>
        <v>0</v>
      </c>
      <c r="BL18" s="134">
        <f>'бюджет округа (района)'!AG18</f>
        <v>0</v>
      </c>
      <c r="BM18" s="134">
        <f t="shared" si="162"/>
        <v>0</v>
      </c>
      <c r="BN18" s="134">
        <f t="shared" si="162"/>
        <v>0</v>
      </c>
      <c r="BO18" s="135">
        <f t="shared" si="38"/>
        <v>1</v>
      </c>
      <c r="BP18" s="135">
        <f t="shared" si="38"/>
        <v>1</v>
      </c>
      <c r="BQ18" s="134">
        <f>'бюджет округа (района)'!AJ18+'бюджеты поселений'!AJ18</f>
        <v>0</v>
      </c>
      <c r="BR18" s="134">
        <f>'бюджет округа (района)'!AJ18</f>
        <v>0</v>
      </c>
      <c r="BS18" s="134">
        <f t="shared" si="163"/>
        <v>0</v>
      </c>
      <c r="BT18" s="134">
        <f t="shared" si="163"/>
        <v>0</v>
      </c>
      <c r="BU18" s="135">
        <f t="shared" si="40"/>
        <v>1</v>
      </c>
      <c r="BV18" s="135">
        <f t="shared" si="40"/>
        <v>1</v>
      </c>
      <c r="BW18" s="134">
        <f>'бюджет округа (района)'!AM18+'бюджеты поселений'!AM18</f>
        <v>0</v>
      </c>
      <c r="BX18" s="134">
        <f>'бюджет округа (района)'!AM18</f>
        <v>0</v>
      </c>
      <c r="BY18" s="134">
        <f t="shared" si="164"/>
        <v>0</v>
      </c>
      <c r="BZ18" s="134">
        <f t="shared" si="164"/>
        <v>0</v>
      </c>
      <c r="CA18" s="135">
        <f t="shared" si="42"/>
        <v>1</v>
      </c>
      <c r="CB18" s="135">
        <f t="shared" si="42"/>
        <v>1</v>
      </c>
      <c r="CC18" s="134">
        <f>'бюджет округа (района)'!AP18+'бюджеты поселений'!AP18</f>
        <v>0</v>
      </c>
      <c r="CD18" s="134">
        <f>'бюджет округа (района)'!AP18</f>
        <v>0</v>
      </c>
      <c r="CE18" s="134">
        <f t="shared" si="165"/>
        <v>0</v>
      </c>
      <c r="CF18" s="134">
        <f t="shared" si="165"/>
        <v>0</v>
      </c>
      <c r="CG18" s="135">
        <f t="shared" si="44"/>
        <v>1</v>
      </c>
      <c r="CH18" s="135">
        <f t="shared" si="44"/>
        <v>1</v>
      </c>
      <c r="CI18" s="134">
        <f>'бюджет округа (района)'!AS18+'бюджеты поселений'!AS18</f>
        <v>0</v>
      </c>
      <c r="CJ18" s="134">
        <f>'бюджет округа (района)'!AS18</f>
        <v>0</v>
      </c>
      <c r="CK18" s="134">
        <f t="shared" si="166"/>
        <v>0</v>
      </c>
      <c r="CL18" s="134">
        <f t="shared" si="166"/>
        <v>0</v>
      </c>
      <c r="CM18" s="135">
        <f t="shared" si="46"/>
        <v>1</v>
      </c>
      <c r="CN18" s="135">
        <f t="shared" si="46"/>
        <v>1</v>
      </c>
      <c r="CO18" s="134">
        <f>'бюджет округа (района)'!AV18+'бюджеты поселений'!AV18</f>
        <v>0</v>
      </c>
      <c r="CP18" s="134">
        <f>'бюджет округа (района)'!AV18</f>
        <v>0</v>
      </c>
      <c r="CQ18" s="134">
        <f t="shared" si="167"/>
        <v>0</v>
      </c>
      <c r="CR18" s="134">
        <f t="shared" si="167"/>
        <v>0</v>
      </c>
      <c r="CS18" s="135">
        <f t="shared" si="48"/>
        <v>1</v>
      </c>
      <c r="CT18" s="135">
        <f t="shared" si="48"/>
        <v>1</v>
      </c>
      <c r="CU18" s="134">
        <f>'бюджет округа (района)'!AY18+'бюджеты поселений'!AY18</f>
        <v>0</v>
      </c>
      <c r="CV18" s="134">
        <f>'бюджет округа (района)'!AY18</f>
        <v>0</v>
      </c>
      <c r="CW18" s="134">
        <f t="shared" si="168"/>
        <v>0</v>
      </c>
      <c r="CX18" s="134">
        <f t="shared" si="168"/>
        <v>0</v>
      </c>
      <c r="CY18" s="135">
        <f t="shared" si="50"/>
        <v>1</v>
      </c>
      <c r="CZ18" s="135">
        <f t="shared" si="50"/>
        <v>1</v>
      </c>
      <c r="DA18" s="134">
        <f>'бюджет округа (района)'!BB18+'бюджеты поселений'!BB18</f>
        <v>0</v>
      </c>
      <c r="DB18" s="134">
        <f>'бюджет округа (района)'!BB18</f>
        <v>0</v>
      </c>
      <c r="DC18" s="134">
        <f t="shared" si="169"/>
        <v>0</v>
      </c>
      <c r="DD18" s="134">
        <f t="shared" si="169"/>
        <v>0</v>
      </c>
      <c r="DE18" s="135">
        <f t="shared" si="52"/>
        <v>1</v>
      </c>
      <c r="DF18" s="135">
        <f t="shared" si="52"/>
        <v>1</v>
      </c>
      <c r="DG18" s="134">
        <f>'бюджет округа (района)'!BE18+'бюджеты поселений'!BE18</f>
        <v>0</v>
      </c>
      <c r="DH18" s="134">
        <f>'бюджет округа (района)'!BE18</f>
        <v>0</v>
      </c>
      <c r="DI18" s="134">
        <f t="shared" si="170"/>
        <v>0</v>
      </c>
      <c r="DJ18" s="134">
        <f t="shared" si="170"/>
        <v>0</v>
      </c>
      <c r="DK18" s="135">
        <f t="shared" si="54"/>
        <v>1</v>
      </c>
      <c r="DL18" s="135">
        <f t="shared" si="54"/>
        <v>1</v>
      </c>
      <c r="DM18" s="134">
        <f>'бюджет округа (района)'!BH18+'бюджеты поселений'!BH18</f>
        <v>0</v>
      </c>
      <c r="DN18" s="134">
        <f>'бюджет округа (района)'!BH18</f>
        <v>0</v>
      </c>
      <c r="DO18" s="134">
        <f>'бюджет округа (района)'!BI18+'бюджеты поселений'!BI18</f>
        <v>0</v>
      </c>
      <c r="DP18" s="134">
        <f>'бюджет округа (района)'!BI18</f>
        <v>0</v>
      </c>
      <c r="DQ18" s="134">
        <f>'бюджет округа (района)'!BJ18+'бюджеты поселений'!BJ18</f>
        <v>0</v>
      </c>
      <c r="DR18" s="134">
        <f>'бюджет округа (района)'!BJ18</f>
        <v>0</v>
      </c>
      <c r="DS18" s="135">
        <f>IF($AY$18=0,1,DQ18/$AY$18-1)</f>
        <v>1</v>
      </c>
      <c r="DT18" s="135">
        <f>IF($AZ$18=0,1,DR18/$AZ$18-1)</f>
        <v>1</v>
      </c>
      <c r="DU18" s="135">
        <f t="shared" si="58"/>
        <v>1</v>
      </c>
      <c r="DV18" s="135">
        <f t="shared" si="59"/>
        <v>1</v>
      </c>
      <c r="DW18" s="167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</row>
    <row r="19" spans="1:268" s="62" customFormat="1" ht="18" customHeight="1">
      <c r="A19" s="312" t="s">
        <v>38</v>
      </c>
      <c r="B19" s="313"/>
      <c r="C19" s="134">
        <f>'бюджет округа (района)'!C19+'бюджеты поселений'!C19</f>
        <v>0</v>
      </c>
      <c r="D19" s="134">
        <f>'бюджет округа (района)'!C19</f>
        <v>0</v>
      </c>
      <c r="E19" s="134">
        <f t="shared" si="150"/>
        <v>0</v>
      </c>
      <c r="F19" s="134">
        <f t="shared" si="150"/>
        <v>0</v>
      </c>
      <c r="G19" s="134">
        <f>'бюджет округа (района)'!E19+'бюджеты поселений'!E19</f>
        <v>0</v>
      </c>
      <c r="H19" s="134">
        <f>'бюджет округа (района)'!E19</f>
        <v>0</v>
      </c>
      <c r="I19" s="134">
        <f>'бюджет округа (района)'!F19+'бюджеты поселений'!F19</f>
        <v>0</v>
      </c>
      <c r="J19" s="134">
        <f>'бюджет округа (района)'!F19</f>
        <v>0</v>
      </c>
      <c r="K19" s="134">
        <f t="shared" si="151"/>
        <v>0</v>
      </c>
      <c r="L19" s="134">
        <f t="shared" si="151"/>
        <v>0</v>
      </c>
      <c r="M19" s="134">
        <f>'бюджет округа (района)'!H19+'бюджеты поселений'!H19</f>
        <v>0</v>
      </c>
      <c r="N19" s="134">
        <f>'бюджет округа (района)'!H19</f>
        <v>0</v>
      </c>
      <c r="O19" s="134">
        <f t="shared" si="152"/>
        <v>0</v>
      </c>
      <c r="P19" s="134">
        <f t="shared" si="152"/>
        <v>0</v>
      </c>
      <c r="Q19" s="134">
        <f>'бюджет округа (района)'!J19+'бюджеты поселений'!J19</f>
        <v>0</v>
      </c>
      <c r="R19" s="134">
        <f>'бюджет округа (района)'!J19</f>
        <v>0</v>
      </c>
      <c r="S19" s="134">
        <f t="shared" si="153"/>
        <v>0</v>
      </c>
      <c r="T19" s="134">
        <f t="shared" si="153"/>
        <v>0</v>
      </c>
      <c r="U19" s="134">
        <f>'бюджет округа (района)'!L19+'бюджеты поселений'!L19</f>
        <v>0</v>
      </c>
      <c r="V19" s="134">
        <f>'бюджет округа (района)'!L19</f>
        <v>0</v>
      </c>
      <c r="W19" s="134">
        <f t="shared" si="154"/>
        <v>0</v>
      </c>
      <c r="X19" s="134">
        <f t="shared" si="154"/>
        <v>0</v>
      </c>
      <c r="Y19" s="134">
        <f>'бюджет округа (района)'!N19+'бюджеты поселений'!N19</f>
        <v>0</v>
      </c>
      <c r="Z19" s="134">
        <f>'бюджет округа (района)'!N19</f>
        <v>0</v>
      </c>
      <c r="AA19" s="134">
        <f t="shared" si="155"/>
        <v>0</v>
      </c>
      <c r="AB19" s="134">
        <f t="shared" si="155"/>
        <v>0</v>
      </c>
      <c r="AC19" s="134">
        <f>'бюджет округа (района)'!P19+'бюджеты поселений'!P19</f>
        <v>0</v>
      </c>
      <c r="AD19" s="134">
        <f>'бюджет округа (района)'!P19</f>
        <v>0</v>
      </c>
      <c r="AE19" s="134">
        <f t="shared" si="156"/>
        <v>0</v>
      </c>
      <c r="AF19" s="134">
        <f t="shared" si="156"/>
        <v>0</v>
      </c>
      <c r="AG19" s="134">
        <f>'бюджет округа (района)'!R19+'бюджеты поселений'!R19</f>
        <v>0</v>
      </c>
      <c r="AH19" s="134">
        <f>'бюджет округа (района)'!R19</f>
        <v>0</v>
      </c>
      <c r="AI19" s="134">
        <f t="shared" si="157"/>
        <v>0</v>
      </c>
      <c r="AJ19" s="134">
        <f t="shared" si="157"/>
        <v>0</v>
      </c>
      <c r="AK19" s="134">
        <f>'бюджет округа (района)'!T19+'бюджеты поселений'!T19</f>
        <v>0</v>
      </c>
      <c r="AL19" s="134">
        <f>'бюджет округа (района)'!T19</f>
        <v>0</v>
      </c>
      <c r="AM19" s="134">
        <f t="shared" si="158"/>
        <v>0</v>
      </c>
      <c r="AN19" s="134">
        <f t="shared" si="158"/>
        <v>0</v>
      </c>
      <c r="AO19" s="134">
        <f>'бюджет округа (района)'!V19+'бюджеты поселений'!V19</f>
        <v>0</v>
      </c>
      <c r="AP19" s="134">
        <f>'бюджет округа (района)'!V19</f>
        <v>0</v>
      </c>
      <c r="AQ19" s="134">
        <f t="shared" si="159"/>
        <v>0</v>
      </c>
      <c r="AR19" s="134">
        <f t="shared" si="159"/>
        <v>0</v>
      </c>
      <c r="AS19" s="134">
        <f>'бюджет округа (района)'!X19+'бюджеты поселений'!X19</f>
        <v>0</v>
      </c>
      <c r="AT19" s="134">
        <f>'бюджет округа (района)'!X19</f>
        <v>0</v>
      </c>
      <c r="AU19" s="134">
        <f t="shared" si="160"/>
        <v>0</v>
      </c>
      <c r="AV19" s="134">
        <f t="shared" si="160"/>
        <v>0</v>
      </c>
      <c r="AW19" s="134">
        <f>'бюджет округа (района)'!Z19+'бюджеты поселений'!Z19</f>
        <v>0</v>
      </c>
      <c r="AX19" s="134">
        <f>'бюджет округа (района)'!Z19</f>
        <v>0</v>
      </c>
      <c r="AY19" s="134">
        <f>'бюджет округа (района)'!AA19+'бюджеты поселений'!AA19</f>
        <v>0</v>
      </c>
      <c r="AZ19" s="134">
        <f>'бюджет округа (района)'!AA19</f>
        <v>0</v>
      </c>
      <c r="BA19" s="135">
        <f t="shared" si="149"/>
        <v>1</v>
      </c>
      <c r="BB19" s="135">
        <f t="shared" si="149"/>
        <v>1</v>
      </c>
      <c r="BC19" s="134">
        <f>'бюджет округа (района)'!AC19+'бюджеты поселений'!AC19</f>
        <v>0</v>
      </c>
      <c r="BD19" s="134">
        <f>'бюджет округа (района)'!AC19</f>
        <v>0</v>
      </c>
      <c r="BE19" s="134">
        <f>'бюджет округа (района)'!AD19+'бюджеты поселений'!AD19</f>
        <v>0</v>
      </c>
      <c r="BF19" s="134">
        <f>'бюджет округа (района)'!AD19</f>
        <v>0</v>
      </c>
      <c r="BG19" s="134">
        <f t="shared" si="161"/>
        <v>0</v>
      </c>
      <c r="BH19" s="134">
        <f t="shared" si="161"/>
        <v>0</v>
      </c>
      <c r="BI19" s="135">
        <f t="shared" si="36"/>
        <v>1</v>
      </c>
      <c r="BJ19" s="135">
        <f t="shared" si="36"/>
        <v>1</v>
      </c>
      <c r="BK19" s="134">
        <f>'бюджет округа (района)'!AG19+'бюджеты поселений'!AG19</f>
        <v>0</v>
      </c>
      <c r="BL19" s="134">
        <f>'бюджет округа (района)'!AG19</f>
        <v>0</v>
      </c>
      <c r="BM19" s="134">
        <f t="shared" si="162"/>
        <v>0</v>
      </c>
      <c r="BN19" s="134">
        <f t="shared" si="162"/>
        <v>0</v>
      </c>
      <c r="BO19" s="135">
        <f t="shared" si="38"/>
        <v>1</v>
      </c>
      <c r="BP19" s="135">
        <f t="shared" si="38"/>
        <v>1</v>
      </c>
      <c r="BQ19" s="134">
        <f>'бюджет округа (района)'!AJ19+'бюджеты поселений'!AJ19</f>
        <v>0</v>
      </c>
      <c r="BR19" s="134">
        <f>'бюджет округа (района)'!AJ19</f>
        <v>0</v>
      </c>
      <c r="BS19" s="134">
        <f t="shared" si="163"/>
        <v>0</v>
      </c>
      <c r="BT19" s="134">
        <f t="shared" si="163"/>
        <v>0</v>
      </c>
      <c r="BU19" s="135">
        <f t="shared" si="40"/>
        <v>1</v>
      </c>
      <c r="BV19" s="135">
        <f t="shared" si="40"/>
        <v>1</v>
      </c>
      <c r="BW19" s="134">
        <f>'бюджет округа (района)'!AM19+'бюджеты поселений'!AM19</f>
        <v>0</v>
      </c>
      <c r="BX19" s="134">
        <f>'бюджет округа (района)'!AM19</f>
        <v>0</v>
      </c>
      <c r="BY19" s="134">
        <f t="shared" si="164"/>
        <v>0</v>
      </c>
      <c r="BZ19" s="134">
        <f t="shared" si="164"/>
        <v>0</v>
      </c>
      <c r="CA19" s="135">
        <f t="shared" si="42"/>
        <v>1</v>
      </c>
      <c r="CB19" s="135">
        <f t="shared" si="42"/>
        <v>1</v>
      </c>
      <c r="CC19" s="134">
        <f>'бюджет округа (района)'!AP19+'бюджеты поселений'!AP19</f>
        <v>0</v>
      </c>
      <c r="CD19" s="134">
        <f>'бюджет округа (района)'!AP19</f>
        <v>0</v>
      </c>
      <c r="CE19" s="134">
        <f t="shared" si="165"/>
        <v>0</v>
      </c>
      <c r="CF19" s="134">
        <f t="shared" si="165"/>
        <v>0</v>
      </c>
      <c r="CG19" s="135">
        <f t="shared" si="44"/>
        <v>1</v>
      </c>
      <c r="CH19" s="135">
        <f t="shared" si="44"/>
        <v>1</v>
      </c>
      <c r="CI19" s="134">
        <f>'бюджет округа (района)'!AS19+'бюджеты поселений'!AS19</f>
        <v>0</v>
      </c>
      <c r="CJ19" s="134">
        <f>'бюджет округа (района)'!AS19</f>
        <v>0</v>
      </c>
      <c r="CK19" s="134">
        <f t="shared" si="166"/>
        <v>0</v>
      </c>
      <c r="CL19" s="134">
        <f t="shared" si="166"/>
        <v>0</v>
      </c>
      <c r="CM19" s="135">
        <f t="shared" si="46"/>
        <v>1</v>
      </c>
      <c r="CN19" s="135">
        <f t="shared" si="46"/>
        <v>1</v>
      </c>
      <c r="CO19" s="134">
        <f>'бюджет округа (района)'!AV19+'бюджеты поселений'!AV19</f>
        <v>0</v>
      </c>
      <c r="CP19" s="134">
        <f>'бюджет округа (района)'!AV19</f>
        <v>0</v>
      </c>
      <c r="CQ19" s="134">
        <f t="shared" si="167"/>
        <v>0</v>
      </c>
      <c r="CR19" s="134">
        <f t="shared" si="167"/>
        <v>0</v>
      </c>
      <c r="CS19" s="135">
        <f t="shared" si="48"/>
        <v>1</v>
      </c>
      <c r="CT19" s="135">
        <f t="shared" si="48"/>
        <v>1</v>
      </c>
      <c r="CU19" s="134">
        <f>'бюджет округа (района)'!AY19+'бюджеты поселений'!AY19</f>
        <v>0</v>
      </c>
      <c r="CV19" s="134">
        <f>'бюджет округа (района)'!AY19</f>
        <v>0</v>
      </c>
      <c r="CW19" s="134">
        <f t="shared" si="168"/>
        <v>0</v>
      </c>
      <c r="CX19" s="134">
        <f t="shared" si="168"/>
        <v>0</v>
      </c>
      <c r="CY19" s="135">
        <f t="shared" si="50"/>
        <v>1</v>
      </c>
      <c r="CZ19" s="135">
        <f t="shared" si="50"/>
        <v>1</v>
      </c>
      <c r="DA19" s="134">
        <f>'бюджет округа (района)'!BB19+'бюджеты поселений'!BB19</f>
        <v>0</v>
      </c>
      <c r="DB19" s="134">
        <f>'бюджет округа (района)'!BB19</f>
        <v>0</v>
      </c>
      <c r="DC19" s="134">
        <f t="shared" si="169"/>
        <v>0</v>
      </c>
      <c r="DD19" s="134">
        <f t="shared" si="169"/>
        <v>0</v>
      </c>
      <c r="DE19" s="135">
        <f t="shared" si="52"/>
        <v>1</v>
      </c>
      <c r="DF19" s="135">
        <f t="shared" si="52"/>
        <v>1</v>
      </c>
      <c r="DG19" s="134">
        <f>'бюджет округа (района)'!BE19+'бюджеты поселений'!BE19</f>
        <v>0</v>
      </c>
      <c r="DH19" s="134">
        <f>'бюджет округа (района)'!BE19</f>
        <v>0</v>
      </c>
      <c r="DI19" s="134">
        <f t="shared" si="170"/>
        <v>0</v>
      </c>
      <c r="DJ19" s="134">
        <f t="shared" si="170"/>
        <v>0</v>
      </c>
      <c r="DK19" s="135">
        <f t="shared" si="54"/>
        <v>1</v>
      </c>
      <c r="DL19" s="135">
        <f t="shared" si="54"/>
        <v>1</v>
      </c>
      <c r="DM19" s="134">
        <f>'бюджет округа (района)'!BH19+'бюджеты поселений'!BH19</f>
        <v>0</v>
      </c>
      <c r="DN19" s="134">
        <f>'бюджет округа (района)'!BH19</f>
        <v>0</v>
      </c>
      <c r="DO19" s="134">
        <f>'бюджет округа (района)'!BI19+'бюджеты поселений'!BI19</f>
        <v>0</v>
      </c>
      <c r="DP19" s="134">
        <f>'бюджет округа (района)'!BI19</f>
        <v>0</v>
      </c>
      <c r="DQ19" s="134">
        <f>'бюджет округа (района)'!BJ19+'бюджеты поселений'!BJ19</f>
        <v>0</v>
      </c>
      <c r="DR19" s="134">
        <f>'бюджет округа (района)'!BJ19</f>
        <v>0</v>
      </c>
      <c r="DS19" s="135">
        <f>IF($AY$19=0,1,DQ19/$AY$19-1)</f>
        <v>1</v>
      </c>
      <c r="DT19" s="135">
        <f>IF($AZ$19=0,1,DR19/$AZ$19-1)</f>
        <v>1</v>
      </c>
      <c r="DU19" s="135">
        <f t="shared" si="58"/>
        <v>1</v>
      </c>
      <c r="DV19" s="135">
        <f t="shared" si="59"/>
        <v>1</v>
      </c>
      <c r="DW19" s="167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</row>
    <row r="20" spans="1:268" s="62" customFormat="1" ht="18" customHeight="1">
      <c r="A20" s="312" t="s">
        <v>39</v>
      </c>
      <c r="B20" s="313"/>
      <c r="C20" s="134">
        <f>'бюджет округа (района)'!C20+'бюджеты поселений'!C20</f>
        <v>0</v>
      </c>
      <c r="D20" s="134">
        <f>'бюджет округа (района)'!C20</f>
        <v>0</v>
      </c>
      <c r="E20" s="134">
        <f t="shared" si="150"/>
        <v>0</v>
      </c>
      <c r="F20" s="134">
        <f t="shared" si="150"/>
        <v>0</v>
      </c>
      <c r="G20" s="134">
        <f>'бюджет округа (района)'!E20+'бюджеты поселений'!E20</f>
        <v>0</v>
      </c>
      <c r="H20" s="134">
        <f>'бюджет округа (района)'!E20</f>
        <v>0</v>
      </c>
      <c r="I20" s="134">
        <f>'бюджет округа (района)'!F20+'бюджеты поселений'!F20</f>
        <v>0</v>
      </c>
      <c r="J20" s="134">
        <f>'бюджет округа (района)'!F20</f>
        <v>0</v>
      </c>
      <c r="K20" s="134">
        <f t="shared" si="151"/>
        <v>0</v>
      </c>
      <c r="L20" s="134">
        <f t="shared" si="151"/>
        <v>0</v>
      </c>
      <c r="M20" s="134">
        <f>'бюджет округа (района)'!H20+'бюджеты поселений'!H20</f>
        <v>0</v>
      </c>
      <c r="N20" s="134">
        <f>'бюджет округа (района)'!H20</f>
        <v>0</v>
      </c>
      <c r="O20" s="134">
        <f t="shared" si="152"/>
        <v>0</v>
      </c>
      <c r="P20" s="134">
        <f t="shared" si="152"/>
        <v>0</v>
      </c>
      <c r="Q20" s="134">
        <f>'бюджет округа (района)'!J20+'бюджеты поселений'!J20</f>
        <v>0</v>
      </c>
      <c r="R20" s="134">
        <f>'бюджет округа (района)'!J20</f>
        <v>0</v>
      </c>
      <c r="S20" s="134">
        <f t="shared" si="153"/>
        <v>0</v>
      </c>
      <c r="T20" s="134">
        <f t="shared" si="153"/>
        <v>0</v>
      </c>
      <c r="U20" s="134">
        <f>'бюджет округа (района)'!L20+'бюджеты поселений'!L20</f>
        <v>0</v>
      </c>
      <c r="V20" s="134">
        <f>'бюджет округа (района)'!L20</f>
        <v>0</v>
      </c>
      <c r="W20" s="134">
        <f t="shared" si="154"/>
        <v>0</v>
      </c>
      <c r="X20" s="134">
        <f t="shared" si="154"/>
        <v>0</v>
      </c>
      <c r="Y20" s="134">
        <f>'бюджет округа (района)'!N20+'бюджеты поселений'!N20</f>
        <v>0</v>
      </c>
      <c r="Z20" s="134">
        <f>'бюджет округа (района)'!N20</f>
        <v>0</v>
      </c>
      <c r="AA20" s="134">
        <f t="shared" si="155"/>
        <v>0</v>
      </c>
      <c r="AB20" s="134">
        <f t="shared" si="155"/>
        <v>0</v>
      </c>
      <c r="AC20" s="134">
        <f>'бюджет округа (района)'!P20+'бюджеты поселений'!P20</f>
        <v>0</v>
      </c>
      <c r="AD20" s="134">
        <f>'бюджет округа (района)'!P20</f>
        <v>0</v>
      </c>
      <c r="AE20" s="134">
        <f t="shared" si="156"/>
        <v>0</v>
      </c>
      <c r="AF20" s="134">
        <f t="shared" si="156"/>
        <v>0</v>
      </c>
      <c r="AG20" s="134">
        <f>'бюджет округа (района)'!R20+'бюджеты поселений'!R20</f>
        <v>0</v>
      </c>
      <c r="AH20" s="134">
        <f>'бюджет округа (района)'!R20</f>
        <v>0</v>
      </c>
      <c r="AI20" s="134">
        <f t="shared" si="157"/>
        <v>0</v>
      </c>
      <c r="AJ20" s="134">
        <f t="shared" si="157"/>
        <v>0</v>
      </c>
      <c r="AK20" s="134">
        <f>'бюджет округа (района)'!T20+'бюджеты поселений'!T20</f>
        <v>0</v>
      </c>
      <c r="AL20" s="134">
        <f>'бюджет округа (района)'!T20</f>
        <v>0</v>
      </c>
      <c r="AM20" s="134">
        <f t="shared" si="158"/>
        <v>0</v>
      </c>
      <c r="AN20" s="134">
        <f t="shared" si="158"/>
        <v>0</v>
      </c>
      <c r="AO20" s="134">
        <f>'бюджет округа (района)'!V20+'бюджеты поселений'!V20</f>
        <v>0</v>
      </c>
      <c r="AP20" s="134">
        <f>'бюджет округа (района)'!V20</f>
        <v>0</v>
      </c>
      <c r="AQ20" s="134">
        <f t="shared" si="159"/>
        <v>0</v>
      </c>
      <c r="AR20" s="134">
        <f t="shared" si="159"/>
        <v>0</v>
      </c>
      <c r="AS20" s="134">
        <f>'бюджет округа (района)'!X20+'бюджеты поселений'!X20</f>
        <v>0</v>
      </c>
      <c r="AT20" s="134">
        <f>'бюджет округа (района)'!X20</f>
        <v>0</v>
      </c>
      <c r="AU20" s="134">
        <f t="shared" si="160"/>
        <v>0</v>
      </c>
      <c r="AV20" s="134">
        <f t="shared" si="160"/>
        <v>0</v>
      </c>
      <c r="AW20" s="134">
        <f>'бюджет округа (района)'!Z20+'бюджеты поселений'!Z20</f>
        <v>0</v>
      </c>
      <c r="AX20" s="134">
        <f>'бюджет округа (района)'!Z20</f>
        <v>0</v>
      </c>
      <c r="AY20" s="134">
        <f>'бюджет округа (района)'!AA20+'бюджеты поселений'!AA20</f>
        <v>0</v>
      </c>
      <c r="AZ20" s="134">
        <f>'бюджет округа (района)'!AA20</f>
        <v>0</v>
      </c>
      <c r="BA20" s="135">
        <f t="shared" si="149"/>
        <v>1</v>
      </c>
      <c r="BB20" s="135">
        <f t="shared" si="149"/>
        <v>1</v>
      </c>
      <c r="BC20" s="134">
        <f>'бюджет округа (района)'!AC20+'бюджеты поселений'!AC20</f>
        <v>0</v>
      </c>
      <c r="BD20" s="134">
        <f>'бюджет округа (района)'!AC20</f>
        <v>0</v>
      </c>
      <c r="BE20" s="134">
        <f>'бюджет округа (района)'!AD20+'бюджеты поселений'!AD20</f>
        <v>0</v>
      </c>
      <c r="BF20" s="134">
        <f>'бюджет округа (района)'!AD20</f>
        <v>0</v>
      </c>
      <c r="BG20" s="134">
        <f t="shared" si="161"/>
        <v>0</v>
      </c>
      <c r="BH20" s="134">
        <f t="shared" si="161"/>
        <v>0</v>
      </c>
      <c r="BI20" s="135">
        <f t="shared" si="36"/>
        <v>1</v>
      </c>
      <c r="BJ20" s="135">
        <f t="shared" si="36"/>
        <v>1</v>
      </c>
      <c r="BK20" s="134">
        <f>'бюджет округа (района)'!AG20+'бюджеты поселений'!AG20</f>
        <v>0</v>
      </c>
      <c r="BL20" s="134">
        <f>'бюджет округа (района)'!AG20</f>
        <v>0</v>
      </c>
      <c r="BM20" s="134">
        <f t="shared" si="162"/>
        <v>0</v>
      </c>
      <c r="BN20" s="134">
        <f t="shared" si="162"/>
        <v>0</v>
      </c>
      <c r="BO20" s="135">
        <f t="shared" si="38"/>
        <v>1</v>
      </c>
      <c r="BP20" s="135">
        <f t="shared" si="38"/>
        <v>1</v>
      </c>
      <c r="BQ20" s="134">
        <f>'бюджет округа (района)'!AJ20+'бюджеты поселений'!AJ20</f>
        <v>0</v>
      </c>
      <c r="BR20" s="134">
        <f>'бюджет округа (района)'!AJ20</f>
        <v>0</v>
      </c>
      <c r="BS20" s="134">
        <f t="shared" si="163"/>
        <v>0</v>
      </c>
      <c r="BT20" s="134">
        <f t="shared" si="163"/>
        <v>0</v>
      </c>
      <c r="BU20" s="135">
        <f t="shared" si="40"/>
        <v>1</v>
      </c>
      <c r="BV20" s="135">
        <f t="shared" si="40"/>
        <v>1</v>
      </c>
      <c r="BW20" s="134">
        <f>'бюджет округа (района)'!AM20+'бюджеты поселений'!AM20</f>
        <v>0</v>
      </c>
      <c r="BX20" s="134">
        <f>'бюджет округа (района)'!AM20</f>
        <v>0</v>
      </c>
      <c r="BY20" s="134">
        <f t="shared" si="164"/>
        <v>0</v>
      </c>
      <c r="BZ20" s="134">
        <f t="shared" si="164"/>
        <v>0</v>
      </c>
      <c r="CA20" s="135">
        <f t="shared" si="42"/>
        <v>1</v>
      </c>
      <c r="CB20" s="135">
        <f t="shared" si="42"/>
        <v>1</v>
      </c>
      <c r="CC20" s="134">
        <f>'бюджет округа (района)'!AP20+'бюджеты поселений'!AP20</f>
        <v>0</v>
      </c>
      <c r="CD20" s="134">
        <f>'бюджет округа (района)'!AP20</f>
        <v>0</v>
      </c>
      <c r="CE20" s="134">
        <f t="shared" si="165"/>
        <v>0</v>
      </c>
      <c r="CF20" s="134">
        <f t="shared" si="165"/>
        <v>0</v>
      </c>
      <c r="CG20" s="135">
        <f t="shared" si="44"/>
        <v>1</v>
      </c>
      <c r="CH20" s="135">
        <f t="shared" si="44"/>
        <v>1</v>
      </c>
      <c r="CI20" s="134">
        <f>'бюджет округа (района)'!AS20+'бюджеты поселений'!AS20</f>
        <v>0</v>
      </c>
      <c r="CJ20" s="134">
        <f>'бюджет округа (района)'!AS20</f>
        <v>0</v>
      </c>
      <c r="CK20" s="134">
        <f t="shared" si="166"/>
        <v>0</v>
      </c>
      <c r="CL20" s="134">
        <f t="shared" si="166"/>
        <v>0</v>
      </c>
      <c r="CM20" s="135">
        <f t="shared" si="46"/>
        <v>1</v>
      </c>
      <c r="CN20" s="135">
        <f t="shared" si="46"/>
        <v>1</v>
      </c>
      <c r="CO20" s="134">
        <f>'бюджет округа (района)'!AV20+'бюджеты поселений'!AV20</f>
        <v>0</v>
      </c>
      <c r="CP20" s="134">
        <f>'бюджет округа (района)'!AV20</f>
        <v>0</v>
      </c>
      <c r="CQ20" s="134">
        <f t="shared" si="167"/>
        <v>0</v>
      </c>
      <c r="CR20" s="134">
        <f t="shared" si="167"/>
        <v>0</v>
      </c>
      <c r="CS20" s="135">
        <f t="shared" si="48"/>
        <v>1</v>
      </c>
      <c r="CT20" s="135">
        <f t="shared" si="48"/>
        <v>1</v>
      </c>
      <c r="CU20" s="134">
        <f>'бюджет округа (района)'!AY20+'бюджеты поселений'!AY20</f>
        <v>0</v>
      </c>
      <c r="CV20" s="134">
        <f>'бюджет округа (района)'!AY20</f>
        <v>0</v>
      </c>
      <c r="CW20" s="134">
        <f t="shared" si="168"/>
        <v>0</v>
      </c>
      <c r="CX20" s="134">
        <f t="shared" si="168"/>
        <v>0</v>
      </c>
      <c r="CY20" s="135">
        <f t="shared" si="50"/>
        <v>1</v>
      </c>
      <c r="CZ20" s="135">
        <f t="shared" si="50"/>
        <v>1</v>
      </c>
      <c r="DA20" s="134">
        <f>'бюджет округа (района)'!BB20+'бюджеты поселений'!BB20</f>
        <v>0</v>
      </c>
      <c r="DB20" s="134">
        <f>'бюджет округа (района)'!BB20</f>
        <v>0</v>
      </c>
      <c r="DC20" s="134">
        <f t="shared" si="169"/>
        <v>0</v>
      </c>
      <c r="DD20" s="134">
        <f t="shared" si="169"/>
        <v>0</v>
      </c>
      <c r="DE20" s="135">
        <f t="shared" si="52"/>
        <v>1</v>
      </c>
      <c r="DF20" s="135">
        <f t="shared" si="52"/>
        <v>1</v>
      </c>
      <c r="DG20" s="134">
        <f>'бюджет округа (района)'!BE20+'бюджеты поселений'!BE20</f>
        <v>0</v>
      </c>
      <c r="DH20" s="134">
        <f>'бюджет округа (района)'!BE20</f>
        <v>0</v>
      </c>
      <c r="DI20" s="134">
        <f t="shared" si="170"/>
        <v>0</v>
      </c>
      <c r="DJ20" s="134">
        <f t="shared" si="170"/>
        <v>0</v>
      </c>
      <c r="DK20" s="135">
        <f t="shared" si="54"/>
        <v>1</v>
      </c>
      <c r="DL20" s="135">
        <f t="shared" si="54"/>
        <v>1</v>
      </c>
      <c r="DM20" s="134">
        <f>'бюджет округа (района)'!BH20+'бюджеты поселений'!BH20</f>
        <v>0</v>
      </c>
      <c r="DN20" s="134">
        <f>'бюджет округа (района)'!BH20</f>
        <v>0</v>
      </c>
      <c r="DO20" s="134">
        <f>'бюджет округа (района)'!BI20+'бюджеты поселений'!BI20</f>
        <v>0</v>
      </c>
      <c r="DP20" s="134">
        <f>'бюджет округа (района)'!BI20</f>
        <v>0</v>
      </c>
      <c r="DQ20" s="134">
        <f>'бюджет округа (района)'!BJ20+'бюджеты поселений'!BJ20</f>
        <v>0</v>
      </c>
      <c r="DR20" s="134">
        <f>'бюджет округа (района)'!BJ20</f>
        <v>0</v>
      </c>
      <c r="DS20" s="135">
        <f>IF($AY$20=0,1,DQ20/$AY$20-1)</f>
        <v>1</v>
      </c>
      <c r="DT20" s="135">
        <f>IF($AZ$20=0,1,DR20/$AZ$20-1)</f>
        <v>1</v>
      </c>
      <c r="DU20" s="135">
        <f t="shared" si="58"/>
        <v>1</v>
      </c>
      <c r="DV20" s="135">
        <f t="shared" si="59"/>
        <v>1</v>
      </c>
      <c r="DW20" s="167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</row>
    <row r="21" spans="1:268" s="62" customFormat="1" ht="18" customHeight="1">
      <c r="A21" s="312" t="s">
        <v>40</v>
      </c>
      <c r="B21" s="313"/>
      <c r="C21" s="134">
        <f>'бюджет округа (района)'!C21+'бюджеты поселений'!C21</f>
        <v>0</v>
      </c>
      <c r="D21" s="134">
        <f>'бюджет округа (района)'!C21</f>
        <v>0</v>
      </c>
      <c r="E21" s="134">
        <f t="shared" si="150"/>
        <v>0</v>
      </c>
      <c r="F21" s="134">
        <f t="shared" si="150"/>
        <v>0</v>
      </c>
      <c r="G21" s="134">
        <f>'бюджет округа (района)'!E21+'бюджеты поселений'!E21</f>
        <v>0</v>
      </c>
      <c r="H21" s="134">
        <f>'бюджет округа (района)'!E21</f>
        <v>0</v>
      </c>
      <c r="I21" s="134">
        <f>'бюджет округа (района)'!F21+'бюджеты поселений'!F21</f>
        <v>0</v>
      </c>
      <c r="J21" s="134">
        <f>'бюджет округа (района)'!F21</f>
        <v>0</v>
      </c>
      <c r="K21" s="134">
        <f t="shared" si="151"/>
        <v>0</v>
      </c>
      <c r="L21" s="134">
        <f t="shared" si="151"/>
        <v>0</v>
      </c>
      <c r="M21" s="134">
        <f>'бюджет округа (района)'!H21+'бюджеты поселений'!H21</f>
        <v>0</v>
      </c>
      <c r="N21" s="134">
        <f>'бюджет округа (района)'!H21</f>
        <v>0</v>
      </c>
      <c r="O21" s="134">
        <f t="shared" si="152"/>
        <v>0</v>
      </c>
      <c r="P21" s="134">
        <f t="shared" si="152"/>
        <v>0</v>
      </c>
      <c r="Q21" s="134">
        <f>'бюджет округа (района)'!J21+'бюджеты поселений'!J21</f>
        <v>0</v>
      </c>
      <c r="R21" s="134">
        <f>'бюджет округа (района)'!J21</f>
        <v>0</v>
      </c>
      <c r="S21" s="134">
        <f t="shared" si="153"/>
        <v>0</v>
      </c>
      <c r="T21" s="134">
        <f t="shared" si="153"/>
        <v>0</v>
      </c>
      <c r="U21" s="134">
        <f>'бюджет округа (района)'!L21+'бюджеты поселений'!L21</f>
        <v>0</v>
      </c>
      <c r="V21" s="134">
        <f>'бюджет округа (района)'!L21</f>
        <v>0</v>
      </c>
      <c r="W21" s="134">
        <f t="shared" si="154"/>
        <v>0</v>
      </c>
      <c r="X21" s="134">
        <f t="shared" si="154"/>
        <v>0</v>
      </c>
      <c r="Y21" s="134">
        <f>'бюджет округа (района)'!N21+'бюджеты поселений'!N21</f>
        <v>0</v>
      </c>
      <c r="Z21" s="134">
        <f>'бюджет округа (района)'!N21</f>
        <v>0</v>
      </c>
      <c r="AA21" s="134">
        <f t="shared" si="155"/>
        <v>0</v>
      </c>
      <c r="AB21" s="134">
        <f t="shared" si="155"/>
        <v>0</v>
      </c>
      <c r="AC21" s="134">
        <f>'бюджет округа (района)'!P21+'бюджеты поселений'!P21</f>
        <v>0</v>
      </c>
      <c r="AD21" s="134">
        <f>'бюджет округа (района)'!P21</f>
        <v>0</v>
      </c>
      <c r="AE21" s="134">
        <f t="shared" si="156"/>
        <v>0</v>
      </c>
      <c r="AF21" s="134">
        <f t="shared" si="156"/>
        <v>0</v>
      </c>
      <c r="AG21" s="134">
        <f>'бюджет округа (района)'!R21+'бюджеты поселений'!R21</f>
        <v>0</v>
      </c>
      <c r="AH21" s="134">
        <f>'бюджет округа (района)'!R21</f>
        <v>0</v>
      </c>
      <c r="AI21" s="134">
        <f t="shared" si="157"/>
        <v>0</v>
      </c>
      <c r="AJ21" s="134">
        <f t="shared" si="157"/>
        <v>0</v>
      </c>
      <c r="AK21" s="134">
        <f>'бюджет округа (района)'!T21+'бюджеты поселений'!T21</f>
        <v>0</v>
      </c>
      <c r="AL21" s="134">
        <f>'бюджет округа (района)'!T21</f>
        <v>0</v>
      </c>
      <c r="AM21" s="134">
        <f t="shared" si="158"/>
        <v>0</v>
      </c>
      <c r="AN21" s="134">
        <f t="shared" si="158"/>
        <v>0</v>
      </c>
      <c r="AO21" s="134">
        <f>'бюджет округа (района)'!V21+'бюджеты поселений'!V21</f>
        <v>0</v>
      </c>
      <c r="AP21" s="134">
        <f>'бюджет округа (района)'!V21</f>
        <v>0</v>
      </c>
      <c r="AQ21" s="134">
        <f t="shared" si="159"/>
        <v>0</v>
      </c>
      <c r="AR21" s="134">
        <f t="shared" si="159"/>
        <v>0</v>
      </c>
      <c r="AS21" s="134">
        <f>'бюджет округа (района)'!X21+'бюджеты поселений'!X21</f>
        <v>0</v>
      </c>
      <c r="AT21" s="134">
        <f>'бюджет округа (района)'!X21</f>
        <v>0</v>
      </c>
      <c r="AU21" s="134">
        <f t="shared" si="160"/>
        <v>0</v>
      </c>
      <c r="AV21" s="134">
        <f t="shared" si="160"/>
        <v>0</v>
      </c>
      <c r="AW21" s="134">
        <f>'бюджет округа (района)'!Z21+'бюджеты поселений'!Z21</f>
        <v>0</v>
      </c>
      <c r="AX21" s="134">
        <f>'бюджет округа (района)'!Z21</f>
        <v>0</v>
      </c>
      <c r="AY21" s="134">
        <f>'бюджет округа (района)'!AA21+'бюджеты поселений'!AA21</f>
        <v>0</v>
      </c>
      <c r="AZ21" s="134">
        <f>'бюджет округа (района)'!AA21</f>
        <v>0</v>
      </c>
      <c r="BA21" s="135">
        <f t="shared" si="149"/>
        <v>1</v>
      </c>
      <c r="BB21" s="135">
        <f t="shared" si="149"/>
        <v>1</v>
      </c>
      <c r="BC21" s="134">
        <f>'бюджет округа (района)'!AC21+'бюджеты поселений'!AC21</f>
        <v>0</v>
      </c>
      <c r="BD21" s="134">
        <f>'бюджет округа (района)'!AC21</f>
        <v>0</v>
      </c>
      <c r="BE21" s="134">
        <f>'бюджет округа (района)'!AD21+'бюджеты поселений'!AD21</f>
        <v>0</v>
      </c>
      <c r="BF21" s="134">
        <f>'бюджет округа (района)'!AD21</f>
        <v>0</v>
      </c>
      <c r="BG21" s="134">
        <f t="shared" si="161"/>
        <v>0</v>
      </c>
      <c r="BH21" s="134">
        <f t="shared" si="161"/>
        <v>0</v>
      </c>
      <c r="BI21" s="135">
        <f t="shared" si="36"/>
        <v>1</v>
      </c>
      <c r="BJ21" s="135">
        <f t="shared" si="36"/>
        <v>1</v>
      </c>
      <c r="BK21" s="134">
        <f>'бюджет округа (района)'!AG21+'бюджеты поселений'!AG21</f>
        <v>0</v>
      </c>
      <c r="BL21" s="134">
        <f>'бюджет округа (района)'!AG21</f>
        <v>0</v>
      </c>
      <c r="BM21" s="134">
        <f t="shared" si="162"/>
        <v>0</v>
      </c>
      <c r="BN21" s="134">
        <f t="shared" si="162"/>
        <v>0</v>
      </c>
      <c r="BO21" s="135">
        <f t="shared" si="38"/>
        <v>1</v>
      </c>
      <c r="BP21" s="135">
        <f t="shared" si="38"/>
        <v>1</v>
      </c>
      <c r="BQ21" s="134">
        <f>'бюджет округа (района)'!AJ21+'бюджеты поселений'!AJ21</f>
        <v>0</v>
      </c>
      <c r="BR21" s="134">
        <f>'бюджет округа (района)'!AJ21</f>
        <v>0</v>
      </c>
      <c r="BS21" s="134">
        <f t="shared" si="163"/>
        <v>0</v>
      </c>
      <c r="BT21" s="134">
        <f t="shared" si="163"/>
        <v>0</v>
      </c>
      <c r="BU21" s="135">
        <f t="shared" si="40"/>
        <v>1</v>
      </c>
      <c r="BV21" s="135">
        <f t="shared" si="40"/>
        <v>1</v>
      </c>
      <c r="BW21" s="134">
        <f>'бюджет округа (района)'!AM21+'бюджеты поселений'!AM21</f>
        <v>0</v>
      </c>
      <c r="BX21" s="134">
        <f>'бюджет округа (района)'!AM21</f>
        <v>0</v>
      </c>
      <c r="BY21" s="134">
        <f t="shared" si="164"/>
        <v>0</v>
      </c>
      <c r="BZ21" s="134">
        <f t="shared" si="164"/>
        <v>0</v>
      </c>
      <c r="CA21" s="135">
        <f t="shared" si="42"/>
        <v>1</v>
      </c>
      <c r="CB21" s="135">
        <f t="shared" si="42"/>
        <v>1</v>
      </c>
      <c r="CC21" s="134">
        <f>'бюджет округа (района)'!AP21+'бюджеты поселений'!AP21</f>
        <v>0</v>
      </c>
      <c r="CD21" s="134">
        <f>'бюджет округа (района)'!AP21</f>
        <v>0</v>
      </c>
      <c r="CE21" s="134">
        <f t="shared" si="165"/>
        <v>0</v>
      </c>
      <c r="CF21" s="134">
        <f t="shared" si="165"/>
        <v>0</v>
      </c>
      <c r="CG21" s="135">
        <f t="shared" si="44"/>
        <v>1</v>
      </c>
      <c r="CH21" s="135">
        <f t="shared" si="44"/>
        <v>1</v>
      </c>
      <c r="CI21" s="134">
        <f>'бюджет округа (района)'!AS21+'бюджеты поселений'!AS21</f>
        <v>0</v>
      </c>
      <c r="CJ21" s="134">
        <f>'бюджет округа (района)'!AS21</f>
        <v>0</v>
      </c>
      <c r="CK21" s="134">
        <f t="shared" si="166"/>
        <v>0</v>
      </c>
      <c r="CL21" s="134">
        <f t="shared" si="166"/>
        <v>0</v>
      </c>
      <c r="CM21" s="135">
        <f t="shared" si="46"/>
        <v>1</v>
      </c>
      <c r="CN21" s="135">
        <f t="shared" si="46"/>
        <v>1</v>
      </c>
      <c r="CO21" s="134">
        <f>'бюджет округа (района)'!AV21+'бюджеты поселений'!AV21</f>
        <v>0</v>
      </c>
      <c r="CP21" s="134">
        <f>'бюджет округа (района)'!AV21</f>
        <v>0</v>
      </c>
      <c r="CQ21" s="134">
        <f t="shared" si="167"/>
        <v>0</v>
      </c>
      <c r="CR21" s="134">
        <f t="shared" si="167"/>
        <v>0</v>
      </c>
      <c r="CS21" s="135">
        <f t="shared" si="48"/>
        <v>1</v>
      </c>
      <c r="CT21" s="135">
        <f t="shared" si="48"/>
        <v>1</v>
      </c>
      <c r="CU21" s="134">
        <f>'бюджет округа (района)'!AY21+'бюджеты поселений'!AY21</f>
        <v>0</v>
      </c>
      <c r="CV21" s="134">
        <f>'бюджет округа (района)'!AY21</f>
        <v>0</v>
      </c>
      <c r="CW21" s="134">
        <f t="shared" si="168"/>
        <v>0</v>
      </c>
      <c r="CX21" s="134">
        <f t="shared" si="168"/>
        <v>0</v>
      </c>
      <c r="CY21" s="135">
        <f t="shared" si="50"/>
        <v>1</v>
      </c>
      <c r="CZ21" s="135">
        <f t="shared" si="50"/>
        <v>1</v>
      </c>
      <c r="DA21" s="134">
        <f>'бюджет округа (района)'!BB21+'бюджеты поселений'!BB21</f>
        <v>0</v>
      </c>
      <c r="DB21" s="134">
        <f>'бюджет округа (района)'!BB21</f>
        <v>0</v>
      </c>
      <c r="DC21" s="134">
        <f t="shared" si="169"/>
        <v>0</v>
      </c>
      <c r="DD21" s="134">
        <f t="shared" si="169"/>
        <v>0</v>
      </c>
      <c r="DE21" s="135">
        <f t="shared" si="52"/>
        <v>1</v>
      </c>
      <c r="DF21" s="135">
        <f t="shared" si="52"/>
        <v>1</v>
      </c>
      <c r="DG21" s="134">
        <f>'бюджет округа (района)'!BE21+'бюджеты поселений'!BE21</f>
        <v>0</v>
      </c>
      <c r="DH21" s="134">
        <f>'бюджет округа (района)'!BE21</f>
        <v>0</v>
      </c>
      <c r="DI21" s="134">
        <f t="shared" si="170"/>
        <v>0</v>
      </c>
      <c r="DJ21" s="134">
        <f t="shared" si="170"/>
        <v>0</v>
      </c>
      <c r="DK21" s="135">
        <f t="shared" si="54"/>
        <v>1</v>
      </c>
      <c r="DL21" s="135">
        <f t="shared" si="54"/>
        <v>1</v>
      </c>
      <c r="DM21" s="134">
        <f>'бюджет округа (района)'!BH21+'бюджеты поселений'!BH21</f>
        <v>0</v>
      </c>
      <c r="DN21" s="134">
        <f>'бюджет округа (района)'!BH21</f>
        <v>0</v>
      </c>
      <c r="DO21" s="134">
        <f>'бюджет округа (района)'!BI21+'бюджеты поселений'!BI21</f>
        <v>0</v>
      </c>
      <c r="DP21" s="134">
        <f>'бюджет округа (района)'!BI21</f>
        <v>0</v>
      </c>
      <c r="DQ21" s="134">
        <f>'бюджет округа (района)'!BJ21+'бюджеты поселений'!BJ21</f>
        <v>0</v>
      </c>
      <c r="DR21" s="134">
        <f>'бюджет округа (района)'!BJ21</f>
        <v>0</v>
      </c>
      <c r="DS21" s="135">
        <f>IF($AY$21=0,1,DQ21/$AY$21-1)</f>
        <v>1</v>
      </c>
      <c r="DT21" s="135">
        <f>IF($AZ$21=0,1,DR21/$AZ$21-1)</f>
        <v>1</v>
      </c>
      <c r="DU21" s="135">
        <f t="shared" si="58"/>
        <v>1</v>
      </c>
      <c r="DV21" s="135">
        <f t="shared" si="59"/>
        <v>1</v>
      </c>
      <c r="DW21" s="167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</row>
    <row r="22" spans="1:268" s="62" customFormat="1" ht="18" customHeight="1">
      <c r="A22" s="312" t="s">
        <v>41</v>
      </c>
      <c r="B22" s="313"/>
      <c r="C22" s="134">
        <f>'бюджет округа (района)'!C22+'бюджеты поселений'!C22</f>
        <v>0</v>
      </c>
      <c r="D22" s="134">
        <f>'бюджет округа (района)'!C22</f>
        <v>0</v>
      </c>
      <c r="E22" s="134">
        <f t="shared" si="150"/>
        <v>0</v>
      </c>
      <c r="F22" s="134">
        <f t="shared" si="150"/>
        <v>0</v>
      </c>
      <c r="G22" s="134">
        <f>'бюджет округа (района)'!E22+'бюджеты поселений'!E22</f>
        <v>0</v>
      </c>
      <c r="H22" s="134">
        <f>'бюджет округа (района)'!E22</f>
        <v>0</v>
      </c>
      <c r="I22" s="134">
        <f>'бюджет округа (района)'!F22+'бюджеты поселений'!F22</f>
        <v>0</v>
      </c>
      <c r="J22" s="134">
        <f>'бюджет округа (района)'!F22</f>
        <v>0</v>
      </c>
      <c r="K22" s="134">
        <f t="shared" si="151"/>
        <v>0</v>
      </c>
      <c r="L22" s="134">
        <f t="shared" si="151"/>
        <v>0</v>
      </c>
      <c r="M22" s="134">
        <f>'бюджет округа (района)'!H22+'бюджеты поселений'!H22</f>
        <v>0</v>
      </c>
      <c r="N22" s="134">
        <f>'бюджет округа (района)'!H22</f>
        <v>0</v>
      </c>
      <c r="O22" s="134">
        <f t="shared" si="152"/>
        <v>0</v>
      </c>
      <c r="P22" s="134">
        <f t="shared" si="152"/>
        <v>0</v>
      </c>
      <c r="Q22" s="134">
        <f>'бюджет округа (района)'!J22+'бюджеты поселений'!J22</f>
        <v>0</v>
      </c>
      <c r="R22" s="134">
        <f>'бюджет округа (района)'!J22</f>
        <v>0</v>
      </c>
      <c r="S22" s="134">
        <f t="shared" si="153"/>
        <v>0</v>
      </c>
      <c r="T22" s="134">
        <f t="shared" si="153"/>
        <v>0</v>
      </c>
      <c r="U22" s="134">
        <f>'бюджет округа (района)'!L22+'бюджеты поселений'!L22</f>
        <v>0</v>
      </c>
      <c r="V22" s="134">
        <f>'бюджет округа (района)'!L22</f>
        <v>0</v>
      </c>
      <c r="W22" s="134">
        <f t="shared" si="154"/>
        <v>0</v>
      </c>
      <c r="X22" s="134">
        <f t="shared" si="154"/>
        <v>0</v>
      </c>
      <c r="Y22" s="134">
        <f>'бюджет округа (района)'!N22+'бюджеты поселений'!N22</f>
        <v>0</v>
      </c>
      <c r="Z22" s="134">
        <f>'бюджет округа (района)'!N22</f>
        <v>0</v>
      </c>
      <c r="AA22" s="134">
        <f t="shared" si="155"/>
        <v>0</v>
      </c>
      <c r="AB22" s="134">
        <f t="shared" si="155"/>
        <v>0</v>
      </c>
      <c r="AC22" s="134">
        <f>'бюджет округа (района)'!P22+'бюджеты поселений'!P22</f>
        <v>0</v>
      </c>
      <c r="AD22" s="134">
        <f>'бюджет округа (района)'!P22</f>
        <v>0</v>
      </c>
      <c r="AE22" s="134">
        <f t="shared" si="156"/>
        <v>0</v>
      </c>
      <c r="AF22" s="134">
        <f t="shared" si="156"/>
        <v>0</v>
      </c>
      <c r="AG22" s="134">
        <f>'бюджет округа (района)'!R22+'бюджеты поселений'!R22</f>
        <v>0</v>
      </c>
      <c r="AH22" s="134">
        <f>'бюджет округа (района)'!R22</f>
        <v>0</v>
      </c>
      <c r="AI22" s="134">
        <f t="shared" si="157"/>
        <v>0</v>
      </c>
      <c r="AJ22" s="134">
        <f t="shared" si="157"/>
        <v>0</v>
      </c>
      <c r="AK22" s="134">
        <f>'бюджет округа (района)'!T22+'бюджеты поселений'!T22</f>
        <v>0</v>
      </c>
      <c r="AL22" s="134">
        <f>'бюджет округа (района)'!T22</f>
        <v>0</v>
      </c>
      <c r="AM22" s="134">
        <f t="shared" si="158"/>
        <v>0</v>
      </c>
      <c r="AN22" s="134">
        <f t="shared" si="158"/>
        <v>0</v>
      </c>
      <c r="AO22" s="134">
        <f>'бюджет округа (района)'!V22+'бюджеты поселений'!V22</f>
        <v>0</v>
      </c>
      <c r="AP22" s="134">
        <f>'бюджет округа (района)'!V22</f>
        <v>0</v>
      </c>
      <c r="AQ22" s="134">
        <f t="shared" si="159"/>
        <v>0</v>
      </c>
      <c r="AR22" s="134">
        <f t="shared" si="159"/>
        <v>0</v>
      </c>
      <c r="AS22" s="134">
        <f>'бюджет округа (района)'!X22+'бюджеты поселений'!X22</f>
        <v>0</v>
      </c>
      <c r="AT22" s="134">
        <f>'бюджет округа (района)'!X22</f>
        <v>0</v>
      </c>
      <c r="AU22" s="134">
        <f t="shared" si="160"/>
        <v>0</v>
      </c>
      <c r="AV22" s="134">
        <f t="shared" si="160"/>
        <v>0</v>
      </c>
      <c r="AW22" s="134">
        <f>'бюджет округа (района)'!Z22+'бюджеты поселений'!Z22</f>
        <v>0</v>
      </c>
      <c r="AX22" s="134">
        <f>'бюджет округа (района)'!Z22</f>
        <v>0</v>
      </c>
      <c r="AY22" s="134">
        <f>'бюджет округа (района)'!AA22+'бюджеты поселений'!AA22</f>
        <v>0</v>
      </c>
      <c r="AZ22" s="134">
        <f>'бюджет округа (района)'!AA22</f>
        <v>0</v>
      </c>
      <c r="BA22" s="135">
        <f t="shared" si="149"/>
        <v>1</v>
      </c>
      <c r="BB22" s="135">
        <f t="shared" si="149"/>
        <v>1</v>
      </c>
      <c r="BC22" s="134">
        <f>'бюджет округа (района)'!AC22+'бюджеты поселений'!AC22</f>
        <v>0</v>
      </c>
      <c r="BD22" s="134">
        <f>'бюджет округа (района)'!AC22</f>
        <v>0</v>
      </c>
      <c r="BE22" s="134">
        <f>'бюджет округа (района)'!AD22+'бюджеты поселений'!AD22</f>
        <v>0</v>
      </c>
      <c r="BF22" s="134">
        <f>'бюджет округа (района)'!AD22</f>
        <v>0</v>
      </c>
      <c r="BG22" s="134">
        <f t="shared" si="161"/>
        <v>0</v>
      </c>
      <c r="BH22" s="134">
        <f t="shared" si="161"/>
        <v>0</v>
      </c>
      <c r="BI22" s="135">
        <f t="shared" si="36"/>
        <v>1</v>
      </c>
      <c r="BJ22" s="135">
        <f t="shared" si="36"/>
        <v>1</v>
      </c>
      <c r="BK22" s="134">
        <f>'бюджет округа (района)'!AG22+'бюджеты поселений'!AG22</f>
        <v>0</v>
      </c>
      <c r="BL22" s="134">
        <f>'бюджет округа (района)'!AG22</f>
        <v>0</v>
      </c>
      <c r="BM22" s="134">
        <f t="shared" si="162"/>
        <v>0</v>
      </c>
      <c r="BN22" s="134">
        <f t="shared" si="162"/>
        <v>0</v>
      </c>
      <c r="BO22" s="135">
        <f t="shared" si="38"/>
        <v>1</v>
      </c>
      <c r="BP22" s="135">
        <f t="shared" si="38"/>
        <v>1</v>
      </c>
      <c r="BQ22" s="134">
        <f>'бюджет округа (района)'!AJ22+'бюджеты поселений'!AJ22</f>
        <v>0</v>
      </c>
      <c r="BR22" s="134">
        <f>'бюджет округа (района)'!AJ22</f>
        <v>0</v>
      </c>
      <c r="BS22" s="134">
        <f t="shared" si="163"/>
        <v>0</v>
      </c>
      <c r="BT22" s="134">
        <f t="shared" si="163"/>
        <v>0</v>
      </c>
      <c r="BU22" s="135">
        <f t="shared" si="40"/>
        <v>1</v>
      </c>
      <c r="BV22" s="135">
        <f t="shared" si="40"/>
        <v>1</v>
      </c>
      <c r="BW22" s="134">
        <f>'бюджет округа (района)'!AM22+'бюджеты поселений'!AM22</f>
        <v>0</v>
      </c>
      <c r="BX22" s="134">
        <f>'бюджет округа (района)'!AM22</f>
        <v>0</v>
      </c>
      <c r="BY22" s="134">
        <f t="shared" si="164"/>
        <v>0</v>
      </c>
      <c r="BZ22" s="134">
        <f t="shared" si="164"/>
        <v>0</v>
      </c>
      <c r="CA22" s="135">
        <f t="shared" si="42"/>
        <v>1</v>
      </c>
      <c r="CB22" s="135">
        <f t="shared" si="42"/>
        <v>1</v>
      </c>
      <c r="CC22" s="134">
        <f>'бюджет округа (района)'!AP22+'бюджеты поселений'!AP22</f>
        <v>0</v>
      </c>
      <c r="CD22" s="134">
        <f>'бюджет округа (района)'!AP22</f>
        <v>0</v>
      </c>
      <c r="CE22" s="134">
        <f t="shared" si="165"/>
        <v>0</v>
      </c>
      <c r="CF22" s="134">
        <f t="shared" si="165"/>
        <v>0</v>
      </c>
      <c r="CG22" s="135">
        <f t="shared" si="44"/>
        <v>1</v>
      </c>
      <c r="CH22" s="135">
        <f t="shared" si="44"/>
        <v>1</v>
      </c>
      <c r="CI22" s="134">
        <f>'бюджет округа (района)'!AS22+'бюджеты поселений'!AS22</f>
        <v>0</v>
      </c>
      <c r="CJ22" s="134">
        <f>'бюджет округа (района)'!AS22</f>
        <v>0</v>
      </c>
      <c r="CK22" s="134">
        <f t="shared" si="166"/>
        <v>0</v>
      </c>
      <c r="CL22" s="134">
        <f t="shared" si="166"/>
        <v>0</v>
      </c>
      <c r="CM22" s="135">
        <f t="shared" si="46"/>
        <v>1</v>
      </c>
      <c r="CN22" s="135">
        <f t="shared" si="46"/>
        <v>1</v>
      </c>
      <c r="CO22" s="134">
        <f>'бюджет округа (района)'!AV22+'бюджеты поселений'!AV22</f>
        <v>0</v>
      </c>
      <c r="CP22" s="134">
        <f>'бюджет округа (района)'!AV22</f>
        <v>0</v>
      </c>
      <c r="CQ22" s="134">
        <f t="shared" si="167"/>
        <v>0</v>
      </c>
      <c r="CR22" s="134">
        <f t="shared" si="167"/>
        <v>0</v>
      </c>
      <c r="CS22" s="135">
        <f t="shared" si="48"/>
        <v>1</v>
      </c>
      <c r="CT22" s="135">
        <f t="shared" si="48"/>
        <v>1</v>
      </c>
      <c r="CU22" s="134">
        <f>'бюджет округа (района)'!AY22+'бюджеты поселений'!AY22</f>
        <v>0</v>
      </c>
      <c r="CV22" s="134">
        <f>'бюджет округа (района)'!AY22</f>
        <v>0</v>
      </c>
      <c r="CW22" s="134">
        <f t="shared" si="168"/>
        <v>0</v>
      </c>
      <c r="CX22" s="134">
        <f t="shared" si="168"/>
        <v>0</v>
      </c>
      <c r="CY22" s="135">
        <f t="shared" si="50"/>
        <v>1</v>
      </c>
      <c r="CZ22" s="135">
        <f t="shared" si="50"/>
        <v>1</v>
      </c>
      <c r="DA22" s="134">
        <f>'бюджет округа (района)'!BB22+'бюджеты поселений'!BB22</f>
        <v>0</v>
      </c>
      <c r="DB22" s="134">
        <f>'бюджет округа (района)'!BB22</f>
        <v>0</v>
      </c>
      <c r="DC22" s="134">
        <f t="shared" si="169"/>
        <v>0</v>
      </c>
      <c r="DD22" s="134">
        <f t="shared" si="169"/>
        <v>0</v>
      </c>
      <c r="DE22" s="135">
        <f t="shared" si="52"/>
        <v>1</v>
      </c>
      <c r="DF22" s="135">
        <f t="shared" si="52"/>
        <v>1</v>
      </c>
      <c r="DG22" s="134">
        <f>'бюджет округа (района)'!BE22+'бюджеты поселений'!BE22</f>
        <v>0</v>
      </c>
      <c r="DH22" s="134">
        <f>'бюджет округа (района)'!BE22</f>
        <v>0</v>
      </c>
      <c r="DI22" s="134">
        <f t="shared" si="170"/>
        <v>0</v>
      </c>
      <c r="DJ22" s="134">
        <f t="shared" si="170"/>
        <v>0</v>
      </c>
      <c r="DK22" s="135">
        <f t="shared" si="54"/>
        <v>1</v>
      </c>
      <c r="DL22" s="135">
        <f t="shared" si="54"/>
        <v>1</v>
      </c>
      <c r="DM22" s="134">
        <f>'бюджет округа (района)'!BH22+'бюджеты поселений'!BH22</f>
        <v>0</v>
      </c>
      <c r="DN22" s="134">
        <f>'бюджет округа (района)'!BH22</f>
        <v>0</v>
      </c>
      <c r="DO22" s="134">
        <f>'бюджет округа (района)'!BI22+'бюджеты поселений'!BI22</f>
        <v>0</v>
      </c>
      <c r="DP22" s="134">
        <f>'бюджет округа (района)'!BI22</f>
        <v>0</v>
      </c>
      <c r="DQ22" s="134">
        <f>'бюджет округа (района)'!BJ22+'бюджеты поселений'!BJ22</f>
        <v>0</v>
      </c>
      <c r="DR22" s="134">
        <f>'бюджет округа (района)'!BJ22</f>
        <v>0</v>
      </c>
      <c r="DS22" s="135">
        <f>IF($AY$22=0,1,DQ22/$AY$22-1)</f>
        <v>1</v>
      </c>
      <c r="DT22" s="135">
        <f>IF($AZ$22=0,1,DR22/$AZ$22-1)</f>
        <v>1</v>
      </c>
      <c r="DU22" s="135">
        <f t="shared" si="58"/>
        <v>1</v>
      </c>
      <c r="DV22" s="135">
        <f t="shared" si="59"/>
        <v>1</v>
      </c>
      <c r="DW22" s="167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</row>
    <row r="23" spans="1:268" s="62" customFormat="1" ht="18" customHeight="1">
      <c r="A23" s="312" t="s">
        <v>89</v>
      </c>
      <c r="B23" s="313"/>
      <c r="C23" s="134">
        <f>'бюджет округа (района)'!C23+'бюджеты поселений'!C23</f>
        <v>0</v>
      </c>
      <c r="D23" s="134">
        <f>'бюджет округа (района)'!C23</f>
        <v>0</v>
      </c>
      <c r="E23" s="134">
        <f t="shared" si="150"/>
        <v>0</v>
      </c>
      <c r="F23" s="134">
        <f t="shared" si="150"/>
        <v>0</v>
      </c>
      <c r="G23" s="134">
        <f>'бюджет округа (района)'!E23+'бюджеты поселений'!E23</f>
        <v>0</v>
      </c>
      <c r="H23" s="134">
        <f>'бюджет округа (района)'!E23</f>
        <v>0</v>
      </c>
      <c r="I23" s="134">
        <f>'бюджет округа (района)'!F23+'бюджеты поселений'!F23</f>
        <v>0</v>
      </c>
      <c r="J23" s="134">
        <f>'бюджет округа (района)'!F23</f>
        <v>0</v>
      </c>
      <c r="K23" s="134">
        <f t="shared" si="151"/>
        <v>0</v>
      </c>
      <c r="L23" s="134">
        <f t="shared" si="151"/>
        <v>0</v>
      </c>
      <c r="M23" s="134">
        <f>'бюджет округа (района)'!H23+'бюджеты поселений'!H23</f>
        <v>0</v>
      </c>
      <c r="N23" s="134">
        <f>'бюджет округа (района)'!H23</f>
        <v>0</v>
      </c>
      <c r="O23" s="134">
        <f t="shared" si="152"/>
        <v>0</v>
      </c>
      <c r="P23" s="134">
        <f t="shared" si="152"/>
        <v>0</v>
      </c>
      <c r="Q23" s="134">
        <f>'бюджет округа (района)'!J23+'бюджеты поселений'!J23</f>
        <v>0</v>
      </c>
      <c r="R23" s="134">
        <f>'бюджет округа (района)'!J23</f>
        <v>0</v>
      </c>
      <c r="S23" s="134">
        <f t="shared" si="153"/>
        <v>0</v>
      </c>
      <c r="T23" s="134">
        <f t="shared" si="153"/>
        <v>0</v>
      </c>
      <c r="U23" s="134">
        <f>'бюджет округа (района)'!L23+'бюджеты поселений'!L23</f>
        <v>0</v>
      </c>
      <c r="V23" s="134">
        <f>'бюджет округа (района)'!L23</f>
        <v>0</v>
      </c>
      <c r="W23" s="134">
        <f t="shared" si="154"/>
        <v>0</v>
      </c>
      <c r="X23" s="134">
        <f t="shared" si="154"/>
        <v>0</v>
      </c>
      <c r="Y23" s="134">
        <f>'бюджет округа (района)'!N23+'бюджеты поселений'!N23</f>
        <v>0</v>
      </c>
      <c r="Z23" s="134">
        <f>'бюджет округа (района)'!N23</f>
        <v>0</v>
      </c>
      <c r="AA23" s="134">
        <f t="shared" si="155"/>
        <v>0</v>
      </c>
      <c r="AB23" s="134">
        <f t="shared" si="155"/>
        <v>0</v>
      </c>
      <c r="AC23" s="134">
        <f>'бюджет округа (района)'!P23+'бюджеты поселений'!P23</f>
        <v>0</v>
      </c>
      <c r="AD23" s="134">
        <f>'бюджет округа (района)'!P23</f>
        <v>0</v>
      </c>
      <c r="AE23" s="134">
        <f t="shared" si="156"/>
        <v>0</v>
      </c>
      <c r="AF23" s="134">
        <f t="shared" si="156"/>
        <v>0</v>
      </c>
      <c r="AG23" s="134">
        <f>'бюджет округа (района)'!R23+'бюджеты поселений'!R23</f>
        <v>0</v>
      </c>
      <c r="AH23" s="134">
        <f>'бюджет округа (района)'!R23</f>
        <v>0</v>
      </c>
      <c r="AI23" s="134">
        <f t="shared" si="157"/>
        <v>0</v>
      </c>
      <c r="AJ23" s="134">
        <f t="shared" si="157"/>
        <v>0</v>
      </c>
      <c r="AK23" s="134">
        <f>'бюджет округа (района)'!T23+'бюджеты поселений'!T23</f>
        <v>0</v>
      </c>
      <c r="AL23" s="134">
        <f>'бюджет округа (района)'!T23</f>
        <v>0</v>
      </c>
      <c r="AM23" s="134">
        <f t="shared" si="158"/>
        <v>0</v>
      </c>
      <c r="AN23" s="134">
        <f t="shared" si="158"/>
        <v>0</v>
      </c>
      <c r="AO23" s="134">
        <f>'бюджет округа (района)'!V23+'бюджеты поселений'!V23</f>
        <v>0</v>
      </c>
      <c r="AP23" s="134">
        <f>'бюджет округа (района)'!V23</f>
        <v>0</v>
      </c>
      <c r="AQ23" s="134">
        <f t="shared" si="159"/>
        <v>0</v>
      </c>
      <c r="AR23" s="134">
        <f t="shared" si="159"/>
        <v>0</v>
      </c>
      <c r="AS23" s="134">
        <f>'бюджет округа (района)'!X23+'бюджеты поселений'!X23</f>
        <v>0</v>
      </c>
      <c r="AT23" s="134">
        <f>'бюджет округа (района)'!X23</f>
        <v>0</v>
      </c>
      <c r="AU23" s="134">
        <f t="shared" si="160"/>
        <v>0</v>
      </c>
      <c r="AV23" s="134">
        <f t="shared" si="160"/>
        <v>0</v>
      </c>
      <c r="AW23" s="134">
        <f>'бюджет округа (района)'!Z23+'бюджеты поселений'!Z23</f>
        <v>0</v>
      </c>
      <c r="AX23" s="134">
        <f>'бюджет округа (района)'!Z23</f>
        <v>0</v>
      </c>
      <c r="AY23" s="134">
        <f>'бюджет округа (района)'!AA23+'бюджеты поселений'!AA23</f>
        <v>0</v>
      </c>
      <c r="AZ23" s="134">
        <f>'бюджет округа (района)'!AA23</f>
        <v>0</v>
      </c>
      <c r="BA23" s="135">
        <f t="shared" si="149"/>
        <v>1</v>
      </c>
      <c r="BB23" s="135">
        <f t="shared" si="149"/>
        <v>1</v>
      </c>
      <c r="BC23" s="134">
        <f>'бюджет округа (района)'!AC23+'бюджеты поселений'!AC23</f>
        <v>0</v>
      </c>
      <c r="BD23" s="134">
        <f>'бюджет округа (района)'!AC23</f>
        <v>0</v>
      </c>
      <c r="BE23" s="134">
        <f>'бюджет округа (района)'!AD23+'бюджеты поселений'!AD23</f>
        <v>0</v>
      </c>
      <c r="BF23" s="134">
        <f>'бюджет округа (района)'!AD23</f>
        <v>0</v>
      </c>
      <c r="BG23" s="134">
        <f t="shared" si="161"/>
        <v>0</v>
      </c>
      <c r="BH23" s="134">
        <f t="shared" si="161"/>
        <v>0</v>
      </c>
      <c r="BI23" s="135">
        <f t="shared" si="36"/>
        <v>1</v>
      </c>
      <c r="BJ23" s="135">
        <f t="shared" si="36"/>
        <v>1</v>
      </c>
      <c r="BK23" s="134">
        <f>'бюджет округа (района)'!AG23+'бюджеты поселений'!AG23</f>
        <v>0</v>
      </c>
      <c r="BL23" s="134">
        <f>'бюджет округа (района)'!AG23</f>
        <v>0</v>
      </c>
      <c r="BM23" s="134">
        <f t="shared" si="162"/>
        <v>0</v>
      </c>
      <c r="BN23" s="134">
        <f t="shared" si="162"/>
        <v>0</v>
      </c>
      <c r="BO23" s="135">
        <f t="shared" si="38"/>
        <v>1</v>
      </c>
      <c r="BP23" s="135">
        <f t="shared" si="38"/>
        <v>1</v>
      </c>
      <c r="BQ23" s="134">
        <f>'бюджет округа (района)'!AJ23+'бюджеты поселений'!AJ23</f>
        <v>0</v>
      </c>
      <c r="BR23" s="134">
        <f>'бюджет округа (района)'!AJ23</f>
        <v>0</v>
      </c>
      <c r="BS23" s="134">
        <f t="shared" si="163"/>
        <v>0</v>
      </c>
      <c r="BT23" s="134">
        <f t="shared" si="163"/>
        <v>0</v>
      </c>
      <c r="BU23" s="135">
        <f t="shared" si="40"/>
        <v>1</v>
      </c>
      <c r="BV23" s="135">
        <f t="shared" si="40"/>
        <v>1</v>
      </c>
      <c r="BW23" s="134">
        <f>'бюджет округа (района)'!AM23+'бюджеты поселений'!AM23</f>
        <v>0</v>
      </c>
      <c r="BX23" s="134">
        <f>'бюджет округа (района)'!AM23</f>
        <v>0</v>
      </c>
      <c r="BY23" s="134">
        <f t="shared" si="164"/>
        <v>0</v>
      </c>
      <c r="BZ23" s="134">
        <f t="shared" si="164"/>
        <v>0</v>
      </c>
      <c r="CA23" s="135">
        <f t="shared" si="42"/>
        <v>1</v>
      </c>
      <c r="CB23" s="135">
        <f t="shared" si="42"/>
        <v>1</v>
      </c>
      <c r="CC23" s="134">
        <f>'бюджет округа (района)'!AP23+'бюджеты поселений'!AP23</f>
        <v>0</v>
      </c>
      <c r="CD23" s="134">
        <f>'бюджет округа (района)'!AP23</f>
        <v>0</v>
      </c>
      <c r="CE23" s="134">
        <f t="shared" si="165"/>
        <v>0</v>
      </c>
      <c r="CF23" s="134">
        <f t="shared" si="165"/>
        <v>0</v>
      </c>
      <c r="CG23" s="135">
        <f t="shared" si="44"/>
        <v>1</v>
      </c>
      <c r="CH23" s="135">
        <f t="shared" si="44"/>
        <v>1</v>
      </c>
      <c r="CI23" s="134">
        <f>'бюджет округа (района)'!AS23+'бюджеты поселений'!AS23</f>
        <v>0</v>
      </c>
      <c r="CJ23" s="134">
        <f>'бюджет округа (района)'!AS23</f>
        <v>0</v>
      </c>
      <c r="CK23" s="134">
        <f t="shared" si="166"/>
        <v>0</v>
      </c>
      <c r="CL23" s="134">
        <f t="shared" si="166"/>
        <v>0</v>
      </c>
      <c r="CM23" s="135">
        <f t="shared" si="46"/>
        <v>1</v>
      </c>
      <c r="CN23" s="135">
        <f t="shared" si="46"/>
        <v>1</v>
      </c>
      <c r="CO23" s="134">
        <f>'бюджет округа (района)'!AV23+'бюджеты поселений'!AV23</f>
        <v>0</v>
      </c>
      <c r="CP23" s="134">
        <f>'бюджет округа (района)'!AV23</f>
        <v>0</v>
      </c>
      <c r="CQ23" s="134">
        <f t="shared" si="167"/>
        <v>0</v>
      </c>
      <c r="CR23" s="134">
        <f t="shared" si="167"/>
        <v>0</v>
      </c>
      <c r="CS23" s="135">
        <f t="shared" si="48"/>
        <v>1</v>
      </c>
      <c r="CT23" s="135">
        <f t="shared" si="48"/>
        <v>1</v>
      </c>
      <c r="CU23" s="134">
        <f>'бюджет округа (района)'!AY23+'бюджеты поселений'!AY23</f>
        <v>0</v>
      </c>
      <c r="CV23" s="134">
        <f>'бюджет округа (района)'!AY23</f>
        <v>0</v>
      </c>
      <c r="CW23" s="134">
        <f t="shared" si="168"/>
        <v>0</v>
      </c>
      <c r="CX23" s="134">
        <f t="shared" si="168"/>
        <v>0</v>
      </c>
      <c r="CY23" s="135">
        <f t="shared" si="50"/>
        <v>1</v>
      </c>
      <c r="CZ23" s="135">
        <f t="shared" si="50"/>
        <v>1</v>
      </c>
      <c r="DA23" s="134">
        <f>'бюджет округа (района)'!BB23+'бюджеты поселений'!BB23</f>
        <v>0</v>
      </c>
      <c r="DB23" s="134">
        <f>'бюджет округа (района)'!BB23</f>
        <v>0</v>
      </c>
      <c r="DC23" s="134">
        <f t="shared" si="169"/>
        <v>0</v>
      </c>
      <c r="DD23" s="134">
        <f t="shared" si="169"/>
        <v>0</v>
      </c>
      <c r="DE23" s="135">
        <f t="shared" si="52"/>
        <v>1</v>
      </c>
      <c r="DF23" s="135">
        <f t="shared" si="52"/>
        <v>1</v>
      </c>
      <c r="DG23" s="134">
        <f>'бюджет округа (района)'!BE23+'бюджеты поселений'!BE23</f>
        <v>0</v>
      </c>
      <c r="DH23" s="134">
        <f>'бюджет округа (района)'!BE23</f>
        <v>0</v>
      </c>
      <c r="DI23" s="134">
        <f t="shared" si="170"/>
        <v>0</v>
      </c>
      <c r="DJ23" s="134">
        <f t="shared" si="170"/>
        <v>0</v>
      </c>
      <c r="DK23" s="135">
        <f t="shared" si="54"/>
        <v>1</v>
      </c>
      <c r="DL23" s="135">
        <f t="shared" si="54"/>
        <v>1</v>
      </c>
      <c r="DM23" s="134">
        <f>'бюджет округа (района)'!BH23+'бюджеты поселений'!BH23</f>
        <v>0</v>
      </c>
      <c r="DN23" s="134">
        <f>'бюджет округа (района)'!BH23</f>
        <v>0</v>
      </c>
      <c r="DO23" s="134">
        <f>'бюджет округа (района)'!BI23+'бюджеты поселений'!BI23</f>
        <v>0</v>
      </c>
      <c r="DP23" s="134">
        <f>'бюджет округа (района)'!BI23</f>
        <v>0</v>
      </c>
      <c r="DQ23" s="134">
        <f>'бюджет округа (района)'!BJ23+'бюджеты поселений'!BJ23</f>
        <v>0</v>
      </c>
      <c r="DR23" s="134">
        <f>'бюджет округа (района)'!BJ23</f>
        <v>0</v>
      </c>
      <c r="DS23" s="135">
        <f>IF($AY$23=0,1,DQ23/$AY$23-1)</f>
        <v>1</v>
      </c>
      <c r="DT23" s="135">
        <f>IF($AZ$23=0,1,DR23/$AZ$23-1)</f>
        <v>1</v>
      </c>
      <c r="DU23" s="135">
        <f t="shared" si="58"/>
        <v>1</v>
      </c>
      <c r="DV23" s="135">
        <f t="shared" si="59"/>
        <v>1</v>
      </c>
      <c r="DW23" s="167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</row>
    <row r="24" spans="1:268" s="62" customFormat="1" ht="18" customHeight="1">
      <c r="A24" s="312" t="s">
        <v>90</v>
      </c>
      <c r="B24" s="313"/>
      <c r="C24" s="134">
        <f>'бюджет округа (района)'!C24+'бюджеты поселений'!C24</f>
        <v>0</v>
      </c>
      <c r="D24" s="134">
        <f>'бюджет округа (района)'!C24</f>
        <v>0</v>
      </c>
      <c r="E24" s="134">
        <f t="shared" si="150"/>
        <v>0</v>
      </c>
      <c r="F24" s="134">
        <f t="shared" si="150"/>
        <v>0</v>
      </c>
      <c r="G24" s="134">
        <f>'бюджет округа (района)'!E24+'бюджеты поселений'!E24</f>
        <v>0</v>
      </c>
      <c r="H24" s="134">
        <f>'бюджет округа (района)'!E24</f>
        <v>0</v>
      </c>
      <c r="I24" s="134">
        <f>'бюджет округа (района)'!F24+'бюджеты поселений'!F24</f>
        <v>0</v>
      </c>
      <c r="J24" s="134">
        <f>'бюджет округа (района)'!F24</f>
        <v>0</v>
      </c>
      <c r="K24" s="134">
        <f t="shared" si="151"/>
        <v>0</v>
      </c>
      <c r="L24" s="134">
        <f t="shared" si="151"/>
        <v>0</v>
      </c>
      <c r="M24" s="134">
        <f>'бюджет округа (района)'!H24+'бюджеты поселений'!H24</f>
        <v>0</v>
      </c>
      <c r="N24" s="134">
        <f>'бюджет округа (района)'!H24</f>
        <v>0</v>
      </c>
      <c r="O24" s="134">
        <f t="shared" si="152"/>
        <v>0</v>
      </c>
      <c r="P24" s="134">
        <f t="shared" si="152"/>
        <v>0</v>
      </c>
      <c r="Q24" s="134">
        <f>'бюджет округа (района)'!J24+'бюджеты поселений'!J24</f>
        <v>0</v>
      </c>
      <c r="R24" s="134">
        <f>'бюджет округа (района)'!J24</f>
        <v>0</v>
      </c>
      <c r="S24" s="134">
        <f t="shared" si="153"/>
        <v>0</v>
      </c>
      <c r="T24" s="134">
        <f t="shared" si="153"/>
        <v>0</v>
      </c>
      <c r="U24" s="134">
        <f>'бюджет округа (района)'!L24+'бюджеты поселений'!L24</f>
        <v>0</v>
      </c>
      <c r="V24" s="134">
        <f>'бюджет округа (района)'!L24</f>
        <v>0</v>
      </c>
      <c r="W24" s="134">
        <f t="shared" si="154"/>
        <v>0</v>
      </c>
      <c r="X24" s="134">
        <f t="shared" si="154"/>
        <v>0</v>
      </c>
      <c r="Y24" s="134">
        <f>'бюджет округа (района)'!N24+'бюджеты поселений'!N24</f>
        <v>0</v>
      </c>
      <c r="Z24" s="134">
        <f>'бюджет округа (района)'!N24</f>
        <v>0</v>
      </c>
      <c r="AA24" s="134">
        <f t="shared" si="155"/>
        <v>0</v>
      </c>
      <c r="AB24" s="134">
        <f t="shared" si="155"/>
        <v>0</v>
      </c>
      <c r="AC24" s="134">
        <f>'бюджет округа (района)'!P24+'бюджеты поселений'!P24</f>
        <v>0</v>
      </c>
      <c r="AD24" s="134">
        <f>'бюджет округа (района)'!P24</f>
        <v>0</v>
      </c>
      <c r="AE24" s="134">
        <f t="shared" si="156"/>
        <v>0</v>
      </c>
      <c r="AF24" s="134">
        <f t="shared" si="156"/>
        <v>0</v>
      </c>
      <c r="AG24" s="134">
        <f>'бюджет округа (района)'!R24+'бюджеты поселений'!R24</f>
        <v>0</v>
      </c>
      <c r="AH24" s="134">
        <f>'бюджет округа (района)'!R24</f>
        <v>0</v>
      </c>
      <c r="AI24" s="134">
        <f t="shared" si="157"/>
        <v>0</v>
      </c>
      <c r="AJ24" s="134">
        <f t="shared" si="157"/>
        <v>0</v>
      </c>
      <c r="AK24" s="134">
        <f>'бюджет округа (района)'!T24+'бюджеты поселений'!T24</f>
        <v>0</v>
      </c>
      <c r="AL24" s="134">
        <f>'бюджет округа (района)'!T24</f>
        <v>0</v>
      </c>
      <c r="AM24" s="134">
        <f t="shared" si="158"/>
        <v>0</v>
      </c>
      <c r="AN24" s="134">
        <f t="shared" si="158"/>
        <v>0</v>
      </c>
      <c r="AO24" s="134">
        <f>'бюджет округа (района)'!V24+'бюджеты поселений'!V24</f>
        <v>0</v>
      </c>
      <c r="AP24" s="134">
        <f>'бюджет округа (района)'!V24</f>
        <v>0</v>
      </c>
      <c r="AQ24" s="134">
        <f t="shared" si="159"/>
        <v>0</v>
      </c>
      <c r="AR24" s="134">
        <f t="shared" si="159"/>
        <v>0</v>
      </c>
      <c r="AS24" s="134">
        <f>'бюджет округа (района)'!X24+'бюджеты поселений'!X24</f>
        <v>0</v>
      </c>
      <c r="AT24" s="134">
        <f>'бюджет округа (района)'!X24</f>
        <v>0</v>
      </c>
      <c r="AU24" s="134">
        <f t="shared" si="160"/>
        <v>0</v>
      </c>
      <c r="AV24" s="134">
        <f t="shared" si="160"/>
        <v>0</v>
      </c>
      <c r="AW24" s="134">
        <f>'бюджет округа (района)'!Z24+'бюджеты поселений'!Z24</f>
        <v>0</v>
      </c>
      <c r="AX24" s="134">
        <f>'бюджет округа (района)'!Z24</f>
        <v>0</v>
      </c>
      <c r="AY24" s="134">
        <f>'бюджет округа (района)'!AA24+'бюджеты поселений'!AA24</f>
        <v>0</v>
      </c>
      <c r="AZ24" s="134">
        <f>'бюджет округа (района)'!AA24</f>
        <v>0</v>
      </c>
      <c r="BA24" s="135">
        <f t="shared" si="149"/>
        <v>1</v>
      </c>
      <c r="BB24" s="135">
        <f t="shared" si="149"/>
        <v>1</v>
      </c>
      <c r="BC24" s="134">
        <f>'бюджет округа (района)'!AC24+'бюджеты поселений'!AC24</f>
        <v>0</v>
      </c>
      <c r="BD24" s="134">
        <f>'бюджет округа (района)'!AC24</f>
        <v>0</v>
      </c>
      <c r="BE24" s="134">
        <f>'бюджет округа (района)'!AD24+'бюджеты поселений'!AD24</f>
        <v>0</v>
      </c>
      <c r="BF24" s="134">
        <f>'бюджет округа (района)'!AD24</f>
        <v>0</v>
      </c>
      <c r="BG24" s="134">
        <f t="shared" si="161"/>
        <v>0</v>
      </c>
      <c r="BH24" s="134">
        <f t="shared" si="161"/>
        <v>0</v>
      </c>
      <c r="BI24" s="135">
        <f t="shared" si="36"/>
        <v>1</v>
      </c>
      <c r="BJ24" s="135">
        <f t="shared" si="36"/>
        <v>1</v>
      </c>
      <c r="BK24" s="134">
        <f>'бюджет округа (района)'!AG24+'бюджеты поселений'!AG24</f>
        <v>0</v>
      </c>
      <c r="BL24" s="134">
        <f>'бюджет округа (района)'!AG24</f>
        <v>0</v>
      </c>
      <c r="BM24" s="134">
        <f t="shared" si="162"/>
        <v>0</v>
      </c>
      <c r="BN24" s="134">
        <f t="shared" si="162"/>
        <v>0</v>
      </c>
      <c r="BO24" s="135">
        <f t="shared" si="38"/>
        <v>1</v>
      </c>
      <c r="BP24" s="135">
        <f t="shared" si="38"/>
        <v>1</v>
      </c>
      <c r="BQ24" s="134">
        <f>'бюджет округа (района)'!AJ24+'бюджеты поселений'!AJ24</f>
        <v>0</v>
      </c>
      <c r="BR24" s="134">
        <f>'бюджет округа (района)'!AJ24</f>
        <v>0</v>
      </c>
      <c r="BS24" s="134">
        <f t="shared" si="163"/>
        <v>0</v>
      </c>
      <c r="BT24" s="134">
        <f t="shared" si="163"/>
        <v>0</v>
      </c>
      <c r="BU24" s="135">
        <f t="shared" si="40"/>
        <v>1</v>
      </c>
      <c r="BV24" s="135">
        <f t="shared" si="40"/>
        <v>1</v>
      </c>
      <c r="BW24" s="134">
        <f>'бюджет округа (района)'!AM24+'бюджеты поселений'!AM24</f>
        <v>0</v>
      </c>
      <c r="BX24" s="134">
        <f>'бюджет округа (района)'!AM24</f>
        <v>0</v>
      </c>
      <c r="BY24" s="134">
        <f t="shared" si="164"/>
        <v>0</v>
      </c>
      <c r="BZ24" s="134">
        <f t="shared" si="164"/>
        <v>0</v>
      </c>
      <c r="CA24" s="135">
        <f t="shared" si="42"/>
        <v>1</v>
      </c>
      <c r="CB24" s="135">
        <f t="shared" si="42"/>
        <v>1</v>
      </c>
      <c r="CC24" s="134">
        <f>'бюджет округа (района)'!AP24+'бюджеты поселений'!AP24</f>
        <v>0</v>
      </c>
      <c r="CD24" s="134">
        <f>'бюджет округа (района)'!AP24</f>
        <v>0</v>
      </c>
      <c r="CE24" s="134">
        <f t="shared" si="165"/>
        <v>0</v>
      </c>
      <c r="CF24" s="134">
        <f t="shared" si="165"/>
        <v>0</v>
      </c>
      <c r="CG24" s="135">
        <f t="shared" si="44"/>
        <v>1</v>
      </c>
      <c r="CH24" s="135">
        <f t="shared" si="44"/>
        <v>1</v>
      </c>
      <c r="CI24" s="134">
        <f>'бюджет округа (района)'!AS24+'бюджеты поселений'!AS24</f>
        <v>0</v>
      </c>
      <c r="CJ24" s="134">
        <f>'бюджет округа (района)'!AS24</f>
        <v>0</v>
      </c>
      <c r="CK24" s="134">
        <f t="shared" si="166"/>
        <v>0</v>
      </c>
      <c r="CL24" s="134">
        <f t="shared" si="166"/>
        <v>0</v>
      </c>
      <c r="CM24" s="135">
        <f t="shared" si="46"/>
        <v>1</v>
      </c>
      <c r="CN24" s="135">
        <f t="shared" si="46"/>
        <v>1</v>
      </c>
      <c r="CO24" s="134">
        <f>'бюджет округа (района)'!AV24+'бюджеты поселений'!AV24</f>
        <v>0</v>
      </c>
      <c r="CP24" s="134">
        <f>'бюджет округа (района)'!AV24</f>
        <v>0</v>
      </c>
      <c r="CQ24" s="134">
        <f t="shared" si="167"/>
        <v>0</v>
      </c>
      <c r="CR24" s="134">
        <f t="shared" si="167"/>
        <v>0</v>
      </c>
      <c r="CS24" s="135">
        <f t="shared" si="48"/>
        <v>1</v>
      </c>
      <c r="CT24" s="135">
        <f t="shared" si="48"/>
        <v>1</v>
      </c>
      <c r="CU24" s="134">
        <f>'бюджет округа (района)'!AY24+'бюджеты поселений'!AY24</f>
        <v>0</v>
      </c>
      <c r="CV24" s="134">
        <f>'бюджет округа (района)'!AY24</f>
        <v>0</v>
      </c>
      <c r="CW24" s="134">
        <f t="shared" si="168"/>
        <v>0</v>
      </c>
      <c r="CX24" s="134">
        <f t="shared" si="168"/>
        <v>0</v>
      </c>
      <c r="CY24" s="135">
        <f t="shared" si="50"/>
        <v>1</v>
      </c>
      <c r="CZ24" s="135">
        <f t="shared" si="50"/>
        <v>1</v>
      </c>
      <c r="DA24" s="134">
        <f>'бюджет округа (района)'!BB24+'бюджеты поселений'!BB24</f>
        <v>0</v>
      </c>
      <c r="DB24" s="134">
        <f>'бюджет округа (района)'!BB24</f>
        <v>0</v>
      </c>
      <c r="DC24" s="134">
        <f t="shared" si="169"/>
        <v>0</v>
      </c>
      <c r="DD24" s="134">
        <f t="shared" si="169"/>
        <v>0</v>
      </c>
      <c r="DE24" s="135">
        <f t="shared" si="52"/>
        <v>1</v>
      </c>
      <c r="DF24" s="135">
        <f t="shared" si="52"/>
        <v>1</v>
      </c>
      <c r="DG24" s="134">
        <f>'бюджет округа (района)'!BE24+'бюджеты поселений'!BE24</f>
        <v>0</v>
      </c>
      <c r="DH24" s="134">
        <f>'бюджет округа (района)'!BE24</f>
        <v>0</v>
      </c>
      <c r="DI24" s="134">
        <f t="shared" si="170"/>
        <v>0</v>
      </c>
      <c r="DJ24" s="134">
        <f t="shared" si="170"/>
        <v>0</v>
      </c>
      <c r="DK24" s="135">
        <f t="shared" si="54"/>
        <v>1</v>
      </c>
      <c r="DL24" s="135">
        <f t="shared" si="54"/>
        <v>1</v>
      </c>
      <c r="DM24" s="134">
        <f>'бюджет округа (района)'!BH24+'бюджеты поселений'!BH24</f>
        <v>0</v>
      </c>
      <c r="DN24" s="134">
        <f>'бюджет округа (района)'!BH24</f>
        <v>0</v>
      </c>
      <c r="DO24" s="134">
        <f>'бюджет округа (района)'!BI24+'бюджеты поселений'!BI24</f>
        <v>0</v>
      </c>
      <c r="DP24" s="134">
        <f>'бюджет округа (района)'!BI24</f>
        <v>0</v>
      </c>
      <c r="DQ24" s="134">
        <f>'бюджет округа (района)'!BJ24+'бюджеты поселений'!BJ24</f>
        <v>0</v>
      </c>
      <c r="DR24" s="134">
        <f>'бюджет округа (района)'!BJ24</f>
        <v>0</v>
      </c>
      <c r="DS24" s="135">
        <f>IF($AY$24=0,1,DQ24/$AY$24-1)</f>
        <v>1</v>
      </c>
      <c r="DT24" s="135">
        <f>IF($AZ$24=0,1,DR24/$AZ$24-1)</f>
        <v>1</v>
      </c>
      <c r="DU24" s="135">
        <f t="shared" si="58"/>
        <v>1</v>
      </c>
      <c r="DV24" s="135">
        <f t="shared" si="59"/>
        <v>1</v>
      </c>
      <c r="DW24" s="167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</row>
    <row r="25" spans="1:268" s="62" customFormat="1" ht="18" customHeight="1">
      <c r="A25" s="312" t="s">
        <v>42</v>
      </c>
      <c r="B25" s="313"/>
      <c r="C25" s="134">
        <f>'бюджет округа (района)'!C25+'бюджеты поселений'!C25</f>
        <v>0</v>
      </c>
      <c r="D25" s="134">
        <f>'бюджет округа (района)'!C25</f>
        <v>0</v>
      </c>
      <c r="E25" s="134">
        <f t="shared" si="150"/>
        <v>0</v>
      </c>
      <c r="F25" s="134">
        <f>H25+J25+N25+R25+V25+Z25+AD25+AH25+AL25+AP25+AT25+AX25</f>
        <v>0</v>
      </c>
      <c r="G25" s="134">
        <f>'бюджет округа (района)'!E25+'бюджеты поселений'!E25</f>
        <v>0</v>
      </c>
      <c r="H25" s="134">
        <f>'бюджет округа (района)'!E25</f>
        <v>0</v>
      </c>
      <c r="I25" s="134">
        <f>'бюджет округа (района)'!F25+'бюджеты поселений'!F25</f>
        <v>0</v>
      </c>
      <c r="J25" s="134">
        <f>'бюджет округа (района)'!F25</f>
        <v>0</v>
      </c>
      <c r="K25" s="134">
        <f t="shared" si="151"/>
        <v>0</v>
      </c>
      <c r="L25" s="134">
        <f t="shared" si="151"/>
        <v>0</v>
      </c>
      <c r="M25" s="134">
        <f>'бюджет округа (района)'!H25+'бюджеты поселений'!H25</f>
        <v>0</v>
      </c>
      <c r="N25" s="134">
        <f>'бюджет округа (района)'!H25</f>
        <v>0</v>
      </c>
      <c r="O25" s="134">
        <f t="shared" si="152"/>
        <v>0</v>
      </c>
      <c r="P25" s="134">
        <f t="shared" si="152"/>
        <v>0</v>
      </c>
      <c r="Q25" s="134">
        <f>'бюджет округа (района)'!J25+'бюджеты поселений'!J25</f>
        <v>0</v>
      </c>
      <c r="R25" s="134">
        <f>'бюджет округа (района)'!J25</f>
        <v>0</v>
      </c>
      <c r="S25" s="134">
        <f t="shared" si="153"/>
        <v>0</v>
      </c>
      <c r="T25" s="134">
        <f t="shared" si="153"/>
        <v>0</v>
      </c>
      <c r="U25" s="134">
        <f>'бюджет округа (района)'!L25+'бюджеты поселений'!L25</f>
        <v>0</v>
      </c>
      <c r="V25" s="134">
        <f>'бюджет округа (района)'!L25</f>
        <v>0</v>
      </c>
      <c r="W25" s="134">
        <f t="shared" si="154"/>
        <v>0</v>
      </c>
      <c r="X25" s="134">
        <f t="shared" si="154"/>
        <v>0</v>
      </c>
      <c r="Y25" s="134">
        <f>'бюджет округа (района)'!N25+'бюджеты поселений'!N25</f>
        <v>0</v>
      </c>
      <c r="Z25" s="134">
        <f>'бюджет округа (района)'!N25</f>
        <v>0</v>
      </c>
      <c r="AA25" s="134">
        <f t="shared" si="155"/>
        <v>0</v>
      </c>
      <c r="AB25" s="134">
        <f t="shared" si="155"/>
        <v>0</v>
      </c>
      <c r="AC25" s="134">
        <f>'бюджет округа (района)'!P25+'бюджеты поселений'!P25</f>
        <v>0</v>
      </c>
      <c r="AD25" s="134">
        <f>'бюджет округа (района)'!P25</f>
        <v>0</v>
      </c>
      <c r="AE25" s="134">
        <f t="shared" si="156"/>
        <v>0</v>
      </c>
      <c r="AF25" s="134">
        <f t="shared" si="156"/>
        <v>0</v>
      </c>
      <c r="AG25" s="134">
        <f>'бюджет округа (района)'!R25+'бюджеты поселений'!R25</f>
        <v>0</v>
      </c>
      <c r="AH25" s="134">
        <f>'бюджет округа (района)'!R25</f>
        <v>0</v>
      </c>
      <c r="AI25" s="134">
        <f t="shared" si="157"/>
        <v>0</v>
      </c>
      <c r="AJ25" s="134">
        <f t="shared" si="157"/>
        <v>0</v>
      </c>
      <c r="AK25" s="134">
        <f>'бюджет округа (района)'!T25+'бюджеты поселений'!T25</f>
        <v>0</v>
      </c>
      <c r="AL25" s="134">
        <f>'бюджет округа (района)'!T25</f>
        <v>0</v>
      </c>
      <c r="AM25" s="134">
        <f t="shared" si="158"/>
        <v>0</v>
      </c>
      <c r="AN25" s="134">
        <f t="shared" si="158"/>
        <v>0</v>
      </c>
      <c r="AO25" s="134">
        <f>'бюджет округа (района)'!V25+'бюджеты поселений'!V25</f>
        <v>0</v>
      </c>
      <c r="AP25" s="134">
        <f>'бюджет округа (района)'!V25</f>
        <v>0</v>
      </c>
      <c r="AQ25" s="134">
        <f t="shared" si="159"/>
        <v>0</v>
      </c>
      <c r="AR25" s="134">
        <f t="shared" si="159"/>
        <v>0</v>
      </c>
      <c r="AS25" s="134">
        <f>'бюджет округа (района)'!X25+'бюджеты поселений'!X25</f>
        <v>0</v>
      </c>
      <c r="AT25" s="134">
        <f>'бюджет округа (района)'!X25</f>
        <v>0</v>
      </c>
      <c r="AU25" s="134">
        <f t="shared" si="160"/>
        <v>0</v>
      </c>
      <c r="AV25" s="134">
        <f t="shared" si="160"/>
        <v>0</v>
      </c>
      <c r="AW25" s="134">
        <f>'бюджет округа (района)'!Z25+'бюджеты поселений'!Z25</f>
        <v>0</v>
      </c>
      <c r="AX25" s="134">
        <f>'бюджет округа (района)'!Z25</f>
        <v>0</v>
      </c>
      <c r="AY25" s="134">
        <f>'бюджет округа (района)'!AA25+'бюджеты поселений'!AA25</f>
        <v>0</v>
      </c>
      <c r="AZ25" s="134">
        <f>'бюджет округа (района)'!AA25</f>
        <v>0</v>
      </c>
      <c r="BA25" s="135">
        <f t="shared" si="149"/>
        <v>1</v>
      </c>
      <c r="BB25" s="135">
        <f t="shared" si="149"/>
        <v>1</v>
      </c>
      <c r="BC25" s="134">
        <f>'бюджет округа (района)'!AC25+'бюджеты поселений'!AC25</f>
        <v>0</v>
      </c>
      <c r="BD25" s="134">
        <f>'бюджет округа (района)'!AC25</f>
        <v>0</v>
      </c>
      <c r="BE25" s="134">
        <f>'бюджет округа (района)'!AD25+'бюджеты поселений'!AD25</f>
        <v>0</v>
      </c>
      <c r="BF25" s="134">
        <f>'бюджет округа (района)'!AD25</f>
        <v>0</v>
      </c>
      <c r="BG25" s="134">
        <f t="shared" si="161"/>
        <v>0</v>
      </c>
      <c r="BH25" s="134">
        <f t="shared" si="161"/>
        <v>0</v>
      </c>
      <c r="BI25" s="135">
        <f t="shared" si="36"/>
        <v>1</v>
      </c>
      <c r="BJ25" s="135">
        <f t="shared" si="36"/>
        <v>1</v>
      </c>
      <c r="BK25" s="134">
        <f>'бюджет округа (района)'!AG25+'бюджеты поселений'!AG25</f>
        <v>0</v>
      </c>
      <c r="BL25" s="134">
        <f>'бюджет округа (района)'!AG25</f>
        <v>0</v>
      </c>
      <c r="BM25" s="134">
        <f t="shared" si="162"/>
        <v>0</v>
      </c>
      <c r="BN25" s="134">
        <f t="shared" si="162"/>
        <v>0</v>
      </c>
      <c r="BO25" s="135">
        <f t="shared" si="38"/>
        <v>1</v>
      </c>
      <c r="BP25" s="135">
        <f t="shared" si="38"/>
        <v>1</v>
      </c>
      <c r="BQ25" s="134">
        <f>'бюджет округа (района)'!AJ25+'бюджеты поселений'!AJ25</f>
        <v>0</v>
      </c>
      <c r="BR25" s="134">
        <f>'бюджет округа (района)'!AJ25</f>
        <v>0</v>
      </c>
      <c r="BS25" s="134">
        <f t="shared" si="163"/>
        <v>0</v>
      </c>
      <c r="BT25" s="134">
        <f t="shared" si="163"/>
        <v>0</v>
      </c>
      <c r="BU25" s="135">
        <f t="shared" si="40"/>
        <v>1</v>
      </c>
      <c r="BV25" s="135">
        <f t="shared" si="40"/>
        <v>1</v>
      </c>
      <c r="BW25" s="134">
        <f>'бюджет округа (района)'!AM25+'бюджеты поселений'!AM25</f>
        <v>0</v>
      </c>
      <c r="BX25" s="134">
        <f>'бюджет округа (района)'!AM25</f>
        <v>0</v>
      </c>
      <c r="BY25" s="134">
        <f t="shared" si="164"/>
        <v>0</v>
      </c>
      <c r="BZ25" s="134">
        <f t="shared" si="164"/>
        <v>0</v>
      </c>
      <c r="CA25" s="135">
        <f t="shared" si="42"/>
        <v>1</v>
      </c>
      <c r="CB25" s="135">
        <f t="shared" si="42"/>
        <v>1</v>
      </c>
      <c r="CC25" s="134">
        <f>'бюджет округа (района)'!AP25+'бюджеты поселений'!AP25</f>
        <v>0</v>
      </c>
      <c r="CD25" s="134">
        <f>'бюджет округа (района)'!AP25</f>
        <v>0</v>
      </c>
      <c r="CE25" s="134">
        <f t="shared" si="165"/>
        <v>0</v>
      </c>
      <c r="CF25" s="134">
        <f t="shared" si="165"/>
        <v>0</v>
      </c>
      <c r="CG25" s="135">
        <f t="shared" si="44"/>
        <v>1</v>
      </c>
      <c r="CH25" s="135">
        <f t="shared" si="44"/>
        <v>1</v>
      </c>
      <c r="CI25" s="134">
        <f>'бюджет округа (района)'!AS25+'бюджеты поселений'!AS25</f>
        <v>0</v>
      </c>
      <c r="CJ25" s="134">
        <f>'бюджет округа (района)'!AS25</f>
        <v>0</v>
      </c>
      <c r="CK25" s="134">
        <f t="shared" si="166"/>
        <v>0</v>
      </c>
      <c r="CL25" s="134">
        <f t="shared" si="166"/>
        <v>0</v>
      </c>
      <c r="CM25" s="135">
        <f t="shared" si="46"/>
        <v>1</v>
      </c>
      <c r="CN25" s="135">
        <f t="shared" si="46"/>
        <v>1</v>
      </c>
      <c r="CO25" s="134">
        <f>'бюджет округа (района)'!AV25+'бюджеты поселений'!AV25</f>
        <v>0</v>
      </c>
      <c r="CP25" s="134">
        <f>'бюджет округа (района)'!AV25</f>
        <v>0</v>
      </c>
      <c r="CQ25" s="134">
        <f t="shared" si="167"/>
        <v>0</v>
      </c>
      <c r="CR25" s="134">
        <f t="shared" si="167"/>
        <v>0</v>
      </c>
      <c r="CS25" s="135">
        <f t="shared" si="48"/>
        <v>1</v>
      </c>
      <c r="CT25" s="135">
        <f t="shared" si="48"/>
        <v>1</v>
      </c>
      <c r="CU25" s="134">
        <f>'бюджет округа (района)'!AY25+'бюджеты поселений'!AY25</f>
        <v>0</v>
      </c>
      <c r="CV25" s="134">
        <f>'бюджет округа (района)'!AY25</f>
        <v>0</v>
      </c>
      <c r="CW25" s="134">
        <f t="shared" si="168"/>
        <v>0</v>
      </c>
      <c r="CX25" s="134">
        <f t="shared" si="168"/>
        <v>0</v>
      </c>
      <c r="CY25" s="135">
        <f t="shared" si="50"/>
        <v>1</v>
      </c>
      <c r="CZ25" s="135">
        <f t="shared" si="50"/>
        <v>1</v>
      </c>
      <c r="DA25" s="134">
        <f>'бюджет округа (района)'!BB25+'бюджеты поселений'!BB25</f>
        <v>0</v>
      </c>
      <c r="DB25" s="134">
        <f>'бюджет округа (района)'!BB25</f>
        <v>0</v>
      </c>
      <c r="DC25" s="134">
        <f t="shared" si="169"/>
        <v>0</v>
      </c>
      <c r="DD25" s="134">
        <f t="shared" si="169"/>
        <v>0</v>
      </c>
      <c r="DE25" s="135">
        <f t="shared" si="52"/>
        <v>1</v>
      </c>
      <c r="DF25" s="135">
        <f t="shared" si="52"/>
        <v>1</v>
      </c>
      <c r="DG25" s="134">
        <f>'бюджет округа (района)'!BE25+'бюджеты поселений'!BE25</f>
        <v>0</v>
      </c>
      <c r="DH25" s="134">
        <f>'бюджет округа (района)'!BE25</f>
        <v>0</v>
      </c>
      <c r="DI25" s="134">
        <f t="shared" si="170"/>
        <v>0</v>
      </c>
      <c r="DJ25" s="134">
        <f t="shared" si="170"/>
        <v>0</v>
      </c>
      <c r="DK25" s="135">
        <f t="shared" si="54"/>
        <v>1</v>
      </c>
      <c r="DL25" s="135">
        <f t="shared" si="54"/>
        <v>1</v>
      </c>
      <c r="DM25" s="134">
        <f>'бюджет округа (района)'!BH25+'бюджеты поселений'!BH25</f>
        <v>0</v>
      </c>
      <c r="DN25" s="134">
        <f>'бюджет округа (района)'!BH25</f>
        <v>0</v>
      </c>
      <c r="DO25" s="134">
        <f>'бюджет округа (района)'!BI25+'бюджеты поселений'!BI25</f>
        <v>0</v>
      </c>
      <c r="DP25" s="134">
        <f>'бюджет округа (района)'!BI25</f>
        <v>0</v>
      </c>
      <c r="DQ25" s="134">
        <f>'бюджет округа (района)'!BJ25+'бюджеты поселений'!BJ25</f>
        <v>0</v>
      </c>
      <c r="DR25" s="134">
        <f>'бюджет округа (района)'!BJ25</f>
        <v>0</v>
      </c>
      <c r="DS25" s="135">
        <f>IF($AY$25=0,1,DQ25/$AY$25-1)</f>
        <v>1</v>
      </c>
      <c r="DT25" s="135">
        <f>IF($AZ$25=0,1,DR25/$AZ$25-1)</f>
        <v>1</v>
      </c>
      <c r="DU25" s="135">
        <f t="shared" si="58"/>
        <v>1</v>
      </c>
      <c r="DV25" s="135">
        <f t="shared" si="59"/>
        <v>1</v>
      </c>
      <c r="DW25" s="167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</row>
    <row r="26" spans="1:268" s="62" customFormat="1" ht="18" customHeight="1">
      <c r="A26" s="312" t="s">
        <v>43</v>
      </c>
      <c r="B26" s="313"/>
      <c r="C26" s="134">
        <f>'бюджет округа (района)'!C26+'бюджеты поселений'!C26</f>
        <v>0</v>
      </c>
      <c r="D26" s="134">
        <f>'бюджет округа (района)'!C26</f>
        <v>0</v>
      </c>
      <c r="E26" s="134">
        <f t="shared" si="150"/>
        <v>0</v>
      </c>
      <c r="F26" s="134">
        <f>H26+J26+N26+R26+V26+Z26+AD26+AH26+AL26+AP26+AT26+AX26</f>
        <v>0</v>
      </c>
      <c r="G26" s="134">
        <f>'бюджет округа (района)'!E26+'бюджеты поселений'!E26</f>
        <v>0</v>
      </c>
      <c r="H26" s="134">
        <f>'бюджет округа (района)'!E26</f>
        <v>0</v>
      </c>
      <c r="I26" s="134">
        <f>'бюджет округа (района)'!F26+'бюджеты поселений'!F26</f>
        <v>0</v>
      </c>
      <c r="J26" s="134">
        <f>'бюджет округа (района)'!F26</f>
        <v>0</v>
      </c>
      <c r="K26" s="134">
        <f t="shared" si="151"/>
        <v>0</v>
      </c>
      <c r="L26" s="134">
        <f t="shared" si="151"/>
        <v>0</v>
      </c>
      <c r="M26" s="134">
        <f>'бюджет округа (района)'!H26+'бюджеты поселений'!H26</f>
        <v>0</v>
      </c>
      <c r="N26" s="134">
        <f>'бюджет округа (района)'!H26</f>
        <v>0</v>
      </c>
      <c r="O26" s="134">
        <f t="shared" si="152"/>
        <v>0</v>
      </c>
      <c r="P26" s="134">
        <f t="shared" si="152"/>
        <v>0</v>
      </c>
      <c r="Q26" s="134">
        <f>'бюджет округа (района)'!J26+'бюджеты поселений'!J26</f>
        <v>0</v>
      </c>
      <c r="R26" s="134">
        <f>'бюджет округа (района)'!J26</f>
        <v>0</v>
      </c>
      <c r="S26" s="134">
        <f t="shared" si="153"/>
        <v>0</v>
      </c>
      <c r="T26" s="134">
        <f t="shared" si="153"/>
        <v>0</v>
      </c>
      <c r="U26" s="134">
        <f>'бюджет округа (района)'!L26+'бюджеты поселений'!L26</f>
        <v>0</v>
      </c>
      <c r="V26" s="134">
        <f>'бюджет округа (района)'!L26</f>
        <v>0</v>
      </c>
      <c r="W26" s="134">
        <f t="shared" si="154"/>
        <v>0</v>
      </c>
      <c r="X26" s="134">
        <f t="shared" si="154"/>
        <v>0</v>
      </c>
      <c r="Y26" s="134">
        <f>'бюджет округа (района)'!N26+'бюджеты поселений'!N26</f>
        <v>0</v>
      </c>
      <c r="Z26" s="134">
        <f>'бюджет округа (района)'!N26</f>
        <v>0</v>
      </c>
      <c r="AA26" s="134">
        <f t="shared" si="155"/>
        <v>0</v>
      </c>
      <c r="AB26" s="134">
        <f t="shared" si="155"/>
        <v>0</v>
      </c>
      <c r="AC26" s="134">
        <f>'бюджет округа (района)'!P26+'бюджеты поселений'!P26</f>
        <v>0</v>
      </c>
      <c r="AD26" s="134">
        <f>'бюджет округа (района)'!P26</f>
        <v>0</v>
      </c>
      <c r="AE26" s="134">
        <f t="shared" si="156"/>
        <v>0</v>
      </c>
      <c r="AF26" s="134">
        <f t="shared" si="156"/>
        <v>0</v>
      </c>
      <c r="AG26" s="134">
        <f>'бюджет округа (района)'!R26+'бюджеты поселений'!R26</f>
        <v>0</v>
      </c>
      <c r="AH26" s="134">
        <f>'бюджет округа (района)'!R26</f>
        <v>0</v>
      </c>
      <c r="AI26" s="134">
        <f t="shared" si="157"/>
        <v>0</v>
      </c>
      <c r="AJ26" s="134">
        <f t="shared" si="157"/>
        <v>0</v>
      </c>
      <c r="AK26" s="134">
        <f>'бюджет округа (района)'!T26+'бюджеты поселений'!T26</f>
        <v>0</v>
      </c>
      <c r="AL26" s="134">
        <f>'бюджет округа (района)'!T26</f>
        <v>0</v>
      </c>
      <c r="AM26" s="134">
        <f t="shared" si="158"/>
        <v>0</v>
      </c>
      <c r="AN26" s="134">
        <f t="shared" si="158"/>
        <v>0</v>
      </c>
      <c r="AO26" s="134">
        <f>'бюджет округа (района)'!V26+'бюджеты поселений'!V26</f>
        <v>0</v>
      </c>
      <c r="AP26" s="134">
        <f>'бюджет округа (района)'!V26</f>
        <v>0</v>
      </c>
      <c r="AQ26" s="134">
        <f t="shared" si="159"/>
        <v>0</v>
      </c>
      <c r="AR26" s="134">
        <f t="shared" si="159"/>
        <v>0</v>
      </c>
      <c r="AS26" s="134">
        <f>'бюджет округа (района)'!X26+'бюджеты поселений'!X26</f>
        <v>0</v>
      </c>
      <c r="AT26" s="134">
        <f>'бюджет округа (района)'!X26</f>
        <v>0</v>
      </c>
      <c r="AU26" s="134">
        <f t="shared" si="160"/>
        <v>0</v>
      </c>
      <c r="AV26" s="134">
        <f t="shared" si="160"/>
        <v>0</v>
      </c>
      <c r="AW26" s="134">
        <f>'бюджет округа (района)'!Z26+'бюджеты поселений'!Z26</f>
        <v>0</v>
      </c>
      <c r="AX26" s="134">
        <f>'бюджет округа (района)'!Z26</f>
        <v>0</v>
      </c>
      <c r="AY26" s="134">
        <f>'бюджет округа (района)'!AA26+'бюджеты поселений'!AA26</f>
        <v>0</v>
      </c>
      <c r="AZ26" s="134">
        <f>'бюджет округа (района)'!AA26</f>
        <v>0</v>
      </c>
      <c r="BA26" s="135">
        <f t="shared" si="149"/>
        <v>1</v>
      </c>
      <c r="BB26" s="135">
        <f t="shared" si="149"/>
        <v>1</v>
      </c>
      <c r="BC26" s="134">
        <f>'бюджет округа (района)'!AC26+'бюджеты поселений'!AC26</f>
        <v>0</v>
      </c>
      <c r="BD26" s="134">
        <f>'бюджет округа (района)'!AC26</f>
        <v>0</v>
      </c>
      <c r="BE26" s="134">
        <f>'бюджет округа (района)'!AD26+'бюджеты поселений'!AD26</f>
        <v>0</v>
      </c>
      <c r="BF26" s="134">
        <f>'бюджет округа (района)'!AD26</f>
        <v>0</v>
      </c>
      <c r="BG26" s="134">
        <f t="shared" si="161"/>
        <v>0</v>
      </c>
      <c r="BH26" s="134">
        <f t="shared" si="161"/>
        <v>0</v>
      </c>
      <c r="BI26" s="135">
        <f t="shared" si="36"/>
        <v>1</v>
      </c>
      <c r="BJ26" s="135">
        <f t="shared" si="36"/>
        <v>1</v>
      </c>
      <c r="BK26" s="134">
        <f>'бюджет округа (района)'!AG26+'бюджеты поселений'!AG26</f>
        <v>0</v>
      </c>
      <c r="BL26" s="134">
        <f>'бюджет округа (района)'!AG26</f>
        <v>0</v>
      </c>
      <c r="BM26" s="134">
        <f t="shared" si="162"/>
        <v>0</v>
      </c>
      <c r="BN26" s="134">
        <f t="shared" si="162"/>
        <v>0</v>
      </c>
      <c r="BO26" s="135">
        <f t="shared" si="38"/>
        <v>1</v>
      </c>
      <c r="BP26" s="135">
        <f t="shared" si="38"/>
        <v>1</v>
      </c>
      <c r="BQ26" s="134">
        <f>'бюджет округа (района)'!AJ26+'бюджеты поселений'!AJ26</f>
        <v>0</v>
      </c>
      <c r="BR26" s="134">
        <f>'бюджет округа (района)'!AJ26</f>
        <v>0</v>
      </c>
      <c r="BS26" s="134">
        <f t="shared" si="163"/>
        <v>0</v>
      </c>
      <c r="BT26" s="134">
        <f t="shared" si="163"/>
        <v>0</v>
      </c>
      <c r="BU26" s="135">
        <f t="shared" si="40"/>
        <v>1</v>
      </c>
      <c r="BV26" s="135">
        <f t="shared" si="40"/>
        <v>1</v>
      </c>
      <c r="BW26" s="134">
        <f>'бюджет округа (района)'!AM26+'бюджеты поселений'!AM26</f>
        <v>0</v>
      </c>
      <c r="BX26" s="134">
        <f>'бюджет округа (района)'!AM26</f>
        <v>0</v>
      </c>
      <c r="BY26" s="134">
        <f t="shared" si="164"/>
        <v>0</v>
      </c>
      <c r="BZ26" s="134">
        <f t="shared" si="164"/>
        <v>0</v>
      </c>
      <c r="CA26" s="135">
        <f t="shared" si="42"/>
        <v>1</v>
      </c>
      <c r="CB26" s="135">
        <f t="shared" si="42"/>
        <v>1</v>
      </c>
      <c r="CC26" s="134">
        <f>'бюджет округа (района)'!AP26+'бюджеты поселений'!AP26</f>
        <v>0</v>
      </c>
      <c r="CD26" s="134">
        <f>'бюджет округа (района)'!AP26</f>
        <v>0</v>
      </c>
      <c r="CE26" s="134">
        <f t="shared" si="165"/>
        <v>0</v>
      </c>
      <c r="CF26" s="134">
        <f t="shared" si="165"/>
        <v>0</v>
      </c>
      <c r="CG26" s="135">
        <f t="shared" si="44"/>
        <v>1</v>
      </c>
      <c r="CH26" s="135">
        <f t="shared" si="44"/>
        <v>1</v>
      </c>
      <c r="CI26" s="134">
        <f>'бюджет округа (района)'!AS26+'бюджеты поселений'!AS26</f>
        <v>0</v>
      </c>
      <c r="CJ26" s="134">
        <f>'бюджет округа (района)'!AS26</f>
        <v>0</v>
      </c>
      <c r="CK26" s="134">
        <f t="shared" si="166"/>
        <v>0</v>
      </c>
      <c r="CL26" s="134">
        <f t="shared" si="166"/>
        <v>0</v>
      </c>
      <c r="CM26" s="135">
        <f t="shared" si="46"/>
        <v>1</v>
      </c>
      <c r="CN26" s="135">
        <f t="shared" si="46"/>
        <v>1</v>
      </c>
      <c r="CO26" s="134">
        <f>'бюджет округа (района)'!AV26+'бюджеты поселений'!AV26</f>
        <v>0</v>
      </c>
      <c r="CP26" s="134">
        <f>'бюджет округа (района)'!AV26</f>
        <v>0</v>
      </c>
      <c r="CQ26" s="134">
        <f t="shared" si="167"/>
        <v>0</v>
      </c>
      <c r="CR26" s="134">
        <f t="shared" si="167"/>
        <v>0</v>
      </c>
      <c r="CS26" s="135">
        <f t="shared" si="48"/>
        <v>1</v>
      </c>
      <c r="CT26" s="135">
        <f t="shared" si="48"/>
        <v>1</v>
      </c>
      <c r="CU26" s="134">
        <f>'бюджет округа (района)'!AY26+'бюджеты поселений'!AY26</f>
        <v>0</v>
      </c>
      <c r="CV26" s="134">
        <f>'бюджет округа (района)'!AY26</f>
        <v>0</v>
      </c>
      <c r="CW26" s="134">
        <f t="shared" si="168"/>
        <v>0</v>
      </c>
      <c r="CX26" s="134">
        <f t="shared" si="168"/>
        <v>0</v>
      </c>
      <c r="CY26" s="135">
        <f t="shared" si="50"/>
        <v>1</v>
      </c>
      <c r="CZ26" s="135">
        <f t="shared" si="50"/>
        <v>1</v>
      </c>
      <c r="DA26" s="134">
        <f>'бюджет округа (района)'!BB26+'бюджеты поселений'!BB26</f>
        <v>0</v>
      </c>
      <c r="DB26" s="134">
        <f>'бюджет округа (района)'!BB26</f>
        <v>0</v>
      </c>
      <c r="DC26" s="134">
        <f t="shared" si="169"/>
        <v>0</v>
      </c>
      <c r="DD26" s="134">
        <f t="shared" si="169"/>
        <v>0</v>
      </c>
      <c r="DE26" s="135">
        <f t="shared" si="52"/>
        <v>1</v>
      </c>
      <c r="DF26" s="135">
        <f t="shared" si="52"/>
        <v>1</v>
      </c>
      <c r="DG26" s="134">
        <f>'бюджет округа (района)'!BE26+'бюджеты поселений'!BE26</f>
        <v>0</v>
      </c>
      <c r="DH26" s="134">
        <f>'бюджет округа (района)'!BE26</f>
        <v>0</v>
      </c>
      <c r="DI26" s="134">
        <f t="shared" si="170"/>
        <v>0</v>
      </c>
      <c r="DJ26" s="134">
        <f t="shared" si="170"/>
        <v>0</v>
      </c>
      <c r="DK26" s="135">
        <f t="shared" si="54"/>
        <v>1</v>
      </c>
      <c r="DL26" s="135">
        <f t="shared" si="54"/>
        <v>1</v>
      </c>
      <c r="DM26" s="134">
        <f>'бюджет округа (района)'!BH26+'бюджеты поселений'!BH26</f>
        <v>0</v>
      </c>
      <c r="DN26" s="134">
        <f>'бюджет округа (района)'!BH26</f>
        <v>0</v>
      </c>
      <c r="DO26" s="134">
        <f>'бюджет округа (района)'!BI26+'бюджеты поселений'!BI26</f>
        <v>0</v>
      </c>
      <c r="DP26" s="134">
        <f>'бюджет округа (района)'!BI26</f>
        <v>0</v>
      </c>
      <c r="DQ26" s="134">
        <f>'бюджет округа (района)'!BJ26+'бюджеты поселений'!BJ26</f>
        <v>0</v>
      </c>
      <c r="DR26" s="134">
        <f>'бюджет округа (района)'!BJ26</f>
        <v>0</v>
      </c>
      <c r="DS26" s="135">
        <f>IF($AY$26=0,1,DQ26/$AY$26-1)</f>
        <v>1</v>
      </c>
      <c r="DT26" s="135">
        <f>IF($AZ$26=0,1,DR26/$AZ$26-1)</f>
        <v>1</v>
      </c>
      <c r="DU26" s="135">
        <f t="shared" si="58"/>
        <v>1</v>
      </c>
      <c r="DV26" s="135">
        <f t="shared" si="59"/>
        <v>1</v>
      </c>
      <c r="DW26" s="167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</row>
    <row r="27" spans="1:268" s="59" customFormat="1" ht="18" customHeight="1">
      <c r="A27" s="314" t="s">
        <v>44</v>
      </c>
      <c r="B27" s="315"/>
      <c r="C27" s="132">
        <f t="shared" ref="C27:D27" si="171">C28+C29+C31+C33+C35+C36</f>
        <v>0</v>
      </c>
      <c r="D27" s="132">
        <f t="shared" si="171"/>
        <v>0</v>
      </c>
      <c r="E27" s="132">
        <f>E28+E29+E31+E33+E35+E36</f>
        <v>0</v>
      </c>
      <c r="F27" s="132">
        <f t="shared" ref="F27:AZ27" si="172">F28+F29+F31+F33+F35+F36</f>
        <v>0</v>
      </c>
      <c r="G27" s="132">
        <f t="shared" si="172"/>
        <v>0</v>
      </c>
      <c r="H27" s="132">
        <f t="shared" si="172"/>
        <v>0</v>
      </c>
      <c r="I27" s="132">
        <f t="shared" si="172"/>
        <v>0</v>
      </c>
      <c r="J27" s="132">
        <f t="shared" si="172"/>
        <v>0</v>
      </c>
      <c r="K27" s="132">
        <f t="shared" si="172"/>
        <v>0</v>
      </c>
      <c r="L27" s="132">
        <f t="shared" si="172"/>
        <v>0</v>
      </c>
      <c r="M27" s="132">
        <f t="shared" si="172"/>
        <v>0</v>
      </c>
      <c r="N27" s="132">
        <f t="shared" si="172"/>
        <v>0</v>
      </c>
      <c r="O27" s="132">
        <f t="shared" si="172"/>
        <v>0</v>
      </c>
      <c r="P27" s="132">
        <f t="shared" si="172"/>
        <v>0</v>
      </c>
      <c r="Q27" s="132">
        <f t="shared" si="172"/>
        <v>0</v>
      </c>
      <c r="R27" s="132">
        <f t="shared" si="172"/>
        <v>0</v>
      </c>
      <c r="S27" s="132">
        <f t="shared" si="172"/>
        <v>0</v>
      </c>
      <c r="T27" s="132">
        <f t="shared" si="172"/>
        <v>0</v>
      </c>
      <c r="U27" s="132">
        <f t="shared" si="172"/>
        <v>0</v>
      </c>
      <c r="V27" s="132">
        <f t="shared" si="172"/>
        <v>0</v>
      </c>
      <c r="W27" s="132">
        <f t="shared" si="172"/>
        <v>0</v>
      </c>
      <c r="X27" s="132">
        <f t="shared" si="172"/>
        <v>0</v>
      </c>
      <c r="Y27" s="132">
        <f t="shared" si="172"/>
        <v>0</v>
      </c>
      <c r="Z27" s="132">
        <f t="shared" si="172"/>
        <v>0</v>
      </c>
      <c r="AA27" s="132">
        <f t="shared" si="172"/>
        <v>0</v>
      </c>
      <c r="AB27" s="132">
        <f t="shared" si="172"/>
        <v>0</v>
      </c>
      <c r="AC27" s="132">
        <f t="shared" si="172"/>
        <v>0</v>
      </c>
      <c r="AD27" s="132">
        <f t="shared" si="172"/>
        <v>0</v>
      </c>
      <c r="AE27" s="132">
        <f t="shared" si="172"/>
        <v>0</v>
      </c>
      <c r="AF27" s="132">
        <f t="shared" si="172"/>
        <v>0</v>
      </c>
      <c r="AG27" s="132">
        <f t="shared" si="172"/>
        <v>0</v>
      </c>
      <c r="AH27" s="132">
        <f t="shared" si="172"/>
        <v>0</v>
      </c>
      <c r="AI27" s="132">
        <f t="shared" si="172"/>
        <v>0</v>
      </c>
      <c r="AJ27" s="132">
        <f t="shared" si="172"/>
        <v>0</v>
      </c>
      <c r="AK27" s="132">
        <f t="shared" si="172"/>
        <v>0</v>
      </c>
      <c r="AL27" s="132">
        <f t="shared" si="172"/>
        <v>0</v>
      </c>
      <c r="AM27" s="132">
        <f t="shared" si="172"/>
        <v>0</v>
      </c>
      <c r="AN27" s="132">
        <f t="shared" si="172"/>
        <v>0</v>
      </c>
      <c r="AO27" s="132">
        <f t="shared" si="172"/>
        <v>0</v>
      </c>
      <c r="AP27" s="132">
        <f t="shared" si="172"/>
        <v>0</v>
      </c>
      <c r="AQ27" s="132">
        <f t="shared" si="172"/>
        <v>0</v>
      </c>
      <c r="AR27" s="132">
        <f t="shared" si="172"/>
        <v>0</v>
      </c>
      <c r="AS27" s="132">
        <f t="shared" si="172"/>
        <v>0</v>
      </c>
      <c r="AT27" s="132">
        <f t="shared" si="172"/>
        <v>0</v>
      </c>
      <c r="AU27" s="132">
        <f t="shared" si="172"/>
        <v>0</v>
      </c>
      <c r="AV27" s="132">
        <f t="shared" si="172"/>
        <v>0</v>
      </c>
      <c r="AW27" s="132">
        <f t="shared" si="172"/>
        <v>0</v>
      </c>
      <c r="AX27" s="132">
        <f t="shared" si="172"/>
        <v>0</v>
      </c>
      <c r="AY27" s="132">
        <f t="shared" si="172"/>
        <v>0</v>
      </c>
      <c r="AZ27" s="132">
        <f t="shared" si="172"/>
        <v>0</v>
      </c>
      <c r="BA27" s="133">
        <f t="shared" ref="BA27:BB42" si="173">IF(E27=0,1,AY27/E27-1)</f>
        <v>1</v>
      </c>
      <c r="BB27" s="133">
        <f t="shared" si="173"/>
        <v>1</v>
      </c>
      <c r="BC27" s="132">
        <f t="shared" ref="BC27:DJ27" si="174">BC28+BC29+BC31+BC33+BC35+BC36</f>
        <v>0</v>
      </c>
      <c r="BD27" s="132">
        <f t="shared" si="174"/>
        <v>0</v>
      </c>
      <c r="BE27" s="132">
        <f t="shared" si="174"/>
        <v>0</v>
      </c>
      <c r="BF27" s="132">
        <f t="shared" si="174"/>
        <v>0</v>
      </c>
      <c r="BG27" s="132">
        <f t="shared" si="174"/>
        <v>0</v>
      </c>
      <c r="BH27" s="132">
        <f t="shared" si="174"/>
        <v>0</v>
      </c>
      <c r="BI27" s="133">
        <f t="shared" si="36"/>
        <v>1</v>
      </c>
      <c r="BJ27" s="133">
        <f t="shared" si="36"/>
        <v>1</v>
      </c>
      <c r="BK27" s="132">
        <f t="shared" ref="BK27:BL27" si="175">BK28+BK29+BK31+BK33+BK35+BK36</f>
        <v>0</v>
      </c>
      <c r="BL27" s="132">
        <f t="shared" si="175"/>
        <v>0</v>
      </c>
      <c r="BM27" s="132">
        <f t="shared" si="174"/>
        <v>0</v>
      </c>
      <c r="BN27" s="132">
        <f t="shared" si="174"/>
        <v>0</v>
      </c>
      <c r="BO27" s="133">
        <f t="shared" si="38"/>
        <v>1</v>
      </c>
      <c r="BP27" s="133">
        <f t="shared" si="38"/>
        <v>1</v>
      </c>
      <c r="BQ27" s="132">
        <f t="shared" ref="BQ27:BR27" si="176">BQ28+BQ29+BQ31+BQ33+BQ35+BQ36</f>
        <v>0</v>
      </c>
      <c r="BR27" s="132">
        <f t="shared" si="176"/>
        <v>0</v>
      </c>
      <c r="BS27" s="132">
        <f t="shared" si="174"/>
        <v>0</v>
      </c>
      <c r="BT27" s="132">
        <f t="shared" si="174"/>
        <v>0</v>
      </c>
      <c r="BU27" s="133">
        <f t="shared" si="40"/>
        <v>1</v>
      </c>
      <c r="BV27" s="133">
        <f t="shared" si="40"/>
        <v>1</v>
      </c>
      <c r="BW27" s="132">
        <f t="shared" ref="BW27:BX27" si="177">BW28+BW29+BW31+BW33+BW35+BW36</f>
        <v>0</v>
      </c>
      <c r="BX27" s="132">
        <f t="shared" si="177"/>
        <v>0</v>
      </c>
      <c r="BY27" s="132">
        <f t="shared" si="174"/>
        <v>0</v>
      </c>
      <c r="BZ27" s="132">
        <f t="shared" si="174"/>
        <v>0</v>
      </c>
      <c r="CA27" s="133">
        <f t="shared" si="42"/>
        <v>1</v>
      </c>
      <c r="CB27" s="133">
        <f t="shared" si="42"/>
        <v>1</v>
      </c>
      <c r="CC27" s="132">
        <f t="shared" ref="CC27:CD27" si="178">CC28+CC29+CC31+CC33+CC35+CC36</f>
        <v>0</v>
      </c>
      <c r="CD27" s="132">
        <f t="shared" si="178"/>
        <v>0</v>
      </c>
      <c r="CE27" s="132">
        <f t="shared" si="174"/>
        <v>0</v>
      </c>
      <c r="CF27" s="132">
        <f t="shared" si="174"/>
        <v>0</v>
      </c>
      <c r="CG27" s="133">
        <f t="shared" si="44"/>
        <v>1</v>
      </c>
      <c r="CH27" s="133">
        <f t="shared" si="44"/>
        <v>1</v>
      </c>
      <c r="CI27" s="132">
        <f t="shared" ref="CI27:CJ27" si="179">CI28+CI29+CI31+CI33+CI35+CI36</f>
        <v>0</v>
      </c>
      <c r="CJ27" s="132">
        <f t="shared" si="179"/>
        <v>0</v>
      </c>
      <c r="CK27" s="132">
        <f t="shared" si="174"/>
        <v>0</v>
      </c>
      <c r="CL27" s="132">
        <f t="shared" si="174"/>
        <v>0</v>
      </c>
      <c r="CM27" s="133">
        <f t="shared" si="46"/>
        <v>1</v>
      </c>
      <c r="CN27" s="133">
        <f t="shared" si="46"/>
        <v>1</v>
      </c>
      <c r="CO27" s="132">
        <f t="shared" ref="CO27:CP27" si="180">CO28+CO29+CO31+CO33+CO35+CO36</f>
        <v>0</v>
      </c>
      <c r="CP27" s="132">
        <f t="shared" si="180"/>
        <v>0</v>
      </c>
      <c r="CQ27" s="132">
        <f t="shared" si="174"/>
        <v>0</v>
      </c>
      <c r="CR27" s="132">
        <f t="shared" si="174"/>
        <v>0</v>
      </c>
      <c r="CS27" s="133">
        <f t="shared" si="48"/>
        <v>1</v>
      </c>
      <c r="CT27" s="133">
        <f t="shared" si="48"/>
        <v>1</v>
      </c>
      <c r="CU27" s="132">
        <f t="shared" ref="CU27:CV27" si="181">CU28+CU29+CU31+CU33+CU35+CU36</f>
        <v>0</v>
      </c>
      <c r="CV27" s="132">
        <f t="shared" si="181"/>
        <v>0</v>
      </c>
      <c r="CW27" s="132">
        <f t="shared" si="174"/>
        <v>0</v>
      </c>
      <c r="CX27" s="132">
        <f t="shared" si="174"/>
        <v>0</v>
      </c>
      <c r="CY27" s="133">
        <f t="shared" si="50"/>
        <v>1</v>
      </c>
      <c r="CZ27" s="133">
        <f t="shared" si="50"/>
        <v>1</v>
      </c>
      <c r="DA27" s="132">
        <f t="shared" ref="DA27:DB27" si="182">DA28+DA29+DA31+DA33+DA35+DA36</f>
        <v>0</v>
      </c>
      <c r="DB27" s="132">
        <f t="shared" si="182"/>
        <v>0</v>
      </c>
      <c r="DC27" s="132">
        <f t="shared" si="174"/>
        <v>0</v>
      </c>
      <c r="DD27" s="132">
        <f t="shared" si="174"/>
        <v>0</v>
      </c>
      <c r="DE27" s="133">
        <f t="shared" si="52"/>
        <v>1</v>
      </c>
      <c r="DF27" s="133">
        <f t="shared" si="52"/>
        <v>1</v>
      </c>
      <c r="DG27" s="132">
        <f t="shared" ref="DG27:DH27" si="183">DG28+DG29+DG31+DG33+DG35+DG36</f>
        <v>0</v>
      </c>
      <c r="DH27" s="132">
        <f t="shared" si="183"/>
        <v>0</v>
      </c>
      <c r="DI27" s="132">
        <f t="shared" si="174"/>
        <v>0</v>
      </c>
      <c r="DJ27" s="132">
        <f t="shared" si="174"/>
        <v>0</v>
      </c>
      <c r="DK27" s="133">
        <f t="shared" si="54"/>
        <v>1</v>
      </c>
      <c r="DL27" s="133">
        <f t="shared" si="54"/>
        <v>1</v>
      </c>
      <c r="DM27" s="132">
        <f t="shared" ref="DM27:DR27" si="184">DM28+DM29+DM31+DM33+DM35+DM36</f>
        <v>0</v>
      </c>
      <c r="DN27" s="132">
        <f t="shared" si="184"/>
        <v>0</v>
      </c>
      <c r="DO27" s="132">
        <f t="shared" si="184"/>
        <v>0</v>
      </c>
      <c r="DP27" s="132">
        <f t="shared" si="184"/>
        <v>0</v>
      </c>
      <c r="DQ27" s="132">
        <f t="shared" si="184"/>
        <v>0</v>
      </c>
      <c r="DR27" s="132">
        <f t="shared" si="184"/>
        <v>0</v>
      </c>
      <c r="DS27" s="133">
        <f>IF($AY$27=0,1,DQ27/$AY$27-1)</f>
        <v>1</v>
      </c>
      <c r="DT27" s="133">
        <f>IF($AZ$27=0,1,DR27/$AZ$27-1)</f>
        <v>1</v>
      </c>
      <c r="DU27" s="133">
        <f t="shared" si="58"/>
        <v>1</v>
      </c>
      <c r="DV27" s="133">
        <f t="shared" si="59"/>
        <v>1</v>
      </c>
      <c r="DW27" s="166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  <c r="IW27" s="58"/>
      <c r="IX27" s="58"/>
      <c r="IY27" s="58"/>
      <c r="IZ27" s="58"/>
      <c r="JA27" s="58"/>
      <c r="JB27" s="58"/>
      <c r="JC27" s="58"/>
      <c r="JD27" s="58"/>
      <c r="JE27" s="58"/>
      <c r="JF27" s="58"/>
      <c r="JG27" s="58"/>
      <c r="JH27" s="58"/>
    </row>
    <row r="28" spans="1:268" s="64" customFormat="1" ht="18" customHeight="1">
      <c r="A28" s="298" t="s">
        <v>94</v>
      </c>
      <c r="B28" s="299"/>
      <c r="C28" s="134">
        <f>'бюджет округа (района)'!C28+'бюджеты поселений'!C28</f>
        <v>0</v>
      </c>
      <c r="D28" s="137">
        <f>'бюджет округа (района)'!C28</f>
        <v>0</v>
      </c>
      <c r="E28" s="134">
        <f t="shared" si="150"/>
        <v>0</v>
      </c>
      <c r="F28" s="137">
        <f>H28+J28+N28+R28+V28+Z28+AD28+AH28+AL28+AP28+AT28+AX28</f>
        <v>0</v>
      </c>
      <c r="G28" s="134">
        <f>'бюджет округа (района)'!E28+'бюджеты поселений'!E28</f>
        <v>0</v>
      </c>
      <c r="H28" s="137">
        <f>'бюджет округа (района)'!E28</f>
        <v>0</v>
      </c>
      <c r="I28" s="134">
        <f>'бюджет округа (района)'!F28+'бюджеты поселений'!F28</f>
        <v>0</v>
      </c>
      <c r="J28" s="137">
        <f>'бюджет округа (района)'!F28</f>
        <v>0</v>
      </c>
      <c r="K28" s="134">
        <f t="shared" si="151"/>
        <v>0</v>
      </c>
      <c r="L28" s="134">
        <f t="shared" si="151"/>
        <v>0</v>
      </c>
      <c r="M28" s="134">
        <f>'бюджет округа (района)'!H28+'бюджеты поселений'!H28</f>
        <v>0</v>
      </c>
      <c r="N28" s="137">
        <f>'бюджет округа (района)'!H28</f>
        <v>0</v>
      </c>
      <c r="O28" s="134">
        <f t="shared" si="152"/>
        <v>0</v>
      </c>
      <c r="P28" s="134">
        <f t="shared" si="152"/>
        <v>0</v>
      </c>
      <c r="Q28" s="134">
        <f>'бюджет округа (района)'!J28+'бюджеты поселений'!J28</f>
        <v>0</v>
      </c>
      <c r="R28" s="137">
        <f>'бюджет округа (района)'!J28</f>
        <v>0</v>
      </c>
      <c r="S28" s="134">
        <f t="shared" si="153"/>
        <v>0</v>
      </c>
      <c r="T28" s="134">
        <f t="shared" si="153"/>
        <v>0</v>
      </c>
      <c r="U28" s="134">
        <f>'бюджет округа (района)'!L28+'бюджеты поселений'!L28</f>
        <v>0</v>
      </c>
      <c r="V28" s="137">
        <f>'бюджет округа (района)'!L28</f>
        <v>0</v>
      </c>
      <c r="W28" s="134">
        <f t="shared" si="154"/>
        <v>0</v>
      </c>
      <c r="X28" s="134">
        <f t="shared" si="154"/>
        <v>0</v>
      </c>
      <c r="Y28" s="134">
        <f>'бюджет округа (района)'!N28+'бюджеты поселений'!N28</f>
        <v>0</v>
      </c>
      <c r="Z28" s="137">
        <f>'бюджет округа (района)'!N28</f>
        <v>0</v>
      </c>
      <c r="AA28" s="134">
        <f t="shared" si="155"/>
        <v>0</v>
      </c>
      <c r="AB28" s="134">
        <f t="shared" si="155"/>
        <v>0</v>
      </c>
      <c r="AC28" s="134">
        <f>'бюджет округа (района)'!P28+'бюджеты поселений'!P28</f>
        <v>0</v>
      </c>
      <c r="AD28" s="137">
        <f>'бюджет округа (района)'!P28</f>
        <v>0</v>
      </c>
      <c r="AE28" s="134">
        <f t="shared" si="156"/>
        <v>0</v>
      </c>
      <c r="AF28" s="134">
        <f t="shared" si="156"/>
        <v>0</v>
      </c>
      <c r="AG28" s="134">
        <f>'бюджет округа (района)'!R28+'бюджеты поселений'!R28</f>
        <v>0</v>
      </c>
      <c r="AH28" s="137">
        <f>'бюджет округа (района)'!R28</f>
        <v>0</v>
      </c>
      <c r="AI28" s="134">
        <f t="shared" ref="AI28:AJ36" si="185">AE28+AG28</f>
        <v>0</v>
      </c>
      <c r="AJ28" s="134">
        <f t="shared" si="185"/>
        <v>0</v>
      </c>
      <c r="AK28" s="134">
        <f>'бюджет округа (района)'!T28+'бюджеты поселений'!T28</f>
        <v>0</v>
      </c>
      <c r="AL28" s="137">
        <f>'бюджет округа (района)'!T28</f>
        <v>0</v>
      </c>
      <c r="AM28" s="134">
        <f t="shared" ref="AM28:AN36" si="186">AI28+AK28</f>
        <v>0</v>
      </c>
      <c r="AN28" s="134">
        <f t="shared" si="186"/>
        <v>0</v>
      </c>
      <c r="AO28" s="134">
        <f>'бюджет округа (района)'!V28+'бюджеты поселений'!V28</f>
        <v>0</v>
      </c>
      <c r="AP28" s="137">
        <f>'бюджет округа (района)'!V28</f>
        <v>0</v>
      </c>
      <c r="AQ28" s="134">
        <f t="shared" ref="AQ28:AR36" si="187">AM28+AO28</f>
        <v>0</v>
      </c>
      <c r="AR28" s="134">
        <f t="shared" si="187"/>
        <v>0</v>
      </c>
      <c r="AS28" s="134">
        <f>'бюджет округа (района)'!X28+'бюджеты поселений'!X28</f>
        <v>0</v>
      </c>
      <c r="AT28" s="137">
        <f>'бюджет округа (района)'!X28</f>
        <v>0</v>
      </c>
      <c r="AU28" s="134">
        <f t="shared" ref="AU28:AV36" si="188">AQ28+AS28</f>
        <v>0</v>
      </c>
      <c r="AV28" s="134">
        <f t="shared" si="188"/>
        <v>0</v>
      </c>
      <c r="AW28" s="134">
        <f>'бюджет округа (района)'!Z28+'бюджеты поселений'!Z28</f>
        <v>0</v>
      </c>
      <c r="AX28" s="137">
        <f>'бюджет округа (района)'!Z28</f>
        <v>0</v>
      </c>
      <c r="AY28" s="134">
        <f>'бюджет округа (района)'!AA28+'бюджеты поселений'!AA28</f>
        <v>0</v>
      </c>
      <c r="AZ28" s="137">
        <f>'бюджет округа (района)'!AA28</f>
        <v>0</v>
      </c>
      <c r="BA28" s="135">
        <f t="shared" si="173"/>
        <v>1</v>
      </c>
      <c r="BB28" s="135">
        <f t="shared" si="173"/>
        <v>1</v>
      </c>
      <c r="BC28" s="134">
        <f>'бюджет округа (района)'!AC28+'бюджеты поселений'!AC28</f>
        <v>0</v>
      </c>
      <c r="BD28" s="137">
        <f>'бюджет округа (района)'!AC28</f>
        <v>0</v>
      </c>
      <c r="BE28" s="134">
        <f>'бюджет округа (района)'!AD28+'бюджеты поселений'!AD28</f>
        <v>0</v>
      </c>
      <c r="BF28" s="137">
        <f>'бюджет округа (района)'!AD28</f>
        <v>0</v>
      </c>
      <c r="BG28" s="134">
        <f t="shared" ref="BG28:BH36" si="189">BC28+BE28</f>
        <v>0</v>
      </c>
      <c r="BH28" s="134">
        <f t="shared" si="189"/>
        <v>0</v>
      </c>
      <c r="BI28" s="135">
        <f t="shared" si="36"/>
        <v>1</v>
      </c>
      <c r="BJ28" s="135">
        <f t="shared" si="36"/>
        <v>1</v>
      </c>
      <c r="BK28" s="134">
        <f>'бюджет округа (района)'!AG28+'бюджеты поселений'!AG28</f>
        <v>0</v>
      </c>
      <c r="BL28" s="137">
        <f>'бюджет округа (района)'!AG28</f>
        <v>0</v>
      </c>
      <c r="BM28" s="134">
        <f t="shared" ref="BM28:BN36" si="190">BG28+BK28</f>
        <v>0</v>
      </c>
      <c r="BN28" s="134">
        <f t="shared" si="190"/>
        <v>0</v>
      </c>
      <c r="BO28" s="135">
        <f t="shared" si="38"/>
        <v>1</v>
      </c>
      <c r="BP28" s="135">
        <f t="shared" si="38"/>
        <v>1</v>
      </c>
      <c r="BQ28" s="134">
        <f>'бюджет округа (района)'!AJ28+'бюджеты поселений'!AJ28</f>
        <v>0</v>
      </c>
      <c r="BR28" s="137">
        <f>'бюджет округа (района)'!AJ28</f>
        <v>0</v>
      </c>
      <c r="BS28" s="134">
        <f t="shared" ref="BS28:BT36" si="191">BM28+BQ28</f>
        <v>0</v>
      </c>
      <c r="BT28" s="134">
        <f t="shared" si="191"/>
        <v>0</v>
      </c>
      <c r="BU28" s="135">
        <f t="shared" si="40"/>
        <v>1</v>
      </c>
      <c r="BV28" s="135">
        <f t="shared" si="40"/>
        <v>1</v>
      </c>
      <c r="BW28" s="134">
        <f>'бюджет округа (района)'!AM28+'бюджеты поселений'!AM28</f>
        <v>0</v>
      </c>
      <c r="BX28" s="137">
        <f>'бюджет округа (района)'!AM28</f>
        <v>0</v>
      </c>
      <c r="BY28" s="134">
        <f t="shared" ref="BY28:BZ36" si="192">BS28+BW28</f>
        <v>0</v>
      </c>
      <c r="BZ28" s="134">
        <f t="shared" si="192"/>
        <v>0</v>
      </c>
      <c r="CA28" s="135">
        <f t="shared" si="42"/>
        <v>1</v>
      </c>
      <c r="CB28" s="135">
        <f t="shared" si="42"/>
        <v>1</v>
      </c>
      <c r="CC28" s="134">
        <f>'бюджет округа (района)'!AP28+'бюджеты поселений'!AP28</f>
        <v>0</v>
      </c>
      <c r="CD28" s="137">
        <f>'бюджет округа (района)'!AP28</f>
        <v>0</v>
      </c>
      <c r="CE28" s="134">
        <f t="shared" ref="CE28:CF36" si="193">BY28+CC28</f>
        <v>0</v>
      </c>
      <c r="CF28" s="134">
        <f t="shared" si="193"/>
        <v>0</v>
      </c>
      <c r="CG28" s="135">
        <f t="shared" si="44"/>
        <v>1</v>
      </c>
      <c r="CH28" s="135">
        <f t="shared" si="44"/>
        <v>1</v>
      </c>
      <c r="CI28" s="134">
        <f>'бюджет округа (района)'!AS28+'бюджеты поселений'!AS28</f>
        <v>0</v>
      </c>
      <c r="CJ28" s="137">
        <f>'бюджет округа (района)'!AS28</f>
        <v>0</v>
      </c>
      <c r="CK28" s="134">
        <f t="shared" ref="CK28:CL36" si="194">CE28+CI28</f>
        <v>0</v>
      </c>
      <c r="CL28" s="134">
        <f t="shared" si="194"/>
        <v>0</v>
      </c>
      <c r="CM28" s="135">
        <f t="shared" si="46"/>
        <v>1</v>
      </c>
      <c r="CN28" s="135">
        <f t="shared" si="46"/>
        <v>1</v>
      </c>
      <c r="CO28" s="134">
        <f>'бюджет округа (района)'!AV28+'бюджеты поселений'!AV28</f>
        <v>0</v>
      </c>
      <c r="CP28" s="137">
        <f>'бюджет округа (района)'!AV28</f>
        <v>0</v>
      </c>
      <c r="CQ28" s="134">
        <f t="shared" ref="CQ28:CR36" si="195">CK28+CO28</f>
        <v>0</v>
      </c>
      <c r="CR28" s="134">
        <f t="shared" si="195"/>
        <v>0</v>
      </c>
      <c r="CS28" s="135">
        <f t="shared" si="48"/>
        <v>1</v>
      </c>
      <c r="CT28" s="135">
        <f t="shared" si="48"/>
        <v>1</v>
      </c>
      <c r="CU28" s="134">
        <f>'бюджет округа (района)'!AY28+'бюджеты поселений'!AY28</f>
        <v>0</v>
      </c>
      <c r="CV28" s="137">
        <f>'бюджет округа (района)'!AY28</f>
        <v>0</v>
      </c>
      <c r="CW28" s="134">
        <f t="shared" ref="CW28:CX36" si="196">CQ28+CU28</f>
        <v>0</v>
      </c>
      <c r="CX28" s="134">
        <f t="shared" si="196"/>
        <v>0</v>
      </c>
      <c r="CY28" s="135">
        <f t="shared" si="50"/>
        <v>1</v>
      </c>
      <c r="CZ28" s="135">
        <f t="shared" si="50"/>
        <v>1</v>
      </c>
      <c r="DA28" s="134">
        <f>'бюджет округа (района)'!BB28+'бюджеты поселений'!BB28</f>
        <v>0</v>
      </c>
      <c r="DB28" s="137">
        <f>'бюджет округа (района)'!BB28</f>
        <v>0</v>
      </c>
      <c r="DC28" s="134">
        <f t="shared" ref="DC28:DD36" si="197">CW28+DA28</f>
        <v>0</v>
      </c>
      <c r="DD28" s="134">
        <f t="shared" si="197"/>
        <v>0</v>
      </c>
      <c r="DE28" s="135">
        <f t="shared" si="52"/>
        <v>1</v>
      </c>
      <c r="DF28" s="135">
        <f t="shared" si="52"/>
        <v>1</v>
      </c>
      <c r="DG28" s="134">
        <f>'бюджет округа (района)'!BE28+'бюджеты поселений'!BE28</f>
        <v>0</v>
      </c>
      <c r="DH28" s="137">
        <f>'бюджет округа (района)'!BE28</f>
        <v>0</v>
      </c>
      <c r="DI28" s="134">
        <f t="shared" ref="DI28:DJ36" si="198">DC28+DG28</f>
        <v>0</v>
      </c>
      <c r="DJ28" s="134">
        <f t="shared" si="198"/>
        <v>0</v>
      </c>
      <c r="DK28" s="135">
        <f t="shared" si="54"/>
        <v>1</v>
      </c>
      <c r="DL28" s="135">
        <f t="shared" si="54"/>
        <v>1</v>
      </c>
      <c r="DM28" s="134">
        <f>'бюджет округа (района)'!BH28+'бюджеты поселений'!BH28</f>
        <v>0</v>
      </c>
      <c r="DN28" s="137">
        <f>'бюджет округа (района)'!BH28</f>
        <v>0</v>
      </c>
      <c r="DO28" s="134">
        <f>'бюджет округа (района)'!BI28+'бюджеты поселений'!BI28</f>
        <v>0</v>
      </c>
      <c r="DP28" s="137">
        <f>'бюджет округа (района)'!BI28</f>
        <v>0</v>
      </c>
      <c r="DQ28" s="134">
        <f>'бюджет округа (района)'!BJ28+'бюджеты поселений'!BJ28</f>
        <v>0</v>
      </c>
      <c r="DR28" s="137">
        <f>'бюджет округа (района)'!BJ28</f>
        <v>0</v>
      </c>
      <c r="DS28" s="135">
        <f>IF($AY$28=0,1,DQ28/$AY$28-1)</f>
        <v>1</v>
      </c>
      <c r="DT28" s="135">
        <f>IF($AZ$28=0,1,DR28/$AZ$28-1)</f>
        <v>1</v>
      </c>
      <c r="DU28" s="135">
        <f t="shared" si="58"/>
        <v>1</v>
      </c>
      <c r="DV28" s="135">
        <f t="shared" si="59"/>
        <v>1</v>
      </c>
      <c r="DW28" s="167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</row>
    <row r="29" spans="1:268" s="64" customFormat="1" ht="18" customHeight="1">
      <c r="A29" s="298" t="s">
        <v>45</v>
      </c>
      <c r="B29" s="299"/>
      <c r="C29" s="134">
        <f>'бюджет округа (района)'!C29+'бюджеты поселений'!C29</f>
        <v>0</v>
      </c>
      <c r="D29" s="137">
        <f>'бюджет округа (района)'!C29</f>
        <v>0</v>
      </c>
      <c r="E29" s="134">
        <f t="shared" si="150"/>
        <v>0</v>
      </c>
      <c r="F29" s="137">
        <f t="shared" si="150"/>
        <v>0</v>
      </c>
      <c r="G29" s="134">
        <f>'бюджет округа (района)'!E29+'бюджеты поселений'!E29</f>
        <v>0</v>
      </c>
      <c r="H29" s="137">
        <f>'бюджет округа (района)'!E29</f>
        <v>0</v>
      </c>
      <c r="I29" s="134">
        <f>'бюджет округа (района)'!F29+'бюджеты поселений'!F29</f>
        <v>0</v>
      </c>
      <c r="J29" s="137">
        <f>'бюджет округа (района)'!F29</f>
        <v>0</v>
      </c>
      <c r="K29" s="134">
        <f t="shared" si="151"/>
        <v>0</v>
      </c>
      <c r="L29" s="134">
        <f t="shared" si="151"/>
        <v>0</v>
      </c>
      <c r="M29" s="134">
        <f>'бюджет округа (района)'!H29+'бюджеты поселений'!H29</f>
        <v>0</v>
      </c>
      <c r="N29" s="137">
        <f>'бюджет округа (района)'!H29</f>
        <v>0</v>
      </c>
      <c r="O29" s="134">
        <f t="shared" si="152"/>
        <v>0</v>
      </c>
      <c r="P29" s="134">
        <f t="shared" si="152"/>
        <v>0</v>
      </c>
      <c r="Q29" s="134">
        <f>'бюджет округа (района)'!J29+'бюджеты поселений'!J29</f>
        <v>0</v>
      </c>
      <c r="R29" s="137">
        <f>'бюджет округа (района)'!J29</f>
        <v>0</v>
      </c>
      <c r="S29" s="134">
        <f t="shared" si="153"/>
        <v>0</v>
      </c>
      <c r="T29" s="134">
        <f t="shared" si="153"/>
        <v>0</v>
      </c>
      <c r="U29" s="134">
        <f>'бюджет округа (района)'!L29+'бюджеты поселений'!L29</f>
        <v>0</v>
      </c>
      <c r="V29" s="137">
        <f>'бюджет округа (района)'!L29</f>
        <v>0</v>
      </c>
      <c r="W29" s="134">
        <f t="shared" si="154"/>
        <v>0</v>
      </c>
      <c r="X29" s="134">
        <f t="shared" si="154"/>
        <v>0</v>
      </c>
      <c r="Y29" s="134">
        <f>'бюджет округа (района)'!N29+'бюджеты поселений'!N29</f>
        <v>0</v>
      </c>
      <c r="Z29" s="137">
        <f>'бюджет округа (района)'!N29</f>
        <v>0</v>
      </c>
      <c r="AA29" s="134">
        <f t="shared" si="155"/>
        <v>0</v>
      </c>
      <c r="AB29" s="134">
        <f t="shared" si="155"/>
        <v>0</v>
      </c>
      <c r="AC29" s="134">
        <f>'бюджет округа (района)'!P29+'бюджеты поселений'!P29</f>
        <v>0</v>
      </c>
      <c r="AD29" s="137">
        <f>'бюджет округа (района)'!P29</f>
        <v>0</v>
      </c>
      <c r="AE29" s="134">
        <f t="shared" si="156"/>
        <v>0</v>
      </c>
      <c r="AF29" s="134">
        <f t="shared" si="156"/>
        <v>0</v>
      </c>
      <c r="AG29" s="134">
        <f>'бюджет округа (района)'!R29+'бюджеты поселений'!R29</f>
        <v>0</v>
      </c>
      <c r="AH29" s="137">
        <f>'бюджет округа (района)'!R29</f>
        <v>0</v>
      </c>
      <c r="AI29" s="134">
        <f t="shared" si="185"/>
        <v>0</v>
      </c>
      <c r="AJ29" s="134">
        <f t="shared" si="185"/>
        <v>0</v>
      </c>
      <c r="AK29" s="134">
        <f>'бюджет округа (района)'!T29+'бюджеты поселений'!T29</f>
        <v>0</v>
      </c>
      <c r="AL29" s="137">
        <f>'бюджет округа (района)'!T29</f>
        <v>0</v>
      </c>
      <c r="AM29" s="134">
        <f t="shared" si="186"/>
        <v>0</v>
      </c>
      <c r="AN29" s="134">
        <f t="shared" si="186"/>
        <v>0</v>
      </c>
      <c r="AO29" s="134">
        <f>'бюджет округа (района)'!V29+'бюджеты поселений'!V29</f>
        <v>0</v>
      </c>
      <c r="AP29" s="137">
        <f>'бюджет округа (района)'!V29</f>
        <v>0</v>
      </c>
      <c r="AQ29" s="134">
        <f t="shared" si="187"/>
        <v>0</v>
      </c>
      <c r="AR29" s="134">
        <f t="shared" si="187"/>
        <v>0</v>
      </c>
      <c r="AS29" s="134">
        <f>'бюджет округа (района)'!X29+'бюджеты поселений'!X29</f>
        <v>0</v>
      </c>
      <c r="AT29" s="137">
        <f>'бюджет округа (района)'!X29</f>
        <v>0</v>
      </c>
      <c r="AU29" s="134">
        <f t="shared" si="188"/>
        <v>0</v>
      </c>
      <c r="AV29" s="134">
        <f t="shared" si="188"/>
        <v>0</v>
      </c>
      <c r="AW29" s="134">
        <f>'бюджет округа (района)'!Z29+'бюджеты поселений'!Z29</f>
        <v>0</v>
      </c>
      <c r="AX29" s="137">
        <f>'бюджет округа (района)'!Z29</f>
        <v>0</v>
      </c>
      <c r="AY29" s="134">
        <f>'бюджет округа (района)'!AA29+'бюджеты поселений'!AA29</f>
        <v>0</v>
      </c>
      <c r="AZ29" s="137">
        <f>'бюджет округа (района)'!AA29</f>
        <v>0</v>
      </c>
      <c r="BA29" s="135">
        <f t="shared" si="173"/>
        <v>1</v>
      </c>
      <c r="BB29" s="135">
        <f t="shared" si="173"/>
        <v>1</v>
      </c>
      <c r="BC29" s="134">
        <f>'бюджет округа (района)'!AC29+'бюджеты поселений'!AC29</f>
        <v>0</v>
      </c>
      <c r="BD29" s="137">
        <f>'бюджет округа (района)'!AC29</f>
        <v>0</v>
      </c>
      <c r="BE29" s="134">
        <f>'бюджет округа (района)'!AD29+'бюджеты поселений'!AD29</f>
        <v>0</v>
      </c>
      <c r="BF29" s="137">
        <f>'бюджет округа (района)'!AD29</f>
        <v>0</v>
      </c>
      <c r="BG29" s="134">
        <f t="shared" si="189"/>
        <v>0</v>
      </c>
      <c r="BH29" s="134">
        <f t="shared" si="189"/>
        <v>0</v>
      </c>
      <c r="BI29" s="135">
        <f t="shared" si="36"/>
        <v>1</v>
      </c>
      <c r="BJ29" s="135">
        <f t="shared" si="36"/>
        <v>1</v>
      </c>
      <c r="BK29" s="134">
        <f>'бюджет округа (района)'!AG29+'бюджеты поселений'!AG29</f>
        <v>0</v>
      </c>
      <c r="BL29" s="137">
        <f>'бюджет округа (района)'!AG29</f>
        <v>0</v>
      </c>
      <c r="BM29" s="134">
        <f t="shared" si="190"/>
        <v>0</v>
      </c>
      <c r="BN29" s="134">
        <f t="shared" si="190"/>
        <v>0</v>
      </c>
      <c r="BO29" s="135">
        <f t="shared" si="38"/>
        <v>1</v>
      </c>
      <c r="BP29" s="135">
        <f t="shared" si="38"/>
        <v>1</v>
      </c>
      <c r="BQ29" s="134">
        <f>'бюджет округа (района)'!AJ29+'бюджеты поселений'!AJ29</f>
        <v>0</v>
      </c>
      <c r="BR29" s="137">
        <f>'бюджет округа (района)'!AJ29</f>
        <v>0</v>
      </c>
      <c r="BS29" s="134">
        <f t="shared" si="191"/>
        <v>0</v>
      </c>
      <c r="BT29" s="134">
        <f t="shared" si="191"/>
        <v>0</v>
      </c>
      <c r="BU29" s="135">
        <f t="shared" si="40"/>
        <v>1</v>
      </c>
      <c r="BV29" s="135">
        <f t="shared" si="40"/>
        <v>1</v>
      </c>
      <c r="BW29" s="134">
        <f>'бюджет округа (района)'!AM29+'бюджеты поселений'!AM29</f>
        <v>0</v>
      </c>
      <c r="BX29" s="137">
        <f>'бюджет округа (района)'!AM29</f>
        <v>0</v>
      </c>
      <c r="BY29" s="134">
        <f t="shared" si="192"/>
        <v>0</v>
      </c>
      <c r="BZ29" s="134">
        <f t="shared" si="192"/>
        <v>0</v>
      </c>
      <c r="CA29" s="135">
        <f t="shared" si="42"/>
        <v>1</v>
      </c>
      <c r="CB29" s="135">
        <f t="shared" si="42"/>
        <v>1</v>
      </c>
      <c r="CC29" s="134">
        <f>'бюджет округа (района)'!AP29+'бюджеты поселений'!AP29</f>
        <v>0</v>
      </c>
      <c r="CD29" s="137">
        <f>'бюджет округа (района)'!AP29</f>
        <v>0</v>
      </c>
      <c r="CE29" s="134">
        <f t="shared" si="193"/>
        <v>0</v>
      </c>
      <c r="CF29" s="134">
        <f t="shared" si="193"/>
        <v>0</v>
      </c>
      <c r="CG29" s="135">
        <f t="shared" si="44"/>
        <v>1</v>
      </c>
      <c r="CH29" s="135">
        <f t="shared" si="44"/>
        <v>1</v>
      </c>
      <c r="CI29" s="134">
        <f>'бюджет округа (района)'!AS29+'бюджеты поселений'!AS29</f>
        <v>0</v>
      </c>
      <c r="CJ29" s="137">
        <f>'бюджет округа (района)'!AS29</f>
        <v>0</v>
      </c>
      <c r="CK29" s="134">
        <f t="shared" si="194"/>
        <v>0</v>
      </c>
      <c r="CL29" s="134">
        <f t="shared" si="194"/>
        <v>0</v>
      </c>
      <c r="CM29" s="135">
        <f t="shared" si="46"/>
        <v>1</v>
      </c>
      <c r="CN29" s="135">
        <f t="shared" si="46"/>
        <v>1</v>
      </c>
      <c r="CO29" s="134">
        <f>'бюджет округа (района)'!AV29+'бюджеты поселений'!AV29</f>
        <v>0</v>
      </c>
      <c r="CP29" s="137">
        <f>'бюджет округа (района)'!AV29</f>
        <v>0</v>
      </c>
      <c r="CQ29" s="134">
        <f t="shared" si="195"/>
        <v>0</v>
      </c>
      <c r="CR29" s="134">
        <f t="shared" si="195"/>
        <v>0</v>
      </c>
      <c r="CS29" s="135">
        <f t="shared" si="48"/>
        <v>1</v>
      </c>
      <c r="CT29" s="135">
        <f t="shared" si="48"/>
        <v>1</v>
      </c>
      <c r="CU29" s="134">
        <f>'бюджет округа (района)'!AY29+'бюджеты поселений'!AY29</f>
        <v>0</v>
      </c>
      <c r="CV29" s="137">
        <f>'бюджет округа (района)'!AY29</f>
        <v>0</v>
      </c>
      <c r="CW29" s="134">
        <f t="shared" si="196"/>
        <v>0</v>
      </c>
      <c r="CX29" s="134">
        <f t="shared" si="196"/>
        <v>0</v>
      </c>
      <c r="CY29" s="135">
        <f t="shared" si="50"/>
        <v>1</v>
      </c>
      <c r="CZ29" s="135">
        <f t="shared" si="50"/>
        <v>1</v>
      </c>
      <c r="DA29" s="134">
        <f>'бюджет округа (района)'!BB29+'бюджеты поселений'!BB29</f>
        <v>0</v>
      </c>
      <c r="DB29" s="137">
        <f>'бюджет округа (района)'!BB29</f>
        <v>0</v>
      </c>
      <c r="DC29" s="134">
        <f t="shared" si="197"/>
        <v>0</v>
      </c>
      <c r="DD29" s="134">
        <f t="shared" si="197"/>
        <v>0</v>
      </c>
      <c r="DE29" s="135">
        <f t="shared" si="52"/>
        <v>1</v>
      </c>
      <c r="DF29" s="135">
        <f t="shared" si="52"/>
        <v>1</v>
      </c>
      <c r="DG29" s="134">
        <f>'бюджет округа (района)'!BE29+'бюджеты поселений'!BE29</f>
        <v>0</v>
      </c>
      <c r="DH29" s="137">
        <f>'бюджет округа (района)'!BE29</f>
        <v>0</v>
      </c>
      <c r="DI29" s="134">
        <f t="shared" si="198"/>
        <v>0</v>
      </c>
      <c r="DJ29" s="134">
        <f t="shared" si="198"/>
        <v>0</v>
      </c>
      <c r="DK29" s="135">
        <f t="shared" si="54"/>
        <v>1</v>
      </c>
      <c r="DL29" s="135">
        <f t="shared" si="54"/>
        <v>1</v>
      </c>
      <c r="DM29" s="134">
        <f>'бюджет округа (района)'!BH29+'бюджеты поселений'!BH29</f>
        <v>0</v>
      </c>
      <c r="DN29" s="137">
        <f>'бюджет округа (района)'!BH29</f>
        <v>0</v>
      </c>
      <c r="DO29" s="134">
        <f>'бюджет округа (района)'!BI29+'бюджеты поселений'!BI29</f>
        <v>0</v>
      </c>
      <c r="DP29" s="137">
        <f>'бюджет округа (района)'!BI29</f>
        <v>0</v>
      </c>
      <c r="DQ29" s="134">
        <f>'бюджет округа (района)'!BJ29+'бюджеты поселений'!BJ29</f>
        <v>0</v>
      </c>
      <c r="DR29" s="137">
        <f>'бюджет округа (района)'!BJ29</f>
        <v>0</v>
      </c>
      <c r="DS29" s="135">
        <f>IF($AY$29=0,1,DQ29/$AY$29-1)</f>
        <v>1</v>
      </c>
      <c r="DT29" s="135">
        <f>IF($AZ$29=0,1,DR29/$AZ$29-1)</f>
        <v>1</v>
      </c>
      <c r="DU29" s="135">
        <f t="shared" si="58"/>
        <v>1</v>
      </c>
      <c r="DV29" s="135">
        <f t="shared" si="59"/>
        <v>1</v>
      </c>
      <c r="DW29" s="167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</row>
    <row r="30" spans="1:268" s="64" customFormat="1" ht="18" customHeight="1">
      <c r="A30" s="298" t="s">
        <v>91</v>
      </c>
      <c r="B30" s="299"/>
      <c r="C30" s="134">
        <f>'бюджет округа (района)'!C30+'бюджеты поселений'!C30</f>
        <v>0</v>
      </c>
      <c r="D30" s="137">
        <f>'бюджет округа (района)'!C30</f>
        <v>0</v>
      </c>
      <c r="E30" s="134">
        <f t="shared" si="150"/>
        <v>0</v>
      </c>
      <c r="F30" s="137">
        <f t="shared" si="150"/>
        <v>0</v>
      </c>
      <c r="G30" s="134">
        <f>'бюджет округа (района)'!E30+'бюджеты поселений'!E30</f>
        <v>0</v>
      </c>
      <c r="H30" s="137">
        <f>'бюджет округа (района)'!E30</f>
        <v>0</v>
      </c>
      <c r="I30" s="134">
        <f>'бюджет округа (района)'!F30+'бюджеты поселений'!F30</f>
        <v>0</v>
      </c>
      <c r="J30" s="137">
        <f>'бюджет округа (района)'!F30</f>
        <v>0</v>
      </c>
      <c r="K30" s="134">
        <f t="shared" si="151"/>
        <v>0</v>
      </c>
      <c r="L30" s="134">
        <f t="shared" si="151"/>
        <v>0</v>
      </c>
      <c r="M30" s="134">
        <f>'бюджет округа (района)'!H30+'бюджеты поселений'!H30</f>
        <v>0</v>
      </c>
      <c r="N30" s="137">
        <f>'бюджет округа (района)'!H30</f>
        <v>0</v>
      </c>
      <c r="O30" s="134">
        <f t="shared" si="152"/>
        <v>0</v>
      </c>
      <c r="P30" s="134">
        <f t="shared" si="152"/>
        <v>0</v>
      </c>
      <c r="Q30" s="134">
        <f>'бюджет округа (района)'!J30+'бюджеты поселений'!J30</f>
        <v>0</v>
      </c>
      <c r="R30" s="137">
        <f>'бюджет округа (района)'!J30</f>
        <v>0</v>
      </c>
      <c r="S30" s="134">
        <f t="shared" si="153"/>
        <v>0</v>
      </c>
      <c r="T30" s="134">
        <f t="shared" si="153"/>
        <v>0</v>
      </c>
      <c r="U30" s="134">
        <f>'бюджет округа (района)'!L30+'бюджеты поселений'!L30</f>
        <v>0</v>
      </c>
      <c r="V30" s="137">
        <f>'бюджет округа (района)'!L30</f>
        <v>0</v>
      </c>
      <c r="W30" s="134">
        <f t="shared" si="154"/>
        <v>0</v>
      </c>
      <c r="X30" s="134">
        <f t="shared" si="154"/>
        <v>0</v>
      </c>
      <c r="Y30" s="134">
        <f>'бюджет округа (района)'!N30+'бюджеты поселений'!N30</f>
        <v>0</v>
      </c>
      <c r="Z30" s="137">
        <f>'бюджет округа (района)'!N30</f>
        <v>0</v>
      </c>
      <c r="AA30" s="134">
        <f t="shared" si="155"/>
        <v>0</v>
      </c>
      <c r="AB30" s="134">
        <f t="shared" si="155"/>
        <v>0</v>
      </c>
      <c r="AC30" s="134">
        <f>'бюджет округа (района)'!P30+'бюджеты поселений'!P30</f>
        <v>0</v>
      </c>
      <c r="AD30" s="137">
        <f>'бюджет округа (района)'!P30</f>
        <v>0</v>
      </c>
      <c r="AE30" s="134">
        <f t="shared" si="156"/>
        <v>0</v>
      </c>
      <c r="AF30" s="134">
        <f t="shared" si="156"/>
        <v>0</v>
      </c>
      <c r="AG30" s="134">
        <f>'бюджет округа (района)'!R30+'бюджеты поселений'!R30</f>
        <v>0</v>
      </c>
      <c r="AH30" s="137">
        <f>'бюджет округа (района)'!R30</f>
        <v>0</v>
      </c>
      <c r="AI30" s="134">
        <f t="shared" si="185"/>
        <v>0</v>
      </c>
      <c r="AJ30" s="134">
        <f t="shared" si="185"/>
        <v>0</v>
      </c>
      <c r="AK30" s="134">
        <f>'бюджет округа (района)'!T30+'бюджеты поселений'!T30</f>
        <v>0</v>
      </c>
      <c r="AL30" s="137">
        <f>'бюджет округа (района)'!T30</f>
        <v>0</v>
      </c>
      <c r="AM30" s="134">
        <f t="shared" si="186"/>
        <v>0</v>
      </c>
      <c r="AN30" s="134">
        <f t="shared" si="186"/>
        <v>0</v>
      </c>
      <c r="AO30" s="134">
        <f>'бюджет округа (района)'!V30+'бюджеты поселений'!V30</f>
        <v>0</v>
      </c>
      <c r="AP30" s="137">
        <f>'бюджет округа (района)'!V30</f>
        <v>0</v>
      </c>
      <c r="AQ30" s="134">
        <f t="shared" si="187"/>
        <v>0</v>
      </c>
      <c r="AR30" s="134">
        <f t="shared" si="187"/>
        <v>0</v>
      </c>
      <c r="AS30" s="134">
        <f>'бюджет округа (района)'!X30+'бюджеты поселений'!X30</f>
        <v>0</v>
      </c>
      <c r="AT30" s="137">
        <f>'бюджет округа (района)'!X30</f>
        <v>0</v>
      </c>
      <c r="AU30" s="134">
        <f t="shared" si="188"/>
        <v>0</v>
      </c>
      <c r="AV30" s="134">
        <f t="shared" si="188"/>
        <v>0</v>
      </c>
      <c r="AW30" s="134">
        <f>'бюджет округа (района)'!Z30+'бюджеты поселений'!Z30</f>
        <v>0</v>
      </c>
      <c r="AX30" s="137">
        <f>'бюджет округа (района)'!Z30</f>
        <v>0</v>
      </c>
      <c r="AY30" s="134">
        <f>'бюджет округа (района)'!AA30+'бюджеты поселений'!AA30</f>
        <v>0</v>
      </c>
      <c r="AZ30" s="137">
        <f>'бюджет округа (района)'!AA30</f>
        <v>0</v>
      </c>
      <c r="BA30" s="135">
        <f t="shared" si="173"/>
        <v>1</v>
      </c>
      <c r="BB30" s="135">
        <f t="shared" si="173"/>
        <v>1</v>
      </c>
      <c r="BC30" s="134">
        <f>'бюджет округа (района)'!AC30+'бюджеты поселений'!AC30</f>
        <v>0</v>
      </c>
      <c r="BD30" s="137">
        <f>'бюджет округа (района)'!AC30</f>
        <v>0</v>
      </c>
      <c r="BE30" s="134">
        <f>'бюджет округа (района)'!AD30+'бюджеты поселений'!AD30</f>
        <v>0</v>
      </c>
      <c r="BF30" s="137">
        <f>'бюджет округа (района)'!AD30</f>
        <v>0</v>
      </c>
      <c r="BG30" s="134">
        <f t="shared" si="189"/>
        <v>0</v>
      </c>
      <c r="BH30" s="134">
        <f t="shared" si="189"/>
        <v>0</v>
      </c>
      <c r="BI30" s="135">
        <f t="shared" si="36"/>
        <v>1</v>
      </c>
      <c r="BJ30" s="135">
        <f t="shared" si="36"/>
        <v>1</v>
      </c>
      <c r="BK30" s="134">
        <f>'бюджет округа (района)'!AG30+'бюджеты поселений'!AG30</f>
        <v>0</v>
      </c>
      <c r="BL30" s="137">
        <f>'бюджет округа (района)'!AG30</f>
        <v>0</v>
      </c>
      <c r="BM30" s="134">
        <f t="shared" si="190"/>
        <v>0</v>
      </c>
      <c r="BN30" s="134">
        <f t="shared" si="190"/>
        <v>0</v>
      </c>
      <c r="BO30" s="135">
        <f t="shared" si="38"/>
        <v>1</v>
      </c>
      <c r="BP30" s="135">
        <f t="shared" si="38"/>
        <v>1</v>
      </c>
      <c r="BQ30" s="134">
        <f>'бюджет округа (района)'!AJ30+'бюджеты поселений'!AJ30</f>
        <v>0</v>
      </c>
      <c r="BR30" s="137">
        <f>'бюджет округа (района)'!AJ30</f>
        <v>0</v>
      </c>
      <c r="BS30" s="134">
        <f t="shared" si="191"/>
        <v>0</v>
      </c>
      <c r="BT30" s="134">
        <f t="shared" si="191"/>
        <v>0</v>
      </c>
      <c r="BU30" s="135">
        <f t="shared" si="40"/>
        <v>1</v>
      </c>
      <c r="BV30" s="135">
        <f t="shared" si="40"/>
        <v>1</v>
      </c>
      <c r="BW30" s="134">
        <f>'бюджет округа (района)'!AM30+'бюджеты поселений'!AM30</f>
        <v>0</v>
      </c>
      <c r="BX30" s="137">
        <f>'бюджет округа (района)'!AM30</f>
        <v>0</v>
      </c>
      <c r="BY30" s="134">
        <f t="shared" si="192"/>
        <v>0</v>
      </c>
      <c r="BZ30" s="134">
        <f t="shared" si="192"/>
        <v>0</v>
      </c>
      <c r="CA30" s="135">
        <f t="shared" si="42"/>
        <v>1</v>
      </c>
      <c r="CB30" s="135">
        <f t="shared" si="42"/>
        <v>1</v>
      </c>
      <c r="CC30" s="134">
        <f>'бюджет округа (района)'!AP30+'бюджеты поселений'!AP30</f>
        <v>0</v>
      </c>
      <c r="CD30" s="137">
        <f>'бюджет округа (района)'!AP30</f>
        <v>0</v>
      </c>
      <c r="CE30" s="134">
        <f t="shared" si="193"/>
        <v>0</v>
      </c>
      <c r="CF30" s="134">
        <f t="shared" si="193"/>
        <v>0</v>
      </c>
      <c r="CG30" s="135">
        <f t="shared" si="44"/>
        <v>1</v>
      </c>
      <c r="CH30" s="135">
        <f t="shared" si="44"/>
        <v>1</v>
      </c>
      <c r="CI30" s="134">
        <f>'бюджет округа (района)'!AS30+'бюджеты поселений'!AS30</f>
        <v>0</v>
      </c>
      <c r="CJ30" s="137">
        <f>'бюджет округа (района)'!AS30</f>
        <v>0</v>
      </c>
      <c r="CK30" s="134">
        <f t="shared" si="194"/>
        <v>0</v>
      </c>
      <c r="CL30" s="134">
        <f t="shared" si="194"/>
        <v>0</v>
      </c>
      <c r="CM30" s="135">
        <f t="shared" si="46"/>
        <v>1</v>
      </c>
      <c r="CN30" s="135">
        <f t="shared" si="46"/>
        <v>1</v>
      </c>
      <c r="CO30" s="134">
        <f>'бюджет округа (района)'!AV30+'бюджеты поселений'!AV30</f>
        <v>0</v>
      </c>
      <c r="CP30" s="137">
        <f>'бюджет округа (района)'!AV30</f>
        <v>0</v>
      </c>
      <c r="CQ30" s="134">
        <f t="shared" si="195"/>
        <v>0</v>
      </c>
      <c r="CR30" s="134">
        <f t="shared" si="195"/>
        <v>0</v>
      </c>
      <c r="CS30" s="135">
        <f t="shared" si="48"/>
        <v>1</v>
      </c>
      <c r="CT30" s="135">
        <f t="shared" si="48"/>
        <v>1</v>
      </c>
      <c r="CU30" s="134">
        <f>'бюджет округа (района)'!AY30+'бюджеты поселений'!AY30</f>
        <v>0</v>
      </c>
      <c r="CV30" s="137">
        <f>'бюджет округа (района)'!AY30</f>
        <v>0</v>
      </c>
      <c r="CW30" s="134">
        <f t="shared" si="196"/>
        <v>0</v>
      </c>
      <c r="CX30" s="134">
        <f t="shared" si="196"/>
        <v>0</v>
      </c>
      <c r="CY30" s="135">
        <f t="shared" si="50"/>
        <v>1</v>
      </c>
      <c r="CZ30" s="135">
        <f t="shared" si="50"/>
        <v>1</v>
      </c>
      <c r="DA30" s="134">
        <f>'бюджет округа (района)'!BB30+'бюджеты поселений'!BB30</f>
        <v>0</v>
      </c>
      <c r="DB30" s="137">
        <f>'бюджет округа (района)'!BB30</f>
        <v>0</v>
      </c>
      <c r="DC30" s="134">
        <f t="shared" si="197"/>
        <v>0</v>
      </c>
      <c r="DD30" s="134">
        <f t="shared" si="197"/>
        <v>0</v>
      </c>
      <c r="DE30" s="135">
        <f t="shared" si="52"/>
        <v>1</v>
      </c>
      <c r="DF30" s="135">
        <f t="shared" si="52"/>
        <v>1</v>
      </c>
      <c r="DG30" s="134">
        <f>'бюджет округа (района)'!BE30+'бюджеты поселений'!BE30</f>
        <v>0</v>
      </c>
      <c r="DH30" s="137">
        <f>'бюджет округа (района)'!BE30</f>
        <v>0</v>
      </c>
      <c r="DI30" s="134">
        <f t="shared" si="198"/>
        <v>0</v>
      </c>
      <c r="DJ30" s="134">
        <f t="shared" si="198"/>
        <v>0</v>
      </c>
      <c r="DK30" s="135">
        <f t="shared" si="54"/>
        <v>1</v>
      </c>
      <c r="DL30" s="135">
        <f t="shared" si="54"/>
        <v>1</v>
      </c>
      <c r="DM30" s="134">
        <f>'бюджет округа (района)'!BH30+'бюджеты поселений'!BH30</f>
        <v>0</v>
      </c>
      <c r="DN30" s="137">
        <f>'бюджет округа (района)'!BH30</f>
        <v>0</v>
      </c>
      <c r="DO30" s="134">
        <f>'бюджет округа (района)'!BI30+'бюджеты поселений'!BI30</f>
        <v>0</v>
      </c>
      <c r="DP30" s="137">
        <f>'бюджет округа (района)'!BI30</f>
        <v>0</v>
      </c>
      <c r="DQ30" s="134">
        <f>'бюджет округа (района)'!BJ30+'бюджеты поселений'!BJ30</f>
        <v>0</v>
      </c>
      <c r="DR30" s="137">
        <f>'бюджет округа (района)'!BJ30</f>
        <v>0</v>
      </c>
      <c r="DS30" s="135">
        <f>IF($AY$30=0,1,DQ30/$AY$30-1)</f>
        <v>1</v>
      </c>
      <c r="DT30" s="135">
        <f>IF($AZ$30=0,1,DR30/$AZ$30-1)</f>
        <v>1</v>
      </c>
      <c r="DU30" s="135">
        <f t="shared" si="58"/>
        <v>1</v>
      </c>
      <c r="DV30" s="135">
        <f t="shared" si="59"/>
        <v>1</v>
      </c>
      <c r="DW30" s="167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</row>
    <row r="31" spans="1:268" s="64" customFormat="1" ht="18" customHeight="1">
      <c r="A31" s="298" t="s">
        <v>46</v>
      </c>
      <c r="B31" s="299"/>
      <c r="C31" s="134">
        <f>'бюджет округа (района)'!C31+'бюджеты поселений'!C31</f>
        <v>0</v>
      </c>
      <c r="D31" s="137">
        <f>'бюджет округа (района)'!C31</f>
        <v>0</v>
      </c>
      <c r="E31" s="134">
        <f t="shared" si="150"/>
        <v>0</v>
      </c>
      <c r="F31" s="137">
        <f t="shared" si="150"/>
        <v>0</v>
      </c>
      <c r="G31" s="134">
        <f>'бюджет округа (района)'!E31+'бюджеты поселений'!E31</f>
        <v>0</v>
      </c>
      <c r="H31" s="137">
        <f>'бюджет округа (района)'!E31</f>
        <v>0</v>
      </c>
      <c r="I31" s="134">
        <f>'бюджет округа (района)'!F31+'бюджеты поселений'!F31</f>
        <v>0</v>
      </c>
      <c r="J31" s="137">
        <f>'бюджет округа (района)'!F31</f>
        <v>0</v>
      </c>
      <c r="K31" s="134">
        <f t="shared" si="151"/>
        <v>0</v>
      </c>
      <c r="L31" s="134">
        <f t="shared" si="151"/>
        <v>0</v>
      </c>
      <c r="M31" s="134">
        <f>'бюджет округа (района)'!H31+'бюджеты поселений'!H31</f>
        <v>0</v>
      </c>
      <c r="N31" s="137">
        <f>'бюджет округа (района)'!H31</f>
        <v>0</v>
      </c>
      <c r="O31" s="134">
        <f t="shared" si="152"/>
        <v>0</v>
      </c>
      <c r="P31" s="134">
        <f t="shared" si="152"/>
        <v>0</v>
      </c>
      <c r="Q31" s="134">
        <f>'бюджет округа (района)'!J31+'бюджеты поселений'!J31</f>
        <v>0</v>
      </c>
      <c r="R31" s="137">
        <f>'бюджет округа (района)'!J31</f>
        <v>0</v>
      </c>
      <c r="S31" s="134">
        <f t="shared" si="153"/>
        <v>0</v>
      </c>
      <c r="T31" s="134">
        <f t="shared" si="153"/>
        <v>0</v>
      </c>
      <c r="U31" s="134">
        <f>'бюджет округа (района)'!L31+'бюджеты поселений'!L31</f>
        <v>0</v>
      </c>
      <c r="V31" s="137">
        <f>'бюджет округа (района)'!L31</f>
        <v>0</v>
      </c>
      <c r="W31" s="134">
        <f t="shared" si="154"/>
        <v>0</v>
      </c>
      <c r="X31" s="134">
        <f t="shared" si="154"/>
        <v>0</v>
      </c>
      <c r="Y31" s="134">
        <f>'бюджет округа (района)'!N31+'бюджеты поселений'!N31</f>
        <v>0</v>
      </c>
      <c r="Z31" s="137">
        <f>'бюджет округа (района)'!N31</f>
        <v>0</v>
      </c>
      <c r="AA31" s="134">
        <f t="shared" si="155"/>
        <v>0</v>
      </c>
      <c r="AB31" s="134">
        <f t="shared" si="155"/>
        <v>0</v>
      </c>
      <c r="AC31" s="134">
        <f>'бюджет округа (района)'!P31+'бюджеты поселений'!P31</f>
        <v>0</v>
      </c>
      <c r="AD31" s="137">
        <f>'бюджет округа (района)'!P31</f>
        <v>0</v>
      </c>
      <c r="AE31" s="134">
        <f t="shared" si="156"/>
        <v>0</v>
      </c>
      <c r="AF31" s="134">
        <f t="shared" si="156"/>
        <v>0</v>
      </c>
      <c r="AG31" s="134">
        <f>'бюджет округа (района)'!R31+'бюджеты поселений'!R31</f>
        <v>0</v>
      </c>
      <c r="AH31" s="137">
        <f>'бюджет округа (района)'!R31</f>
        <v>0</v>
      </c>
      <c r="AI31" s="134">
        <f t="shared" si="185"/>
        <v>0</v>
      </c>
      <c r="AJ31" s="134">
        <f t="shared" si="185"/>
        <v>0</v>
      </c>
      <c r="AK31" s="134">
        <f>'бюджет округа (района)'!T31+'бюджеты поселений'!T31</f>
        <v>0</v>
      </c>
      <c r="AL31" s="137">
        <f>'бюджет округа (района)'!T31</f>
        <v>0</v>
      </c>
      <c r="AM31" s="134">
        <f t="shared" si="186"/>
        <v>0</v>
      </c>
      <c r="AN31" s="134">
        <f t="shared" si="186"/>
        <v>0</v>
      </c>
      <c r="AO31" s="134">
        <f>'бюджет округа (района)'!V31+'бюджеты поселений'!V31</f>
        <v>0</v>
      </c>
      <c r="AP31" s="137">
        <f>'бюджет округа (района)'!V31</f>
        <v>0</v>
      </c>
      <c r="AQ31" s="134">
        <f t="shared" si="187"/>
        <v>0</v>
      </c>
      <c r="AR31" s="134">
        <f t="shared" si="187"/>
        <v>0</v>
      </c>
      <c r="AS31" s="134">
        <f>'бюджет округа (района)'!X31+'бюджеты поселений'!X31</f>
        <v>0</v>
      </c>
      <c r="AT31" s="137">
        <f>'бюджет округа (района)'!X31</f>
        <v>0</v>
      </c>
      <c r="AU31" s="134">
        <f t="shared" si="188"/>
        <v>0</v>
      </c>
      <c r="AV31" s="134">
        <f t="shared" si="188"/>
        <v>0</v>
      </c>
      <c r="AW31" s="134">
        <f>'бюджет округа (района)'!Z31+'бюджеты поселений'!Z31</f>
        <v>0</v>
      </c>
      <c r="AX31" s="137">
        <f>'бюджет округа (района)'!Z31</f>
        <v>0</v>
      </c>
      <c r="AY31" s="134">
        <f>'бюджет округа (района)'!AA31+'бюджеты поселений'!AA31</f>
        <v>0</v>
      </c>
      <c r="AZ31" s="137">
        <f>'бюджет округа (района)'!AA31</f>
        <v>0</v>
      </c>
      <c r="BA31" s="135">
        <f t="shared" si="173"/>
        <v>1</v>
      </c>
      <c r="BB31" s="135">
        <f t="shared" si="173"/>
        <v>1</v>
      </c>
      <c r="BC31" s="134">
        <f>'бюджет округа (района)'!AC31+'бюджеты поселений'!AC31</f>
        <v>0</v>
      </c>
      <c r="BD31" s="137">
        <f>'бюджет округа (района)'!AC31</f>
        <v>0</v>
      </c>
      <c r="BE31" s="134">
        <f>'бюджет округа (района)'!AD31+'бюджеты поселений'!AD31</f>
        <v>0</v>
      </c>
      <c r="BF31" s="137">
        <f>'бюджет округа (района)'!AD31</f>
        <v>0</v>
      </c>
      <c r="BG31" s="134">
        <f t="shared" si="189"/>
        <v>0</v>
      </c>
      <c r="BH31" s="134">
        <f t="shared" si="189"/>
        <v>0</v>
      </c>
      <c r="BI31" s="135">
        <f t="shared" si="36"/>
        <v>1</v>
      </c>
      <c r="BJ31" s="135">
        <f t="shared" si="36"/>
        <v>1</v>
      </c>
      <c r="BK31" s="134">
        <f>'бюджет округа (района)'!AG31+'бюджеты поселений'!AG31</f>
        <v>0</v>
      </c>
      <c r="BL31" s="137">
        <f>'бюджет округа (района)'!AG31</f>
        <v>0</v>
      </c>
      <c r="BM31" s="134">
        <f t="shared" si="190"/>
        <v>0</v>
      </c>
      <c r="BN31" s="134">
        <f t="shared" si="190"/>
        <v>0</v>
      </c>
      <c r="BO31" s="135">
        <f t="shared" si="38"/>
        <v>1</v>
      </c>
      <c r="BP31" s="135">
        <f t="shared" si="38"/>
        <v>1</v>
      </c>
      <c r="BQ31" s="134">
        <f>'бюджет округа (района)'!AJ31+'бюджеты поселений'!AJ31</f>
        <v>0</v>
      </c>
      <c r="BR31" s="137">
        <f>'бюджет округа (района)'!AJ31</f>
        <v>0</v>
      </c>
      <c r="BS31" s="134">
        <f t="shared" si="191"/>
        <v>0</v>
      </c>
      <c r="BT31" s="134">
        <f t="shared" si="191"/>
        <v>0</v>
      </c>
      <c r="BU31" s="135">
        <f t="shared" si="40"/>
        <v>1</v>
      </c>
      <c r="BV31" s="135">
        <f t="shared" si="40"/>
        <v>1</v>
      </c>
      <c r="BW31" s="134">
        <f>'бюджет округа (района)'!AM31+'бюджеты поселений'!AM31</f>
        <v>0</v>
      </c>
      <c r="BX31" s="137">
        <f>'бюджет округа (района)'!AM31</f>
        <v>0</v>
      </c>
      <c r="BY31" s="134">
        <f t="shared" si="192"/>
        <v>0</v>
      </c>
      <c r="BZ31" s="134">
        <f t="shared" si="192"/>
        <v>0</v>
      </c>
      <c r="CA31" s="135">
        <f t="shared" si="42"/>
        <v>1</v>
      </c>
      <c r="CB31" s="135">
        <f t="shared" si="42"/>
        <v>1</v>
      </c>
      <c r="CC31" s="134">
        <f>'бюджет округа (района)'!AP31+'бюджеты поселений'!AP31</f>
        <v>0</v>
      </c>
      <c r="CD31" s="137">
        <f>'бюджет округа (района)'!AP31</f>
        <v>0</v>
      </c>
      <c r="CE31" s="134">
        <f t="shared" si="193"/>
        <v>0</v>
      </c>
      <c r="CF31" s="134">
        <f t="shared" si="193"/>
        <v>0</v>
      </c>
      <c r="CG31" s="135">
        <f t="shared" si="44"/>
        <v>1</v>
      </c>
      <c r="CH31" s="135">
        <f t="shared" si="44"/>
        <v>1</v>
      </c>
      <c r="CI31" s="134">
        <f>'бюджет округа (района)'!AS31+'бюджеты поселений'!AS31</f>
        <v>0</v>
      </c>
      <c r="CJ31" s="137">
        <f>'бюджет округа (района)'!AS31</f>
        <v>0</v>
      </c>
      <c r="CK31" s="134">
        <f t="shared" si="194"/>
        <v>0</v>
      </c>
      <c r="CL31" s="134">
        <f t="shared" si="194"/>
        <v>0</v>
      </c>
      <c r="CM31" s="135">
        <f t="shared" si="46"/>
        <v>1</v>
      </c>
      <c r="CN31" s="135">
        <f t="shared" si="46"/>
        <v>1</v>
      </c>
      <c r="CO31" s="134">
        <f>'бюджет округа (района)'!AV31+'бюджеты поселений'!AV31</f>
        <v>0</v>
      </c>
      <c r="CP31" s="137">
        <f>'бюджет округа (района)'!AV31</f>
        <v>0</v>
      </c>
      <c r="CQ31" s="134">
        <f t="shared" si="195"/>
        <v>0</v>
      </c>
      <c r="CR31" s="134">
        <f t="shared" si="195"/>
        <v>0</v>
      </c>
      <c r="CS31" s="135">
        <f t="shared" si="48"/>
        <v>1</v>
      </c>
      <c r="CT31" s="135">
        <f t="shared" si="48"/>
        <v>1</v>
      </c>
      <c r="CU31" s="134">
        <f>'бюджет округа (района)'!AY31+'бюджеты поселений'!AY31</f>
        <v>0</v>
      </c>
      <c r="CV31" s="137">
        <f>'бюджет округа (района)'!AY31</f>
        <v>0</v>
      </c>
      <c r="CW31" s="134">
        <f t="shared" si="196"/>
        <v>0</v>
      </c>
      <c r="CX31" s="134">
        <f t="shared" si="196"/>
        <v>0</v>
      </c>
      <c r="CY31" s="135">
        <f t="shared" si="50"/>
        <v>1</v>
      </c>
      <c r="CZ31" s="135">
        <f t="shared" si="50"/>
        <v>1</v>
      </c>
      <c r="DA31" s="134">
        <f>'бюджет округа (района)'!BB31+'бюджеты поселений'!BB31</f>
        <v>0</v>
      </c>
      <c r="DB31" s="137">
        <f>'бюджет округа (района)'!BB31</f>
        <v>0</v>
      </c>
      <c r="DC31" s="134">
        <f t="shared" si="197"/>
        <v>0</v>
      </c>
      <c r="DD31" s="134">
        <f t="shared" si="197"/>
        <v>0</v>
      </c>
      <c r="DE31" s="135">
        <f t="shared" si="52"/>
        <v>1</v>
      </c>
      <c r="DF31" s="135">
        <f t="shared" si="52"/>
        <v>1</v>
      </c>
      <c r="DG31" s="134">
        <f>'бюджет округа (района)'!BE31+'бюджеты поселений'!BE31</f>
        <v>0</v>
      </c>
      <c r="DH31" s="137">
        <f>'бюджет округа (района)'!BE31</f>
        <v>0</v>
      </c>
      <c r="DI31" s="134">
        <f t="shared" si="198"/>
        <v>0</v>
      </c>
      <c r="DJ31" s="134">
        <f t="shared" si="198"/>
        <v>0</v>
      </c>
      <c r="DK31" s="135">
        <f t="shared" si="54"/>
        <v>1</v>
      </c>
      <c r="DL31" s="135">
        <f t="shared" si="54"/>
        <v>1</v>
      </c>
      <c r="DM31" s="134">
        <f>'бюджет округа (района)'!BH31+'бюджеты поселений'!BH31</f>
        <v>0</v>
      </c>
      <c r="DN31" s="137">
        <f>'бюджет округа (района)'!BH31</f>
        <v>0</v>
      </c>
      <c r="DO31" s="134">
        <f>'бюджет округа (района)'!BI31+'бюджеты поселений'!BI31</f>
        <v>0</v>
      </c>
      <c r="DP31" s="137">
        <f>'бюджет округа (района)'!BI31</f>
        <v>0</v>
      </c>
      <c r="DQ31" s="134">
        <f>'бюджет округа (района)'!BJ31+'бюджеты поселений'!BJ31</f>
        <v>0</v>
      </c>
      <c r="DR31" s="137">
        <f>'бюджет округа (района)'!BJ31</f>
        <v>0</v>
      </c>
      <c r="DS31" s="135">
        <f>IF($AY$31=0,1,DQ31/$AY$31-1)</f>
        <v>1</v>
      </c>
      <c r="DT31" s="135">
        <f>IF($AZ$31=0,1,DR31/$AZ$31-1)</f>
        <v>1</v>
      </c>
      <c r="DU31" s="135">
        <f t="shared" si="58"/>
        <v>1</v>
      </c>
      <c r="DV31" s="135">
        <f t="shared" si="59"/>
        <v>1</v>
      </c>
      <c r="DW31" s="167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  <c r="IW31" s="63"/>
      <c r="IX31" s="63"/>
      <c r="IY31" s="63"/>
      <c r="IZ31" s="63"/>
      <c r="JA31" s="63"/>
      <c r="JB31" s="63"/>
      <c r="JC31" s="63"/>
      <c r="JD31" s="63"/>
      <c r="JE31" s="63"/>
      <c r="JF31" s="63"/>
      <c r="JG31" s="63"/>
      <c r="JH31" s="63"/>
    </row>
    <row r="32" spans="1:268" s="64" customFormat="1" ht="18" customHeight="1">
      <c r="A32" s="298" t="s">
        <v>92</v>
      </c>
      <c r="B32" s="299"/>
      <c r="C32" s="134">
        <f>'бюджет округа (района)'!C32+'бюджеты поселений'!C32</f>
        <v>0</v>
      </c>
      <c r="D32" s="137">
        <f>'бюджет округа (района)'!C32</f>
        <v>0</v>
      </c>
      <c r="E32" s="134">
        <f t="shared" si="150"/>
        <v>0</v>
      </c>
      <c r="F32" s="137">
        <f t="shared" si="150"/>
        <v>0</v>
      </c>
      <c r="G32" s="134">
        <f>'бюджет округа (района)'!E32+'бюджеты поселений'!E32</f>
        <v>0</v>
      </c>
      <c r="H32" s="137">
        <f>'бюджет округа (района)'!E32</f>
        <v>0</v>
      </c>
      <c r="I32" s="134">
        <f>'бюджет округа (района)'!F32+'бюджеты поселений'!F32</f>
        <v>0</v>
      </c>
      <c r="J32" s="137">
        <f>'бюджет округа (района)'!F32</f>
        <v>0</v>
      </c>
      <c r="K32" s="134">
        <f t="shared" si="151"/>
        <v>0</v>
      </c>
      <c r="L32" s="134">
        <f t="shared" si="151"/>
        <v>0</v>
      </c>
      <c r="M32" s="134">
        <f>'бюджет округа (района)'!H32+'бюджеты поселений'!H32</f>
        <v>0</v>
      </c>
      <c r="N32" s="137">
        <f>'бюджет округа (района)'!H32</f>
        <v>0</v>
      </c>
      <c r="O32" s="134">
        <f t="shared" si="152"/>
        <v>0</v>
      </c>
      <c r="P32" s="134">
        <f t="shared" si="152"/>
        <v>0</v>
      </c>
      <c r="Q32" s="134">
        <f>'бюджет округа (района)'!J32+'бюджеты поселений'!J32</f>
        <v>0</v>
      </c>
      <c r="R32" s="137">
        <f>'бюджет округа (района)'!J32</f>
        <v>0</v>
      </c>
      <c r="S32" s="134">
        <f t="shared" si="153"/>
        <v>0</v>
      </c>
      <c r="T32" s="134">
        <f t="shared" si="153"/>
        <v>0</v>
      </c>
      <c r="U32" s="134">
        <f>'бюджет округа (района)'!L32+'бюджеты поселений'!L32</f>
        <v>0</v>
      </c>
      <c r="V32" s="137">
        <f>'бюджет округа (района)'!L32</f>
        <v>0</v>
      </c>
      <c r="W32" s="134">
        <f t="shared" si="154"/>
        <v>0</v>
      </c>
      <c r="X32" s="134">
        <f t="shared" si="154"/>
        <v>0</v>
      </c>
      <c r="Y32" s="134">
        <f>'бюджет округа (района)'!N32+'бюджеты поселений'!N32</f>
        <v>0</v>
      </c>
      <c r="Z32" s="137">
        <f>'бюджет округа (района)'!N32</f>
        <v>0</v>
      </c>
      <c r="AA32" s="134">
        <f t="shared" si="155"/>
        <v>0</v>
      </c>
      <c r="AB32" s="134">
        <f t="shared" si="155"/>
        <v>0</v>
      </c>
      <c r="AC32" s="134">
        <f>'бюджет округа (района)'!P32+'бюджеты поселений'!P32</f>
        <v>0</v>
      </c>
      <c r="AD32" s="137">
        <f>'бюджет округа (района)'!P32</f>
        <v>0</v>
      </c>
      <c r="AE32" s="134">
        <f t="shared" si="156"/>
        <v>0</v>
      </c>
      <c r="AF32" s="134">
        <f t="shared" si="156"/>
        <v>0</v>
      </c>
      <c r="AG32" s="134">
        <f>'бюджет округа (района)'!R32+'бюджеты поселений'!R32</f>
        <v>0</v>
      </c>
      <c r="AH32" s="137">
        <f>'бюджет округа (района)'!R32</f>
        <v>0</v>
      </c>
      <c r="AI32" s="134">
        <f t="shared" si="185"/>
        <v>0</v>
      </c>
      <c r="AJ32" s="134">
        <f t="shared" si="185"/>
        <v>0</v>
      </c>
      <c r="AK32" s="134">
        <f>'бюджет округа (района)'!T32+'бюджеты поселений'!T32</f>
        <v>0</v>
      </c>
      <c r="AL32" s="137">
        <f>'бюджет округа (района)'!T32</f>
        <v>0</v>
      </c>
      <c r="AM32" s="134">
        <f t="shared" si="186"/>
        <v>0</v>
      </c>
      <c r="AN32" s="134">
        <f t="shared" si="186"/>
        <v>0</v>
      </c>
      <c r="AO32" s="134">
        <f>'бюджет округа (района)'!V32+'бюджеты поселений'!V32</f>
        <v>0</v>
      </c>
      <c r="AP32" s="137">
        <f>'бюджет округа (района)'!V32</f>
        <v>0</v>
      </c>
      <c r="AQ32" s="134">
        <f t="shared" si="187"/>
        <v>0</v>
      </c>
      <c r="AR32" s="134">
        <f t="shared" si="187"/>
        <v>0</v>
      </c>
      <c r="AS32" s="134">
        <f>'бюджет округа (района)'!X32+'бюджеты поселений'!X32</f>
        <v>0</v>
      </c>
      <c r="AT32" s="137">
        <f>'бюджет округа (района)'!X32</f>
        <v>0</v>
      </c>
      <c r="AU32" s="134">
        <f t="shared" si="188"/>
        <v>0</v>
      </c>
      <c r="AV32" s="134">
        <f t="shared" si="188"/>
        <v>0</v>
      </c>
      <c r="AW32" s="134">
        <f>'бюджет округа (района)'!Z32+'бюджеты поселений'!Z32</f>
        <v>0</v>
      </c>
      <c r="AX32" s="137">
        <f>'бюджет округа (района)'!Z32</f>
        <v>0</v>
      </c>
      <c r="AY32" s="134">
        <f>'бюджет округа (района)'!AA32+'бюджеты поселений'!AA32</f>
        <v>0</v>
      </c>
      <c r="AZ32" s="137">
        <f>'бюджет округа (района)'!AA32</f>
        <v>0</v>
      </c>
      <c r="BA32" s="135">
        <f t="shared" si="173"/>
        <v>1</v>
      </c>
      <c r="BB32" s="135">
        <f t="shared" si="173"/>
        <v>1</v>
      </c>
      <c r="BC32" s="134">
        <f>'бюджет округа (района)'!AC32+'бюджеты поселений'!AC32</f>
        <v>0</v>
      </c>
      <c r="BD32" s="137">
        <f>'бюджет округа (района)'!AC32</f>
        <v>0</v>
      </c>
      <c r="BE32" s="134">
        <f>'бюджет округа (района)'!AD32+'бюджеты поселений'!AD32</f>
        <v>0</v>
      </c>
      <c r="BF32" s="137">
        <f>'бюджет округа (района)'!AD32</f>
        <v>0</v>
      </c>
      <c r="BG32" s="134">
        <f t="shared" si="189"/>
        <v>0</v>
      </c>
      <c r="BH32" s="134">
        <f t="shared" si="189"/>
        <v>0</v>
      </c>
      <c r="BI32" s="135">
        <f t="shared" si="36"/>
        <v>1</v>
      </c>
      <c r="BJ32" s="135">
        <f t="shared" si="36"/>
        <v>1</v>
      </c>
      <c r="BK32" s="134">
        <f>'бюджет округа (района)'!AG32+'бюджеты поселений'!AG32</f>
        <v>0</v>
      </c>
      <c r="BL32" s="137">
        <f>'бюджет округа (района)'!AG32</f>
        <v>0</v>
      </c>
      <c r="BM32" s="134">
        <f t="shared" si="190"/>
        <v>0</v>
      </c>
      <c r="BN32" s="134">
        <f t="shared" si="190"/>
        <v>0</v>
      </c>
      <c r="BO32" s="135">
        <f t="shared" si="38"/>
        <v>1</v>
      </c>
      <c r="BP32" s="135">
        <f t="shared" si="38"/>
        <v>1</v>
      </c>
      <c r="BQ32" s="134">
        <f>'бюджет округа (района)'!AJ32+'бюджеты поселений'!AJ32</f>
        <v>0</v>
      </c>
      <c r="BR32" s="137">
        <f>'бюджет округа (района)'!AJ32</f>
        <v>0</v>
      </c>
      <c r="BS32" s="134">
        <f t="shared" si="191"/>
        <v>0</v>
      </c>
      <c r="BT32" s="134">
        <f t="shared" si="191"/>
        <v>0</v>
      </c>
      <c r="BU32" s="135">
        <f t="shared" si="40"/>
        <v>1</v>
      </c>
      <c r="BV32" s="135">
        <f t="shared" si="40"/>
        <v>1</v>
      </c>
      <c r="BW32" s="134">
        <f>'бюджет округа (района)'!AM32+'бюджеты поселений'!AM32</f>
        <v>0</v>
      </c>
      <c r="BX32" s="137">
        <f>'бюджет округа (района)'!AM32</f>
        <v>0</v>
      </c>
      <c r="BY32" s="134">
        <f t="shared" si="192"/>
        <v>0</v>
      </c>
      <c r="BZ32" s="134">
        <f t="shared" si="192"/>
        <v>0</v>
      </c>
      <c r="CA32" s="135">
        <f t="shared" si="42"/>
        <v>1</v>
      </c>
      <c r="CB32" s="135">
        <f t="shared" si="42"/>
        <v>1</v>
      </c>
      <c r="CC32" s="134">
        <f>'бюджет округа (района)'!AP32+'бюджеты поселений'!AP32</f>
        <v>0</v>
      </c>
      <c r="CD32" s="137">
        <f>'бюджет округа (района)'!AP32</f>
        <v>0</v>
      </c>
      <c r="CE32" s="134">
        <f t="shared" si="193"/>
        <v>0</v>
      </c>
      <c r="CF32" s="134">
        <f t="shared" si="193"/>
        <v>0</v>
      </c>
      <c r="CG32" s="135">
        <f t="shared" si="44"/>
        <v>1</v>
      </c>
      <c r="CH32" s="135">
        <f t="shared" si="44"/>
        <v>1</v>
      </c>
      <c r="CI32" s="134">
        <f>'бюджет округа (района)'!AS32+'бюджеты поселений'!AS32</f>
        <v>0</v>
      </c>
      <c r="CJ32" s="137">
        <f>'бюджет округа (района)'!AS32</f>
        <v>0</v>
      </c>
      <c r="CK32" s="134">
        <f t="shared" si="194"/>
        <v>0</v>
      </c>
      <c r="CL32" s="134">
        <f t="shared" si="194"/>
        <v>0</v>
      </c>
      <c r="CM32" s="135">
        <f t="shared" si="46"/>
        <v>1</v>
      </c>
      <c r="CN32" s="135">
        <f t="shared" si="46"/>
        <v>1</v>
      </c>
      <c r="CO32" s="134">
        <f>'бюджет округа (района)'!AV32+'бюджеты поселений'!AV32</f>
        <v>0</v>
      </c>
      <c r="CP32" s="137">
        <f>'бюджет округа (района)'!AV32</f>
        <v>0</v>
      </c>
      <c r="CQ32" s="134">
        <f t="shared" si="195"/>
        <v>0</v>
      </c>
      <c r="CR32" s="134">
        <f t="shared" si="195"/>
        <v>0</v>
      </c>
      <c r="CS32" s="135">
        <f t="shared" si="48"/>
        <v>1</v>
      </c>
      <c r="CT32" s="135">
        <f t="shared" si="48"/>
        <v>1</v>
      </c>
      <c r="CU32" s="134">
        <f>'бюджет округа (района)'!AY32+'бюджеты поселений'!AY32</f>
        <v>0</v>
      </c>
      <c r="CV32" s="137">
        <f>'бюджет округа (района)'!AY32</f>
        <v>0</v>
      </c>
      <c r="CW32" s="134">
        <f t="shared" si="196"/>
        <v>0</v>
      </c>
      <c r="CX32" s="134">
        <f t="shared" si="196"/>
        <v>0</v>
      </c>
      <c r="CY32" s="135">
        <f t="shared" si="50"/>
        <v>1</v>
      </c>
      <c r="CZ32" s="135">
        <f t="shared" si="50"/>
        <v>1</v>
      </c>
      <c r="DA32" s="134">
        <f>'бюджет округа (района)'!BB32+'бюджеты поселений'!BB32</f>
        <v>0</v>
      </c>
      <c r="DB32" s="137">
        <f>'бюджет округа (района)'!BB32</f>
        <v>0</v>
      </c>
      <c r="DC32" s="134">
        <f t="shared" si="197"/>
        <v>0</v>
      </c>
      <c r="DD32" s="134">
        <f t="shared" si="197"/>
        <v>0</v>
      </c>
      <c r="DE32" s="135">
        <f t="shared" si="52"/>
        <v>1</v>
      </c>
      <c r="DF32" s="135">
        <f t="shared" si="52"/>
        <v>1</v>
      </c>
      <c r="DG32" s="134">
        <f>'бюджет округа (района)'!BE32+'бюджеты поселений'!BE32</f>
        <v>0</v>
      </c>
      <c r="DH32" s="137">
        <f>'бюджет округа (района)'!BE32</f>
        <v>0</v>
      </c>
      <c r="DI32" s="134">
        <f t="shared" si="198"/>
        <v>0</v>
      </c>
      <c r="DJ32" s="134">
        <f t="shared" si="198"/>
        <v>0</v>
      </c>
      <c r="DK32" s="135">
        <f t="shared" si="54"/>
        <v>1</v>
      </c>
      <c r="DL32" s="135">
        <f t="shared" si="54"/>
        <v>1</v>
      </c>
      <c r="DM32" s="134">
        <f>'бюджет округа (района)'!BH32+'бюджеты поселений'!BH32</f>
        <v>0</v>
      </c>
      <c r="DN32" s="137">
        <f>'бюджет округа (района)'!BH32</f>
        <v>0</v>
      </c>
      <c r="DO32" s="134">
        <f>'бюджет округа (района)'!BI32+'бюджеты поселений'!BI32</f>
        <v>0</v>
      </c>
      <c r="DP32" s="137">
        <f>'бюджет округа (района)'!BI32</f>
        <v>0</v>
      </c>
      <c r="DQ32" s="134">
        <f>'бюджет округа (района)'!BJ32+'бюджеты поселений'!BJ32</f>
        <v>0</v>
      </c>
      <c r="DR32" s="137">
        <f>'бюджет округа (района)'!BJ32</f>
        <v>0</v>
      </c>
      <c r="DS32" s="135">
        <f>IF($AY$32=0,1,DQ32/$AY$32-1)</f>
        <v>1</v>
      </c>
      <c r="DT32" s="135">
        <f>IF($AZ$32=0,1,DR32/$AZ$32-1)</f>
        <v>1</v>
      </c>
      <c r="DU32" s="135">
        <f t="shared" si="58"/>
        <v>1</v>
      </c>
      <c r="DV32" s="135">
        <f t="shared" si="59"/>
        <v>1</v>
      </c>
      <c r="DW32" s="167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  <c r="IR32" s="63"/>
      <c r="IS32" s="63"/>
      <c r="IT32" s="63"/>
      <c r="IU32" s="63"/>
      <c r="IV32" s="63"/>
      <c r="IW32" s="63"/>
      <c r="IX32" s="63"/>
      <c r="IY32" s="63"/>
      <c r="IZ32" s="63"/>
      <c r="JA32" s="63"/>
      <c r="JB32" s="63"/>
      <c r="JC32" s="63"/>
      <c r="JD32" s="63"/>
      <c r="JE32" s="63"/>
      <c r="JF32" s="63"/>
      <c r="JG32" s="63"/>
      <c r="JH32" s="63"/>
    </row>
    <row r="33" spans="1:268" s="66" customFormat="1" ht="18" customHeight="1">
      <c r="A33" s="298" t="s">
        <v>142</v>
      </c>
      <c r="B33" s="299"/>
      <c r="C33" s="134">
        <f>'бюджет округа (района)'!C33+'бюджеты поселений'!C33</f>
        <v>0</v>
      </c>
      <c r="D33" s="137">
        <f>'бюджет округа (района)'!C33</f>
        <v>0</v>
      </c>
      <c r="E33" s="134">
        <f>G33+I33+M33+Q33+U33+Y33+AC33+AG33+AK33+AO33+AS33+AW33</f>
        <v>0</v>
      </c>
      <c r="F33" s="137">
        <f t="shared" si="150"/>
        <v>0</v>
      </c>
      <c r="G33" s="134">
        <f>'бюджет округа (района)'!E33+'бюджеты поселений'!E33</f>
        <v>0</v>
      </c>
      <c r="H33" s="137">
        <f>'бюджет округа (района)'!E33</f>
        <v>0</v>
      </c>
      <c r="I33" s="134">
        <f>'бюджет округа (района)'!F33+'бюджеты поселений'!F33</f>
        <v>0</v>
      </c>
      <c r="J33" s="137">
        <f>'бюджет округа (района)'!F33</f>
        <v>0</v>
      </c>
      <c r="K33" s="134">
        <f t="shared" si="151"/>
        <v>0</v>
      </c>
      <c r="L33" s="134">
        <f t="shared" si="151"/>
        <v>0</v>
      </c>
      <c r="M33" s="134">
        <f>'бюджет округа (района)'!H33+'бюджеты поселений'!H33</f>
        <v>0</v>
      </c>
      <c r="N33" s="137">
        <f>'бюджет округа (района)'!H33</f>
        <v>0</v>
      </c>
      <c r="O33" s="134">
        <f t="shared" si="152"/>
        <v>0</v>
      </c>
      <c r="P33" s="134">
        <f t="shared" si="152"/>
        <v>0</v>
      </c>
      <c r="Q33" s="134">
        <f>'бюджет округа (района)'!J33+'бюджеты поселений'!J33</f>
        <v>0</v>
      </c>
      <c r="R33" s="137">
        <f>'бюджет округа (района)'!J33</f>
        <v>0</v>
      </c>
      <c r="S33" s="134">
        <f t="shared" si="153"/>
        <v>0</v>
      </c>
      <c r="T33" s="134">
        <f t="shared" si="153"/>
        <v>0</v>
      </c>
      <c r="U33" s="134">
        <f>'бюджет округа (района)'!L33+'бюджеты поселений'!L33</f>
        <v>0</v>
      </c>
      <c r="V33" s="137">
        <f>'бюджет округа (района)'!L33</f>
        <v>0</v>
      </c>
      <c r="W33" s="134">
        <f t="shared" si="154"/>
        <v>0</v>
      </c>
      <c r="X33" s="134">
        <f t="shared" si="154"/>
        <v>0</v>
      </c>
      <c r="Y33" s="134">
        <f>'бюджет округа (района)'!N33+'бюджеты поселений'!N33</f>
        <v>0</v>
      </c>
      <c r="Z33" s="137">
        <f>'бюджет округа (района)'!N33</f>
        <v>0</v>
      </c>
      <c r="AA33" s="134">
        <f t="shared" si="155"/>
        <v>0</v>
      </c>
      <c r="AB33" s="134">
        <f t="shared" si="155"/>
        <v>0</v>
      </c>
      <c r="AC33" s="134">
        <f>'бюджет округа (района)'!P33+'бюджеты поселений'!P33</f>
        <v>0</v>
      </c>
      <c r="AD33" s="137">
        <f>'бюджет округа (района)'!P33</f>
        <v>0</v>
      </c>
      <c r="AE33" s="134">
        <f t="shared" si="156"/>
        <v>0</v>
      </c>
      <c r="AF33" s="134">
        <f t="shared" si="156"/>
        <v>0</v>
      </c>
      <c r="AG33" s="134">
        <f>'бюджет округа (района)'!R33+'бюджеты поселений'!R33</f>
        <v>0</v>
      </c>
      <c r="AH33" s="137">
        <f>'бюджет округа (района)'!R33</f>
        <v>0</v>
      </c>
      <c r="AI33" s="134">
        <f t="shared" si="185"/>
        <v>0</v>
      </c>
      <c r="AJ33" s="134">
        <f t="shared" si="185"/>
        <v>0</v>
      </c>
      <c r="AK33" s="134">
        <f>'бюджет округа (района)'!T33+'бюджеты поселений'!T33</f>
        <v>0</v>
      </c>
      <c r="AL33" s="137">
        <f>'бюджет округа (района)'!T33</f>
        <v>0</v>
      </c>
      <c r="AM33" s="134">
        <f t="shared" si="186"/>
        <v>0</v>
      </c>
      <c r="AN33" s="134">
        <f t="shared" si="186"/>
        <v>0</v>
      </c>
      <c r="AO33" s="134">
        <f>'бюджет округа (района)'!V33+'бюджеты поселений'!V33</f>
        <v>0</v>
      </c>
      <c r="AP33" s="137">
        <f>'бюджет округа (района)'!V33</f>
        <v>0</v>
      </c>
      <c r="AQ33" s="134">
        <f t="shared" si="187"/>
        <v>0</v>
      </c>
      <c r="AR33" s="134">
        <f t="shared" si="187"/>
        <v>0</v>
      </c>
      <c r="AS33" s="134">
        <f>'бюджет округа (района)'!X33+'бюджеты поселений'!X33</f>
        <v>0</v>
      </c>
      <c r="AT33" s="137">
        <f>'бюджет округа (района)'!X33</f>
        <v>0</v>
      </c>
      <c r="AU33" s="134">
        <f t="shared" si="188"/>
        <v>0</v>
      </c>
      <c r="AV33" s="134">
        <f t="shared" si="188"/>
        <v>0</v>
      </c>
      <c r="AW33" s="134">
        <f>'бюджет округа (района)'!Z33+'бюджеты поселений'!Z33</f>
        <v>0</v>
      </c>
      <c r="AX33" s="137">
        <f>'бюджет округа (района)'!Z33</f>
        <v>0</v>
      </c>
      <c r="AY33" s="134">
        <f>'бюджет округа (района)'!AA33+'бюджеты поселений'!AA33</f>
        <v>0</v>
      </c>
      <c r="AZ33" s="137">
        <f>'бюджет округа (района)'!AA33</f>
        <v>0</v>
      </c>
      <c r="BA33" s="135">
        <f t="shared" si="173"/>
        <v>1</v>
      </c>
      <c r="BB33" s="135">
        <f t="shared" si="173"/>
        <v>1</v>
      </c>
      <c r="BC33" s="134">
        <f>'бюджет округа (района)'!AC33+'бюджеты поселений'!AC33</f>
        <v>0</v>
      </c>
      <c r="BD33" s="137">
        <f>'бюджет округа (района)'!AC33</f>
        <v>0</v>
      </c>
      <c r="BE33" s="134">
        <f>'бюджет округа (района)'!AD33+'бюджеты поселений'!AD33</f>
        <v>0</v>
      </c>
      <c r="BF33" s="137">
        <f>'бюджет округа (района)'!AD33</f>
        <v>0</v>
      </c>
      <c r="BG33" s="134">
        <f t="shared" si="189"/>
        <v>0</v>
      </c>
      <c r="BH33" s="134">
        <f t="shared" si="189"/>
        <v>0</v>
      </c>
      <c r="BI33" s="135">
        <f t="shared" si="36"/>
        <v>1</v>
      </c>
      <c r="BJ33" s="135">
        <f t="shared" si="36"/>
        <v>1</v>
      </c>
      <c r="BK33" s="134">
        <f>'бюджет округа (района)'!AG33+'бюджеты поселений'!AG33</f>
        <v>0</v>
      </c>
      <c r="BL33" s="137">
        <f>'бюджет округа (района)'!AG33</f>
        <v>0</v>
      </c>
      <c r="BM33" s="134">
        <f t="shared" si="190"/>
        <v>0</v>
      </c>
      <c r="BN33" s="134">
        <f t="shared" si="190"/>
        <v>0</v>
      </c>
      <c r="BO33" s="135">
        <f t="shared" si="38"/>
        <v>1</v>
      </c>
      <c r="BP33" s="135">
        <f t="shared" si="38"/>
        <v>1</v>
      </c>
      <c r="BQ33" s="134">
        <f>'бюджет округа (района)'!AJ33+'бюджеты поселений'!AJ33</f>
        <v>0</v>
      </c>
      <c r="BR33" s="137">
        <f>'бюджет округа (района)'!AJ33</f>
        <v>0</v>
      </c>
      <c r="BS33" s="134">
        <f t="shared" si="191"/>
        <v>0</v>
      </c>
      <c r="BT33" s="134">
        <f t="shared" si="191"/>
        <v>0</v>
      </c>
      <c r="BU33" s="135">
        <f t="shared" si="40"/>
        <v>1</v>
      </c>
      <c r="BV33" s="135">
        <f t="shared" si="40"/>
        <v>1</v>
      </c>
      <c r="BW33" s="134">
        <f>'бюджет округа (района)'!AM33+'бюджеты поселений'!AM33</f>
        <v>0</v>
      </c>
      <c r="BX33" s="137">
        <f>'бюджет округа (района)'!AM33</f>
        <v>0</v>
      </c>
      <c r="BY33" s="134">
        <f t="shared" si="192"/>
        <v>0</v>
      </c>
      <c r="BZ33" s="134">
        <f t="shared" si="192"/>
        <v>0</v>
      </c>
      <c r="CA33" s="135">
        <f t="shared" si="42"/>
        <v>1</v>
      </c>
      <c r="CB33" s="135">
        <f t="shared" si="42"/>
        <v>1</v>
      </c>
      <c r="CC33" s="134">
        <f>'бюджет округа (района)'!AP33+'бюджеты поселений'!AP33</f>
        <v>0</v>
      </c>
      <c r="CD33" s="137">
        <f>'бюджет округа (района)'!AP33</f>
        <v>0</v>
      </c>
      <c r="CE33" s="134">
        <f t="shared" si="193"/>
        <v>0</v>
      </c>
      <c r="CF33" s="134">
        <f t="shared" si="193"/>
        <v>0</v>
      </c>
      <c r="CG33" s="135">
        <f t="shared" si="44"/>
        <v>1</v>
      </c>
      <c r="CH33" s="135">
        <f t="shared" si="44"/>
        <v>1</v>
      </c>
      <c r="CI33" s="134">
        <f>'бюджет округа (района)'!AS33+'бюджеты поселений'!AS33</f>
        <v>0</v>
      </c>
      <c r="CJ33" s="137">
        <f>'бюджет округа (района)'!AS33</f>
        <v>0</v>
      </c>
      <c r="CK33" s="134">
        <f t="shared" si="194"/>
        <v>0</v>
      </c>
      <c r="CL33" s="134">
        <f t="shared" si="194"/>
        <v>0</v>
      </c>
      <c r="CM33" s="135">
        <f t="shared" si="46"/>
        <v>1</v>
      </c>
      <c r="CN33" s="135">
        <f t="shared" si="46"/>
        <v>1</v>
      </c>
      <c r="CO33" s="134">
        <f>'бюджет округа (района)'!AV33+'бюджеты поселений'!AV33</f>
        <v>0</v>
      </c>
      <c r="CP33" s="137">
        <f>'бюджет округа (района)'!AV33</f>
        <v>0</v>
      </c>
      <c r="CQ33" s="134">
        <f t="shared" si="195"/>
        <v>0</v>
      </c>
      <c r="CR33" s="134">
        <f t="shared" si="195"/>
        <v>0</v>
      </c>
      <c r="CS33" s="135">
        <f t="shared" si="48"/>
        <v>1</v>
      </c>
      <c r="CT33" s="135">
        <f t="shared" si="48"/>
        <v>1</v>
      </c>
      <c r="CU33" s="134">
        <f>'бюджет округа (района)'!AY33+'бюджеты поселений'!AY33</f>
        <v>0</v>
      </c>
      <c r="CV33" s="137">
        <f>'бюджет округа (района)'!AY33</f>
        <v>0</v>
      </c>
      <c r="CW33" s="134">
        <f t="shared" si="196"/>
        <v>0</v>
      </c>
      <c r="CX33" s="134">
        <f t="shared" si="196"/>
        <v>0</v>
      </c>
      <c r="CY33" s="135">
        <f t="shared" si="50"/>
        <v>1</v>
      </c>
      <c r="CZ33" s="135">
        <f t="shared" si="50"/>
        <v>1</v>
      </c>
      <c r="DA33" s="134">
        <f>'бюджет округа (района)'!BB33+'бюджеты поселений'!BB33</f>
        <v>0</v>
      </c>
      <c r="DB33" s="137">
        <f>'бюджет округа (района)'!BB33</f>
        <v>0</v>
      </c>
      <c r="DC33" s="134">
        <f t="shared" si="197"/>
        <v>0</v>
      </c>
      <c r="DD33" s="134">
        <f t="shared" si="197"/>
        <v>0</v>
      </c>
      <c r="DE33" s="135">
        <f t="shared" si="52"/>
        <v>1</v>
      </c>
      <c r="DF33" s="135">
        <f t="shared" si="52"/>
        <v>1</v>
      </c>
      <c r="DG33" s="134">
        <f>'бюджет округа (района)'!BE33+'бюджеты поселений'!BE33</f>
        <v>0</v>
      </c>
      <c r="DH33" s="137">
        <f>'бюджет округа (района)'!BE33</f>
        <v>0</v>
      </c>
      <c r="DI33" s="134">
        <f t="shared" si="198"/>
        <v>0</v>
      </c>
      <c r="DJ33" s="134">
        <f t="shared" si="198"/>
        <v>0</v>
      </c>
      <c r="DK33" s="135">
        <f t="shared" si="54"/>
        <v>1</v>
      </c>
      <c r="DL33" s="135">
        <f t="shared" si="54"/>
        <v>1</v>
      </c>
      <c r="DM33" s="134">
        <f>'бюджет округа (района)'!BH33+'бюджеты поселений'!BH33</f>
        <v>0</v>
      </c>
      <c r="DN33" s="137">
        <f>'бюджет округа (района)'!BH33</f>
        <v>0</v>
      </c>
      <c r="DO33" s="134">
        <f>'бюджет округа (района)'!BI33+'бюджеты поселений'!BI33</f>
        <v>0</v>
      </c>
      <c r="DP33" s="137">
        <f>'бюджет округа (района)'!BI33</f>
        <v>0</v>
      </c>
      <c r="DQ33" s="134">
        <f>'бюджет округа (района)'!BJ33+'бюджеты поселений'!BJ33</f>
        <v>0</v>
      </c>
      <c r="DR33" s="137">
        <f>'бюджет округа (района)'!BJ33</f>
        <v>0</v>
      </c>
      <c r="DS33" s="135">
        <f>IF($AY$33=0,1,DQ33/$AY$33-1)</f>
        <v>1</v>
      </c>
      <c r="DT33" s="135">
        <f>IF($AZ$33=0,1,DR33/$AZ$33-1)</f>
        <v>1</v>
      </c>
      <c r="DU33" s="135">
        <f t="shared" si="58"/>
        <v>1</v>
      </c>
      <c r="DV33" s="135">
        <f t="shared" si="59"/>
        <v>1</v>
      </c>
      <c r="DW33" s="167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65"/>
      <c r="JF33" s="65"/>
      <c r="JG33" s="65"/>
      <c r="JH33" s="65"/>
    </row>
    <row r="34" spans="1:268" s="66" customFormat="1" ht="33" customHeight="1">
      <c r="A34" s="298" t="s">
        <v>118</v>
      </c>
      <c r="B34" s="299"/>
      <c r="C34" s="134">
        <f>'бюджет округа (района)'!C34+'бюджеты поселений'!C34</f>
        <v>0</v>
      </c>
      <c r="D34" s="137">
        <f>'бюджет округа (района)'!C34</f>
        <v>0</v>
      </c>
      <c r="E34" s="134">
        <f t="shared" ref="E34" si="199">G34+I34+M34+Q34+U34+Y34+AC34+AG34+AK34+AO34+AS34+AW34</f>
        <v>0</v>
      </c>
      <c r="F34" s="137">
        <f t="shared" si="150"/>
        <v>0</v>
      </c>
      <c r="G34" s="134">
        <f>'бюджет округа (района)'!E34+'бюджеты поселений'!E34</f>
        <v>0</v>
      </c>
      <c r="H34" s="137">
        <f>'бюджет округа (района)'!E34</f>
        <v>0</v>
      </c>
      <c r="I34" s="134">
        <f>'бюджет округа (района)'!F34+'бюджеты поселений'!F34</f>
        <v>0</v>
      </c>
      <c r="J34" s="137">
        <f>'бюджет округа (района)'!F34</f>
        <v>0</v>
      </c>
      <c r="K34" s="134">
        <f t="shared" si="151"/>
        <v>0</v>
      </c>
      <c r="L34" s="134">
        <f t="shared" si="151"/>
        <v>0</v>
      </c>
      <c r="M34" s="134">
        <f>'бюджет округа (района)'!H34+'бюджеты поселений'!H34</f>
        <v>0</v>
      </c>
      <c r="N34" s="137">
        <f>'бюджет округа (района)'!H34</f>
        <v>0</v>
      </c>
      <c r="O34" s="134">
        <f t="shared" si="152"/>
        <v>0</v>
      </c>
      <c r="P34" s="134">
        <f t="shared" si="152"/>
        <v>0</v>
      </c>
      <c r="Q34" s="134">
        <f>'бюджет округа (района)'!J34+'бюджеты поселений'!J34</f>
        <v>0</v>
      </c>
      <c r="R34" s="137">
        <f>'бюджет округа (района)'!J34</f>
        <v>0</v>
      </c>
      <c r="S34" s="134">
        <f t="shared" si="153"/>
        <v>0</v>
      </c>
      <c r="T34" s="134">
        <f t="shared" si="153"/>
        <v>0</v>
      </c>
      <c r="U34" s="134">
        <f>'бюджет округа (района)'!L34+'бюджеты поселений'!L34</f>
        <v>0</v>
      </c>
      <c r="V34" s="137">
        <f>'бюджет округа (района)'!L34</f>
        <v>0</v>
      </c>
      <c r="W34" s="134">
        <f t="shared" si="154"/>
        <v>0</v>
      </c>
      <c r="X34" s="134">
        <f t="shared" si="154"/>
        <v>0</v>
      </c>
      <c r="Y34" s="134">
        <f>'бюджет округа (района)'!N34+'бюджеты поселений'!N34</f>
        <v>0</v>
      </c>
      <c r="Z34" s="137">
        <f>'бюджет округа (района)'!N34</f>
        <v>0</v>
      </c>
      <c r="AA34" s="134">
        <f t="shared" si="155"/>
        <v>0</v>
      </c>
      <c r="AB34" s="134">
        <f t="shared" si="155"/>
        <v>0</v>
      </c>
      <c r="AC34" s="134">
        <f>'бюджет округа (района)'!P34+'бюджеты поселений'!P34</f>
        <v>0</v>
      </c>
      <c r="AD34" s="137">
        <f>'бюджет округа (района)'!P34</f>
        <v>0</v>
      </c>
      <c r="AE34" s="134">
        <f t="shared" si="156"/>
        <v>0</v>
      </c>
      <c r="AF34" s="134">
        <f t="shared" si="156"/>
        <v>0</v>
      </c>
      <c r="AG34" s="134">
        <f>'бюджет округа (района)'!R34+'бюджеты поселений'!R34</f>
        <v>0</v>
      </c>
      <c r="AH34" s="137">
        <f>'бюджет округа (района)'!R34</f>
        <v>0</v>
      </c>
      <c r="AI34" s="134">
        <f t="shared" si="185"/>
        <v>0</v>
      </c>
      <c r="AJ34" s="134">
        <f t="shared" si="185"/>
        <v>0</v>
      </c>
      <c r="AK34" s="134">
        <f>'бюджет округа (района)'!T34+'бюджеты поселений'!T34</f>
        <v>0</v>
      </c>
      <c r="AL34" s="137">
        <f>'бюджет округа (района)'!T34</f>
        <v>0</v>
      </c>
      <c r="AM34" s="134">
        <f t="shared" si="186"/>
        <v>0</v>
      </c>
      <c r="AN34" s="134">
        <f t="shared" si="186"/>
        <v>0</v>
      </c>
      <c r="AO34" s="134">
        <f>'бюджет округа (района)'!V34+'бюджеты поселений'!V34</f>
        <v>0</v>
      </c>
      <c r="AP34" s="137">
        <f>'бюджет округа (района)'!V34</f>
        <v>0</v>
      </c>
      <c r="AQ34" s="134">
        <f t="shared" si="187"/>
        <v>0</v>
      </c>
      <c r="AR34" s="134">
        <f t="shared" si="187"/>
        <v>0</v>
      </c>
      <c r="AS34" s="134">
        <f>'бюджет округа (района)'!X34+'бюджеты поселений'!X34</f>
        <v>0</v>
      </c>
      <c r="AT34" s="137">
        <f>'бюджет округа (района)'!X34</f>
        <v>0</v>
      </c>
      <c r="AU34" s="134">
        <f t="shared" si="188"/>
        <v>0</v>
      </c>
      <c r="AV34" s="134">
        <f t="shared" si="188"/>
        <v>0</v>
      </c>
      <c r="AW34" s="134">
        <f>'бюджет округа (района)'!Z34+'бюджеты поселений'!Z34</f>
        <v>0</v>
      </c>
      <c r="AX34" s="137">
        <f>'бюджет округа (района)'!Z34</f>
        <v>0</v>
      </c>
      <c r="AY34" s="134">
        <f>'бюджет округа (района)'!AA34+'бюджеты поселений'!AA34</f>
        <v>0</v>
      </c>
      <c r="AZ34" s="137">
        <f>'бюджет округа (района)'!AA34</f>
        <v>0</v>
      </c>
      <c r="BA34" s="135">
        <f t="shared" si="173"/>
        <v>1</v>
      </c>
      <c r="BB34" s="135">
        <f t="shared" si="173"/>
        <v>1</v>
      </c>
      <c r="BC34" s="134">
        <f>'бюджет округа (района)'!AC34+'бюджеты поселений'!AC34</f>
        <v>0</v>
      </c>
      <c r="BD34" s="137">
        <f>'бюджет округа (района)'!AC34</f>
        <v>0</v>
      </c>
      <c r="BE34" s="134">
        <f>'бюджет округа (района)'!AD34+'бюджеты поселений'!AD34</f>
        <v>0</v>
      </c>
      <c r="BF34" s="137">
        <f>'бюджет округа (района)'!AD34</f>
        <v>0</v>
      </c>
      <c r="BG34" s="134">
        <f t="shared" si="189"/>
        <v>0</v>
      </c>
      <c r="BH34" s="134">
        <f t="shared" si="189"/>
        <v>0</v>
      </c>
      <c r="BI34" s="135">
        <f t="shared" si="36"/>
        <v>1</v>
      </c>
      <c r="BJ34" s="135">
        <f t="shared" si="36"/>
        <v>1</v>
      </c>
      <c r="BK34" s="134">
        <f>'бюджет округа (района)'!AG34+'бюджеты поселений'!AG34</f>
        <v>0</v>
      </c>
      <c r="BL34" s="137">
        <f>'бюджет округа (района)'!AG34</f>
        <v>0</v>
      </c>
      <c r="BM34" s="134">
        <f t="shared" si="190"/>
        <v>0</v>
      </c>
      <c r="BN34" s="134">
        <f t="shared" si="190"/>
        <v>0</v>
      </c>
      <c r="BO34" s="135">
        <f t="shared" si="38"/>
        <v>1</v>
      </c>
      <c r="BP34" s="135">
        <f t="shared" si="38"/>
        <v>1</v>
      </c>
      <c r="BQ34" s="134">
        <f>'бюджет округа (района)'!AJ34+'бюджеты поселений'!AJ34</f>
        <v>0</v>
      </c>
      <c r="BR34" s="137">
        <f>'бюджет округа (района)'!AJ34</f>
        <v>0</v>
      </c>
      <c r="BS34" s="134">
        <f t="shared" si="191"/>
        <v>0</v>
      </c>
      <c r="BT34" s="134">
        <f t="shared" si="191"/>
        <v>0</v>
      </c>
      <c r="BU34" s="135">
        <f t="shared" si="40"/>
        <v>1</v>
      </c>
      <c r="BV34" s="135">
        <f t="shared" si="40"/>
        <v>1</v>
      </c>
      <c r="BW34" s="134">
        <f>'бюджет округа (района)'!AM34+'бюджеты поселений'!AM34</f>
        <v>0</v>
      </c>
      <c r="BX34" s="137">
        <f>'бюджет округа (района)'!AM34</f>
        <v>0</v>
      </c>
      <c r="BY34" s="134">
        <f t="shared" si="192"/>
        <v>0</v>
      </c>
      <c r="BZ34" s="134">
        <f t="shared" si="192"/>
        <v>0</v>
      </c>
      <c r="CA34" s="135">
        <f t="shared" si="42"/>
        <v>1</v>
      </c>
      <c r="CB34" s="135">
        <f t="shared" si="42"/>
        <v>1</v>
      </c>
      <c r="CC34" s="134">
        <f>'бюджет округа (района)'!AP34+'бюджеты поселений'!AP34</f>
        <v>0</v>
      </c>
      <c r="CD34" s="137">
        <f>'бюджет округа (района)'!AP34</f>
        <v>0</v>
      </c>
      <c r="CE34" s="134">
        <f t="shared" si="193"/>
        <v>0</v>
      </c>
      <c r="CF34" s="134">
        <f t="shared" si="193"/>
        <v>0</v>
      </c>
      <c r="CG34" s="135">
        <f t="shared" si="44"/>
        <v>1</v>
      </c>
      <c r="CH34" s="135">
        <f t="shared" si="44"/>
        <v>1</v>
      </c>
      <c r="CI34" s="134">
        <f>'бюджет округа (района)'!AS34+'бюджеты поселений'!AS34</f>
        <v>0</v>
      </c>
      <c r="CJ34" s="137">
        <f>'бюджет округа (района)'!AS34</f>
        <v>0</v>
      </c>
      <c r="CK34" s="134">
        <f t="shared" si="194"/>
        <v>0</v>
      </c>
      <c r="CL34" s="134">
        <f t="shared" si="194"/>
        <v>0</v>
      </c>
      <c r="CM34" s="135">
        <f t="shared" si="46"/>
        <v>1</v>
      </c>
      <c r="CN34" s="135">
        <f t="shared" si="46"/>
        <v>1</v>
      </c>
      <c r="CO34" s="134">
        <f>'бюджет округа (района)'!AV34+'бюджеты поселений'!AV34</f>
        <v>0</v>
      </c>
      <c r="CP34" s="137">
        <f>'бюджет округа (района)'!AV34</f>
        <v>0</v>
      </c>
      <c r="CQ34" s="134">
        <f t="shared" si="195"/>
        <v>0</v>
      </c>
      <c r="CR34" s="134">
        <f t="shared" si="195"/>
        <v>0</v>
      </c>
      <c r="CS34" s="135">
        <f t="shared" si="48"/>
        <v>1</v>
      </c>
      <c r="CT34" s="135">
        <f t="shared" si="48"/>
        <v>1</v>
      </c>
      <c r="CU34" s="134">
        <f>'бюджет округа (района)'!AY34+'бюджеты поселений'!AY34</f>
        <v>0</v>
      </c>
      <c r="CV34" s="137">
        <f>'бюджет округа (района)'!AY34</f>
        <v>0</v>
      </c>
      <c r="CW34" s="134">
        <f t="shared" si="196"/>
        <v>0</v>
      </c>
      <c r="CX34" s="134">
        <f t="shared" si="196"/>
        <v>0</v>
      </c>
      <c r="CY34" s="135">
        <f t="shared" si="50"/>
        <v>1</v>
      </c>
      <c r="CZ34" s="135">
        <f t="shared" si="50"/>
        <v>1</v>
      </c>
      <c r="DA34" s="134">
        <f>'бюджет округа (района)'!BB34+'бюджеты поселений'!BB34</f>
        <v>0</v>
      </c>
      <c r="DB34" s="137">
        <f>'бюджет округа (района)'!BB34</f>
        <v>0</v>
      </c>
      <c r="DC34" s="134">
        <f t="shared" si="197"/>
        <v>0</v>
      </c>
      <c r="DD34" s="134">
        <f t="shared" si="197"/>
        <v>0</v>
      </c>
      <c r="DE34" s="135">
        <f t="shared" si="52"/>
        <v>1</v>
      </c>
      <c r="DF34" s="135">
        <f t="shared" si="52"/>
        <v>1</v>
      </c>
      <c r="DG34" s="134">
        <f>'бюджет округа (района)'!BE34+'бюджеты поселений'!BE34</f>
        <v>0</v>
      </c>
      <c r="DH34" s="137">
        <f>'бюджет округа (района)'!BE34</f>
        <v>0</v>
      </c>
      <c r="DI34" s="134">
        <f t="shared" si="198"/>
        <v>0</v>
      </c>
      <c r="DJ34" s="134">
        <f t="shared" si="198"/>
        <v>0</v>
      </c>
      <c r="DK34" s="135">
        <f t="shared" si="54"/>
        <v>1</v>
      </c>
      <c r="DL34" s="135">
        <f t="shared" si="54"/>
        <v>1</v>
      </c>
      <c r="DM34" s="134">
        <f>'бюджет округа (района)'!BH34+'бюджеты поселений'!BH34</f>
        <v>0</v>
      </c>
      <c r="DN34" s="137">
        <f>'бюджет округа (района)'!BH34</f>
        <v>0</v>
      </c>
      <c r="DO34" s="134">
        <f>'бюджет округа (района)'!BI34+'бюджеты поселений'!BI34</f>
        <v>0</v>
      </c>
      <c r="DP34" s="137">
        <f>'бюджет округа (района)'!BI34</f>
        <v>0</v>
      </c>
      <c r="DQ34" s="134">
        <f>'бюджет округа (района)'!BJ34+'бюджеты поселений'!BJ34</f>
        <v>0</v>
      </c>
      <c r="DR34" s="137">
        <f>'бюджет округа (района)'!BJ34</f>
        <v>0</v>
      </c>
      <c r="DS34" s="135">
        <f>IF($AY$34=0,1,DQ34/$AY$34-1)</f>
        <v>1</v>
      </c>
      <c r="DT34" s="135">
        <f>IF($AZ$34=0,1,DR34/$AZ$34-1)</f>
        <v>1</v>
      </c>
      <c r="DU34" s="135">
        <f t="shared" si="58"/>
        <v>1</v>
      </c>
      <c r="DV34" s="135">
        <f t="shared" si="59"/>
        <v>1</v>
      </c>
      <c r="DW34" s="167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  <c r="IW34" s="65"/>
      <c r="IX34" s="65"/>
      <c r="IY34" s="65"/>
      <c r="IZ34" s="65"/>
      <c r="JA34" s="65"/>
      <c r="JB34" s="65"/>
      <c r="JC34" s="65"/>
      <c r="JD34" s="65"/>
      <c r="JE34" s="65"/>
      <c r="JF34" s="65"/>
      <c r="JG34" s="65"/>
      <c r="JH34" s="65"/>
    </row>
    <row r="35" spans="1:268" s="66" customFormat="1" ht="18" customHeight="1">
      <c r="A35" s="298" t="s">
        <v>48</v>
      </c>
      <c r="B35" s="299"/>
      <c r="C35" s="134">
        <f>'бюджет округа (района)'!C35+'бюджеты поселений'!C35</f>
        <v>0</v>
      </c>
      <c r="D35" s="137">
        <f>'бюджет округа (района)'!C35</f>
        <v>0</v>
      </c>
      <c r="E35" s="134">
        <f t="shared" si="150"/>
        <v>0</v>
      </c>
      <c r="F35" s="137">
        <f t="shared" si="150"/>
        <v>0</v>
      </c>
      <c r="G35" s="134">
        <f>'бюджет округа (района)'!E35+'бюджеты поселений'!E35</f>
        <v>0</v>
      </c>
      <c r="H35" s="137">
        <f>'бюджет округа (района)'!E35</f>
        <v>0</v>
      </c>
      <c r="I35" s="134">
        <f>'бюджет округа (района)'!F35+'бюджеты поселений'!F35</f>
        <v>0</v>
      </c>
      <c r="J35" s="137">
        <f>'бюджет округа (района)'!F35</f>
        <v>0</v>
      </c>
      <c r="K35" s="134">
        <f t="shared" si="151"/>
        <v>0</v>
      </c>
      <c r="L35" s="134">
        <f t="shared" si="151"/>
        <v>0</v>
      </c>
      <c r="M35" s="134">
        <f>'бюджет округа (района)'!H35+'бюджеты поселений'!H35</f>
        <v>0</v>
      </c>
      <c r="N35" s="137">
        <f>'бюджет округа (района)'!H35</f>
        <v>0</v>
      </c>
      <c r="O35" s="134">
        <f t="shared" si="152"/>
        <v>0</v>
      </c>
      <c r="P35" s="134">
        <f t="shared" si="152"/>
        <v>0</v>
      </c>
      <c r="Q35" s="134">
        <f>'бюджет округа (района)'!J35+'бюджеты поселений'!J35</f>
        <v>0</v>
      </c>
      <c r="R35" s="137">
        <f>'бюджет округа (района)'!J35</f>
        <v>0</v>
      </c>
      <c r="S35" s="134">
        <f t="shared" si="153"/>
        <v>0</v>
      </c>
      <c r="T35" s="134">
        <f t="shared" si="153"/>
        <v>0</v>
      </c>
      <c r="U35" s="134">
        <f>'бюджет округа (района)'!L35+'бюджеты поселений'!L35</f>
        <v>0</v>
      </c>
      <c r="V35" s="137">
        <f>'бюджет округа (района)'!L35</f>
        <v>0</v>
      </c>
      <c r="W35" s="134">
        <f t="shared" si="154"/>
        <v>0</v>
      </c>
      <c r="X35" s="134">
        <f t="shared" si="154"/>
        <v>0</v>
      </c>
      <c r="Y35" s="134">
        <f>'бюджет округа (района)'!N35+'бюджеты поселений'!N35</f>
        <v>0</v>
      </c>
      <c r="Z35" s="137">
        <f>'бюджет округа (района)'!N35</f>
        <v>0</v>
      </c>
      <c r="AA35" s="134">
        <f t="shared" si="155"/>
        <v>0</v>
      </c>
      <c r="AB35" s="134">
        <f t="shared" si="155"/>
        <v>0</v>
      </c>
      <c r="AC35" s="134">
        <f>'бюджет округа (района)'!P35+'бюджеты поселений'!P35</f>
        <v>0</v>
      </c>
      <c r="AD35" s="137">
        <f>'бюджет округа (района)'!P35</f>
        <v>0</v>
      </c>
      <c r="AE35" s="134">
        <f t="shared" si="156"/>
        <v>0</v>
      </c>
      <c r="AF35" s="134">
        <f t="shared" si="156"/>
        <v>0</v>
      </c>
      <c r="AG35" s="134">
        <f>'бюджет округа (района)'!R35+'бюджеты поселений'!R35</f>
        <v>0</v>
      </c>
      <c r="AH35" s="137">
        <f>'бюджет округа (района)'!R35</f>
        <v>0</v>
      </c>
      <c r="AI35" s="134">
        <f t="shared" si="185"/>
        <v>0</v>
      </c>
      <c r="AJ35" s="134">
        <f t="shared" si="185"/>
        <v>0</v>
      </c>
      <c r="AK35" s="134">
        <f>'бюджет округа (района)'!T35+'бюджеты поселений'!T35</f>
        <v>0</v>
      </c>
      <c r="AL35" s="137">
        <f>'бюджет округа (района)'!T35</f>
        <v>0</v>
      </c>
      <c r="AM35" s="134">
        <f t="shared" si="186"/>
        <v>0</v>
      </c>
      <c r="AN35" s="134">
        <f t="shared" si="186"/>
        <v>0</v>
      </c>
      <c r="AO35" s="134">
        <f>'бюджет округа (района)'!V35+'бюджеты поселений'!V35</f>
        <v>0</v>
      </c>
      <c r="AP35" s="137">
        <f>'бюджет округа (района)'!V35</f>
        <v>0</v>
      </c>
      <c r="AQ35" s="134">
        <f t="shared" si="187"/>
        <v>0</v>
      </c>
      <c r="AR35" s="134">
        <f t="shared" si="187"/>
        <v>0</v>
      </c>
      <c r="AS35" s="134">
        <f>'бюджет округа (района)'!X35+'бюджеты поселений'!X35</f>
        <v>0</v>
      </c>
      <c r="AT35" s="137">
        <f>'бюджет округа (района)'!X35</f>
        <v>0</v>
      </c>
      <c r="AU35" s="134">
        <f t="shared" si="188"/>
        <v>0</v>
      </c>
      <c r="AV35" s="134">
        <f t="shared" si="188"/>
        <v>0</v>
      </c>
      <c r="AW35" s="134">
        <f>'бюджет округа (района)'!Z35+'бюджеты поселений'!Z35</f>
        <v>0</v>
      </c>
      <c r="AX35" s="137">
        <f>'бюджет округа (района)'!Z35</f>
        <v>0</v>
      </c>
      <c r="AY35" s="134">
        <f>'бюджет округа (района)'!AA35+'бюджеты поселений'!AA35</f>
        <v>0</v>
      </c>
      <c r="AZ35" s="137">
        <f>'бюджет округа (района)'!AA35</f>
        <v>0</v>
      </c>
      <c r="BA35" s="135">
        <f t="shared" si="173"/>
        <v>1</v>
      </c>
      <c r="BB35" s="135">
        <f t="shared" si="173"/>
        <v>1</v>
      </c>
      <c r="BC35" s="134">
        <f>'бюджет округа (района)'!AC35+'бюджеты поселений'!AC35</f>
        <v>0</v>
      </c>
      <c r="BD35" s="137">
        <f>'бюджет округа (района)'!AC35</f>
        <v>0</v>
      </c>
      <c r="BE35" s="134">
        <f>'бюджет округа (района)'!AD35+'бюджеты поселений'!AD35</f>
        <v>0</v>
      </c>
      <c r="BF35" s="137">
        <f>'бюджет округа (района)'!AD35</f>
        <v>0</v>
      </c>
      <c r="BG35" s="134">
        <f t="shared" si="189"/>
        <v>0</v>
      </c>
      <c r="BH35" s="134">
        <f t="shared" si="189"/>
        <v>0</v>
      </c>
      <c r="BI35" s="135">
        <f t="shared" si="36"/>
        <v>1</v>
      </c>
      <c r="BJ35" s="135">
        <f t="shared" si="36"/>
        <v>1</v>
      </c>
      <c r="BK35" s="134">
        <f>'бюджет округа (района)'!AG35+'бюджеты поселений'!AG35</f>
        <v>0</v>
      </c>
      <c r="BL35" s="137">
        <f>'бюджет округа (района)'!AG35</f>
        <v>0</v>
      </c>
      <c r="BM35" s="134">
        <f t="shared" si="190"/>
        <v>0</v>
      </c>
      <c r="BN35" s="134">
        <f t="shared" si="190"/>
        <v>0</v>
      </c>
      <c r="BO35" s="135">
        <f t="shared" si="38"/>
        <v>1</v>
      </c>
      <c r="BP35" s="135">
        <f t="shared" si="38"/>
        <v>1</v>
      </c>
      <c r="BQ35" s="134">
        <f>'бюджет округа (района)'!AJ35+'бюджеты поселений'!AJ35</f>
        <v>0</v>
      </c>
      <c r="BR35" s="137">
        <f>'бюджет округа (района)'!AJ35</f>
        <v>0</v>
      </c>
      <c r="BS35" s="134">
        <f t="shared" si="191"/>
        <v>0</v>
      </c>
      <c r="BT35" s="134">
        <f t="shared" si="191"/>
        <v>0</v>
      </c>
      <c r="BU35" s="135">
        <f t="shared" si="40"/>
        <v>1</v>
      </c>
      <c r="BV35" s="135">
        <f t="shared" si="40"/>
        <v>1</v>
      </c>
      <c r="BW35" s="134">
        <f>'бюджет округа (района)'!AM35+'бюджеты поселений'!AM35</f>
        <v>0</v>
      </c>
      <c r="BX35" s="137">
        <f>'бюджет округа (района)'!AM35</f>
        <v>0</v>
      </c>
      <c r="BY35" s="134">
        <f t="shared" si="192"/>
        <v>0</v>
      </c>
      <c r="BZ35" s="134">
        <f t="shared" si="192"/>
        <v>0</v>
      </c>
      <c r="CA35" s="135">
        <f t="shared" si="42"/>
        <v>1</v>
      </c>
      <c r="CB35" s="135">
        <f t="shared" si="42"/>
        <v>1</v>
      </c>
      <c r="CC35" s="134">
        <f>'бюджет округа (района)'!AP35+'бюджеты поселений'!AP35</f>
        <v>0</v>
      </c>
      <c r="CD35" s="137">
        <f>'бюджет округа (района)'!AP35</f>
        <v>0</v>
      </c>
      <c r="CE35" s="134">
        <f t="shared" si="193"/>
        <v>0</v>
      </c>
      <c r="CF35" s="134">
        <f t="shared" si="193"/>
        <v>0</v>
      </c>
      <c r="CG35" s="135">
        <f t="shared" si="44"/>
        <v>1</v>
      </c>
      <c r="CH35" s="135">
        <f t="shared" si="44"/>
        <v>1</v>
      </c>
      <c r="CI35" s="134">
        <f>'бюджет округа (района)'!AS35+'бюджеты поселений'!AS35</f>
        <v>0</v>
      </c>
      <c r="CJ35" s="137">
        <f>'бюджет округа (района)'!AS35</f>
        <v>0</v>
      </c>
      <c r="CK35" s="134">
        <f t="shared" si="194"/>
        <v>0</v>
      </c>
      <c r="CL35" s="134">
        <f t="shared" si="194"/>
        <v>0</v>
      </c>
      <c r="CM35" s="135">
        <f t="shared" si="46"/>
        <v>1</v>
      </c>
      <c r="CN35" s="135">
        <f t="shared" si="46"/>
        <v>1</v>
      </c>
      <c r="CO35" s="134">
        <f>'бюджет округа (района)'!AV35+'бюджеты поселений'!AV35</f>
        <v>0</v>
      </c>
      <c r="CP35" s="137">
        <f>'бюджет округа (района)'!AV35</f>
        <v>0</v>
      </c>
      <c r="CQ35" s="134">
        <f t="shared" si="195"/>
        <v>0</v>
      </c>
      <c r="CR35" s="134">
        <f t="shared" si="195"/>
        <v>0</v>
      </c>
      <c r="CS35" s="135">
        <f t="shared" si="48"/>
        <v>1</v>
      </c>
      <c r="CT35" s="135">
        <f t="shared" si="48"/>
        <v>1</v>
      </c>
      <c r="CU35" s="134">
        <f>'бюджет округа (района)'!AY35+'бюджеты поселений'!AY35</f>
        <v>0</v>
      </c>
      <c r="CV35" s="137">
        <f>'бюджет округа (района)'!AY35</f>
        <v>0</v>
      </c>
      <c r="CW35" s="134">
        <f t="shared" si="196"/>
        <v>0</v>
      </c>
      <c r="CX35" s="134">
        <f t="shared" si="196"/>
        <v>0</v>
      </c>
      <c r="CY35" s="135">
        <f t="shared" si="50"/>
        <v>1</v>
      </c>
      <c r="CZ35" s="135">
        <f t="shared" si="50"/>
        <v>1</v>
      </c>
      <c r="DA35" s="134">
        <f>'бюджет округа (района)'!BB35+'бюджеты поселений'!BB35</f>
        <v>0</v>
      </c>
      <c r="DB35" s="137">
        <f>'бюджет округа (района)'!BB35</f>
        <v>0</v>
      </c>
      <c r="DC35" s="134">
        <f t="shared" si="197"/>
        <v>0</v>
      </c>
      <c r="DD35" s="134">
        <f t="shared" si="197"/>
        <v>0</v>
      </c>
      <c r="DE35" s="135">
        <f t="shared" si="52"/>
        <v>1</v>
      </c>
      <c r="DF35" s="135">
        <f t="shared" si="52"/>
        <v>1</v>
      </c>
      <c r="DG35" s="134">
        <f>'бюджет округа (района)'!BE35+'бюджеты поселений'!BE35</f>
        <v>0</v>
      </c>
      <c r="DH35" s="137">
        <f>'бюджет округа (района)'!BE35</f>
        <v>0</v>
      </c>
      <c r="DI35" s="134">
        <f t="shared" si="198"/>
        <v>0</v>
      </c>
      <c r="DJ35" s="134">
        <f t="shared" si="198"/>
        <v>0</v>
      </c>
      <c r="DK35" s="135">
        <f t="shared" si="54"/>
        <v>1</v>
      </c>
      <c r="DL35" s="135">
        <f t="shared" si="54"/>
        <v>1</v>
      </c>
      <c r="DM35" s="134">
        <f>'бюджет округа (района)'!BH35+'бюджеты поселений'!BH35</f>
        <v>0</v>
      </c>
      <c r="DN35" s="137">
        <f>'бюджет округа (района)'!BH35</f>
        <v>0</v>
      </c>
      <c r="DO35" s="134">
        <f>'бюджет округа (района)'!BI35+'бюджеты поселений'!BI35</f>
        <v>0</v>
      </c>
      <c r="DP35" s="137">
        <f>'бюджет округа (района)'!BI35</f>
        <v>0</v>
      </c>
      <c r="DQ35" s="134">
        <f>'бюджет округа (района)'!BJ35+'бюджеты поселений'!BJ35</f>
        <v>0</v>
      </c>
      <c r="DR35" s="137">
        <f>'бюджет округа (района)'!BJ35</f>
        <v>0</v>
      </c>
      <c r="DS35" s="135">
        <f>IF($AY$35=0,1,DQ35/$AY$35-1)</f>
        <v>1</v>
      </c>
      <c r="DT35" s="135">
        <f>IF($AZ$35=0,1,DR35/$AZ$35-1)</f>
        <v>1</v>
      </c>
      <c r="DU35" s="135">
        <f t="shared" si="58"/>
        <v>1</v>
      </c>
      <c r="DV35" s="135">
        <f t="shared" si="59"/>
        <v>1</v>
      </c>
      <c r="DW35" s="167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  <c r="IW35" s="65"/>
      <c r="IX35" s="65"/>
      <c r="IY35" s="65"/>
      <c r="IZ35" s="65"/>
      <c r="JA35" s="65"/>
      <c r="JB35" s="65"/>
      <c r="JC35" s="65"/>
      <c r="JD35" s="65"/>
      <c r="JE35" s="65"/>
      <c r="JF35" s="65"/>
      <c r="JG35" s="65"/>
      <c r="JH35" s="65"/>
    </row>
    <row r="36" spans="1:268" s="66" customFormat="1" ht="18" customHeight="1">
      <c r="A36" s="298" t="s">
        <v>93</v>
      </c>
      <c r="B36" s="299"/>
      <c r="C36" s="134">
        <f>'бюджет округа (района)'!C36+'бюджеты поселений'!C36</f>
        <v>0</v>
      </c>
      <c r="D36" s="137">
        <f>'бюджет округа (района)'!C36</f>
        <v>0</v>
      </c>
      <c r="E36" s="134">
        <f t="shared" si="150"/>
        <v>0</v>
      </c>
      <c r="F36" s="137">
        <f t="shared" si="150"/>
        <v>0</v>
      </c>
      <c r="G36" s="134">
        <f>'бюджет округа (района)'!E36+'бюджеты поселений'!E36</f>
        <v>0</v>
      </c>
      <c r="H36" s="137">
        <f>'бюджет округа (района)'!E36</f>
        <v>0</v>
      </c>
      <c r="I36" s="134">
        <f>'бюджет округа (района)'!F36+'бюджеты поселений'!F36</f>
        <v>0</v>
      </c>
      <c r="J36" s="137">
        <f>'бюджет округа (района)'!F36</f>
        <v>0</v>
      </c>
      <c r="K36" s="134">
        <f t="shared" si="151"/>
        <v>0</v>
      </c>
      <c r="L36" s="134">
        <f t="shared" si="151"/>
        <v>0</v>
      </c>
      <c r="M36" s="134">
        <f>'бюджет округа (района)'!H36+'бюджеты поселений'!H36</f>
        <v>0</v>
      </c>
      <c r="N36" s="137">
        <f>'бюджет округа (района)'!H36</f>
        <v>0</v>
      </c>
      <c r="O36" s="134">
        <f t="shared" si="152"/>
        <v>0</v>
      </c>
      <c r="P36" s="134">
        <f t="shared" si="152"/>
        <v>0</v>
      </c>
      <c r="Q36" s="134">
        <f>'бюджет округа (района)'!J36+'бюджеты поселений'!J36</f>
        <v>0</v>
      </c>
      <c r="R36" s="137">
        <f>'бюджет округа (района)'!J36</f>
        <v>0</v>
      </c>
      <c r="S36" s="134">
        <f t="shared" si="153"/>
        <v>0</v>
      </c>
      <c r="T36" s="134">
        <f t="shared" si="153"/>
        <v>0</v>
      </c>
      <c r="U36" s="134">
        <f>'бюджет округа (района)'!L36+'бюджеты поселений'!L36</f>
        <v>0</v>
      </c>
      <c r="V36" s="137">
        <f>'бюджет округа (района)'!L36</f>
        <v>0</v>
      </c>
      <c r="W36" s="134">
        <f t="shared" si="154"/>
        <v>0</v>
      </c>
      <c r="X36" s="134">
        <f t="shared" si="154"/>
        <v>0</v>
      </c>
      <c r="Y36" s="134">
        <f>'бюджет округа (района)'!N36+'бюджеты поселений'!N36</f>
        <v>0</v>
      </c>
      <c r="Z36" s="137">
        <f>'бюджет округа (района)'!N36</f>
        <v>0</v>
      </c>
      <c r="AA36" s="134">
        <f t="shared" si="155"/>
        <v>0</v>
      </c>
      <c r="AB36" s="134">
        <f t="shared" si="155"/>
        <v>0</v>
      </c>
      <c r="AC36" s="134">
        <f>'бюджет округа (района)'!P36+'бюджеты поселений'!P36</f>
        <v>0</v>
      </c>
      <c r="AD36" s="137">
        <f>'бюджет округа (района)'!P36</f>
        <v>0</v>
      </c>
      <c r="AE36" s="134">
        <f t="shared" si="156"/>
        <v>0</v>
      </c>
      <c r="AF36" s="134">
        <f t="shared" si="156"/>
        <v>0</v>
      </c>
      <c r="AG36" s="134">
        <f>'бюджет округа (района)'!R36+'бюджеты поселений'!R36</f>
        <v>0</v>
      </c>
      <c r="AH36" s="137">
        <f>'бюджет округа (района)'!R36</f>
        <v>0</v>
      </c>
      <c r="AI36" s="134">
        <f t="shared" si="185"/>
        <v>0</v>
      </c>
      <c r="AJ36" s="134">
        <f t="shared" si="185"/>
        <v>0</v>
      </c>
      <c r="AK36" s="134">
        <f>'бюджет округа (района)'!T36+'бюджеты поселений'!T36</f>
        <v>0</v>
      </c>
      <c r="AL36" s="137">
        <f>'бюджет округа (района)'!T36</f>
        <v>0</v>
      </c>
      <c r="AM36" s="134">
        <f t="shared" si="186"/>
        <v>0</v>
      </c>
      <c r="AN36" s="134">
        <f t="shared" si="186"/>
        <v>0</v>
      </c>
      <c r="AO36" s="134">
        <f>'бюджет округа (района)'!V36+'бюджеты поселений'!V36</f>
        <v>0</v>
      </c>
      <c r="AP36" s="137">
        <f>'бюджет округа (района)'!V36</f>
        <v>0</v>
      </c>
      <c r="AQ36" s="134">
        <f t="shared" si="187"/>
        <v>0</v>
      </c>
      <c r="AR36" s="134">
        <f t="shared" si="187"/>
        <v>0</v>
      </c>
      <c r="AS36" s="134">
        <f>'бюджет округа (района)'!X36+'бюджеты поселений'!X36</f>
        <v>0</v>
      </c>
      <c r="AT36" s="137">
        <f>'бюджет округа (района)'!X36</f>
        <v>0</v>
      </c>
      <c r="AU36" s="134">
        <f t="shared" si="188"/>
        <v>0</v>
      </c>
      <c r="AV36" s="134">
        <f t="shared" si="188"/>
        <v>0</v>
      </c>
      <c r="AW36" s="134">
        <f>'бюджет округа (района)'!Z36+'бюджеты поселений'!Z36</f>
        <v>0</v>
      </c>
      <c r="AX36" s="137">
        <f>'бюджет округа (района)'!Z36</f>
        <v>0</v>
      </c>
      <c r="AY36" s="134">
        <f>'бюджет округа (района)'!AA36+'бюджеты поселений'!AA36</f>
        <v>0</v>
      </c>
      <c r="AZ36" s="137">
        <f>'бюджет округа (района)'!AA36</f>
        <v>0</v>
      </c>
      <c r="BA36" s="135">
        <f t="shared" si="173"/>
        <v>1</v>
      </c>
      <c r="BB36" s="135">
        <f t="shared" si="173"/>
        <v>1</v>
      </c>
      <c r="BC36" s="134">
        <f>'бюджет округа (района)'!AC36+'бюджеты поселений'!AC36</f>
        <v>0</v>
      </c>
      <c r="BD36" s="137">
        <f>'бюджет округа (района)'!AC36</f>
        <v>0</v>
      </c>
      <c r="BE36" s="134">
        <f>'бюджет округа (района)'!AD36+'бюджеты поселений'!AD36</f>
        <v>0</v>
      </c>
      <c r="BF36" s="137">
        <f>'бюджет округа (района)'!AD36</f>
        <v>0</v>
      </c>
      <c r="BG36" s="134">
        <f t="shared" si="189"/>
        <v>0</v>
      </c>
      <c r="BH36" s="134">
        <f t="shared" si="189"/>
        <v>0</v>
      </c>
      <c r="BI36" s="135">
        <f t="shared" si="36"/>
        <v>1</v>
      </c>
      <c r="BJ36" s="135">
        <f t="shared" si="36"/>
        <v>1</v>
      </c>
      <c r="BK36" s="134">
        <f>'бюджет округа (района)'!AG36+'бюджеты поселений'!AG36</f>
        <v>0</v>
      </c>
      <c r="BL36" s="137">
        <f>'бюджет округа (района)'!AG36</f>
        <v>0</v>
      </c>
      <c r="BM36" s="134">
        <f t="shared" si="190"/>
        <v>0</v>
      </c>
      <c r="BN36" s="134">
        <f t="shared" si="190"/>
        <v>0</v>
      </c>
      <c r="BO36" s="135">
        <f t="shared" si="38"/>
        <v>1</v>
      </c>
      <c r="BP36" s="135">
        <f t="shared" si="38"/>
        <v>1</v>
      </c>
      <c r="BQ36" s="134">
        <f>'бюджет округа (района)'!AJ36+'бюджеты поселений'!AJ36</f>
        <v>0</v>
      </c>
      <c r="BR36" s="137">
        <f>'бюджет округа (района)'!AJ36</f>
        <v>0</v>
      </c>
      <c r="BS36" s="134">
        <f t="shared" si="191"/>
        <v>0</v>
      </c>
      <c r="BT36" s="134">
        <f t="shared" si="191"/>
        <v>0</v>
      </c>
      <c r="BU36" s="135">
        <f t="shared" si="40"/>
        <v>1</v>
      </c>
      <c r="BV36" s="135">
        <f t="shared" si="40"/>
        <v>1</v>
      </c>
      <c r="BW36" s="134">
        <f>'бюджет округа (района)'!AM36+'бюджеты поселений'!AM36</f>
        <v>0</v>
      </c>
      <c r="BX36" s="137">
        <f>'бюджет округа (района)'!AM36</f>
        <v>0</v>
      </c>
      <c r="BY36" s="134">
        <f t="shared" si="192"/>
        <v>0</v>
      </c>
      <c r="BZ36" s="134">
        <f t="shared" si="192"/>
        <v>0</v>
      </c>
      <c r="CA36" s="135">
        <f t="shared" si="42"/>
        <v>1</v>
      </c>
      <c r="CB36" s="135">
        <f t="shared" si="42"/>
        <v>1</v>
      </c>
      <c r="CC36" s="134">
        <f>'бюджет округа (района)'!AP36+'бюджеты поселений'!AP36</f>
        <v>0</v>
      </c>
      <c r="CD36" s="137">
        <f>'бюджет округа (района)'!AP36</f>
        <v>0</v>
      </c>
      <c r="CE36" s="134">
        <f t="shared" si="193"/>
        <v>0</v>
      </c>
      <c r="CF36" s="134">
        <f t="shared" si="193"/>
        <v>0</v>
      </c>
      <c r="CG36" s="135">
        <f t="shared" si="44"/>
        <v>1</v>
      </c>
      <c r="CH36" s="135">
        <f t="shared" si="44"/>
        <v>1</v>
      </c>
      <c r="CI36" s="134">
        <f>'бюджет округа (района)'!AS36+'бюджеты поселений'!AS36</f>
        <v>0</v>
      </c>
      <c r="CJ36" s="137">
        <f>'бюджет округа (района)'!AS36</f>
        <v>0</v>
      </c>
      <c r="CK36" s="134">
        <f t="shared" si="194"/>
        <v>0</v>
      </c>
      <c r="CL36" s="134">
        <f t="shared" si="194"/>
        <v>0</v>
      </c>
      <c r="CM36" s="135">
        <f t="shared" si="46"/>
        <v>1</v>
      </c>
      <c r="CN36" s="135">
        <f t="shared" si="46"/>
        <v>1</v>
      </c>
      <c r="CO36" s="134">
        <f>'бюджет округа (района)'!AV36+'бюджеты поселений'!AV36</f>
        <v>0</v>
      </c>
      <c r="CP36" s="137">
        <f>'бюджет округа (района)'!AV36</f>
        <v>0</v>
      </c>
      <c r="CQ36" s="134">
        <f t="shared" si="195"/>
        <v>0</v>
      </c>
      <c r="CR36" s="134">
        <f t="shared" si="195"/>
        <v>0</v>
      </c>
      <c r="CS36" s="135">
        <f t="shared" si="48"/>
        <v>1</v>
      </c>
      <c r="CT36" s="135">
        <f t="shared" si="48"/>
        <v>1</v>
      </c>
      <c r="CU36" s="134">
        <f>'бюджет округа (района)'!AY36+'бюджеты поселений'!AY36</f>
        <v>0</v>
      </c>
      <c r="CV36" s="137">
        <f>'бюджет округа (района)'!AY36</f>
        <v>0</v>
      </c>
      <c r="CW36" s="134">
        <f t="shared" si="196"/>
        <v>0</v>
      </c>
      <c r="CX36" s="134">
        <f t="shared" si="196"/>
        <v>0</v>
      </c>
      <c r="CY36" s="135">
        <f t="shared" si="50"/>
        <v>1</v>
      </c>
      <c r="CZ36" s="135">
        <f t="shared" si="50"/>
        <v>1</v>
      </c>
      <c r="DA36" s="134">
        <f>'бюджет округа (района)'!BB36+'бюджеты поселений'!BB36</f>
        <v>0</v>
      </c>
      <c r="DB36" s="137">
        <f>'бюджет округа (района)'!BB36</f>
        <v>0</v>
      </c>
      <c r="DC36" s="134">
        <f t="shared" si="197"/>
        <v>0</v>
      </c>
      <c r="DD36" s="134">
        <f t="shared" si="197"/>
        <v>0</v>
      </c>
      <c r="DE36" s="135">
        <f t="shared" si="52"/>
        <v>1</v>
      </c>
      <c r="DF36" s="135">
        <f t="shared" si="52"/>
        <v>1</v>
      </c>
      <c r="DG36" s="134">
        <f>'бюджет округа (района)'!BE36+'бюджеты поселений'!BE36</f>
        <v>0</v>
      </c>
      <c r="DH36" s="137">
        <f>'бюджет округа (района)'!BE36</f>
        <v>0</v>
      </c>
      <c r="DI36" s="134">
        <f t="shared" si="198"/>
        <v>0</v>
      </c>
      <c r="DJ36" s="134">
        <f t="shared" si="198"/>
        <v>0</v>
      </c>
      <c r="DK36" s="135">
        <f t="shared" si="54"/>
        <v>1</v>
      </c>
      <c r="DL36" s="135">
        <f t="shared" si="54"/>
        <v>1</v>
      </c>
      <c r="DM36" s="134">
        <f>'бюджет округа (района)'!BH36+'бюджеты поселений'!BH36</f>
        <v>0</v>
      </c>
      <c r="DN36" s="137">
        <f>'бюджет округа (района)'!BH36</f>
        <v>0</v>
      </c>
      <c r="DO36" s="134">
        <f>'бюджет округа (района)'!BI36+'бюджеты поселений'!BI36</f>
        <v>0</v>
      </c>
      <c r="DP36" s="137">
        <f>'бюджет округа (района)'!BI36</f>
        <v>0</v>
      </c>
      <c r="DQ36" s="134">
        <f>'бюджет округа (района)'!BJ36+'бюджеты поселений'!BJ36</f>
        <v>0</v>
      </c>
      <c r="DR36" s="137">
        <f>'бюджет округа (района)'!BJ36</f>
        <v>0</v>
      </c>
      <c r="DS36" s="135">
        <f>IF($AY$36=0,1,DQ36/$AY$36-1)</f>
        <v>1</v>
      </c>
      <c r="DT36" s="135">
        <f>IF($AZ$36=0,1,DR36/$AZ$36-1)</f>
        <v>1</v>
      </c>
      <c r="DU36" s="135">
        <f t="shared" si="58"/>
        <v>1</v>
      </c>
      <c r="DV36" s="135">
        <f t="shared" si="59"/>
        <v>1</v>
      </c>
      <c r="DW36" s="167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  <c r="IQ36" s="65"/>
      <c r="IR36" s="65"/>
      <c r="IS36" s="65"/>
      <c r="IT36" s="65"/>
      <c r="IU36" s="65"/>
      <c r="IV36" s="65"/>
      <c r="IW36" s="65"/>
      <c r="IX36" s="65"/>
      <c r="IY36" s="65"/>
      <c r="IZ36" s="65"/>
      <c r="JA36" s="65"/>
      <c r="JB36" s="65"/>
      <c r="JC36" s="65"/>
      <c r="JD36" s="65"/>
      <c r="JE36" s="65"/>
      <c r="JF36" s="65"/>
      <c r="JG36" s="65"/>
      <c r="JH36" s="65"/>
    </row>
    <row r="37" spans="1:268" s="18" customFormat="1" ht="23.25" customHeight="1">
      <c r="A37" s="279" t="s">
        <v>49</v>
      </c>
      <c r="B37" s="280"/>
      <c r="C37" s="130">
        <f>C38+C43+C44+C45+C46+C47</f>
        <v>0</v>
      </c>
      <c r="D37" s="130">
        <f t="shared" ref="D37:AV37" si="200">D38+D43+D44+D45+D46+D47</f>
        <v>0</v>
      </c>
      <c r="E37" s="130">
        <f t="shared" si="200"/>
        <v>0</v>
      </c>
      <c r="F37" s="130">
        <f t="shared" si="200"/>
        <v>0</v>
      </c>
      <c r="G37" s="130">
        <f>G38+G43+G44+G45+G46+G47</f>
        <v>0</v>
      </c>
      <c r="H37" s="130">
        <f t="shared" ref="H37" si="201">H38+H43+H44+H45+H46+H47</f>
        <v>0</v>
      </c>
      <c r="I37" s="130">
        <f>I38+I43+I44+I45+I46+I47</f>
        <v>0</v>
      </c>
      <c r="J37" s="130">
        <f t="shared" ref="J37" si="202">J38+J43+J44+J45+J46+J47</f>
        <v>0</v>
      </c>
      <c r="K37" s="130">
        <f t="shared" si="200"/>
        <v>0</v>
      </c>
      <c r="L37" s="130">
        <f t="shared" si="200"/>
        <v>0</v>
      </c>
      <c r="M37" s="130">
        <f>M38+M43+M44+M45+M46+M47</f>
        <v>0</v>
      </c>
      <c r="N37" s="130">
        <f t="shared" ref="N37" si="203">N38+N43+N44+N45+N46+N47</f>
        <v>0</v>
      </c>
      <c r="O37" s="130">
        <f t="shared" si="200"/>
        <v>0</v>
      </c>
      <c r="P37" s="130">
        <f t="shared" si="200"/>
        <v>0</v>
      </c>
      <c r="Q37" s="130">
        <f>Q38+Q43+Q44+Q45+Q46+Q47</f>
        <v>0</v>
      </c>
      <c r="R37" s="130">
        <f t="shared" ref="R37" si="204">R38+R43+R44+R45+R46+R47</f>
        <v>0</v>
      </c>
      <c r="S37" s="130">
        <f t="shared" si="200"/>
        <v>0</v>
      </c>
      <c r="T37" s="130">
        <f t="shared" si="200"/>
        <v>0</v>
      </c>
      <c r="U37" s="130">
        <f>U38+U43+U44+U45+U46+U47</f>
        <v>0</v>
      </c>
      <c r="V37" s="130">
        <f t="shared" ref="V37" si="205">V38+V43+V44+V45+V46+V47</f>
        <v>0</v>
      </c>
      <c r="W37" s="130">
        <f t="shared" si="200"/>
        <v>0</v>
      </c>
      <c r="X37" s="130">
        <f t="shared" si="200"/>
        <v>0</v>
      </c>
      <c r="Y37" s="130">
        <f>Y38+Y43+Y44+Y45+Y46+Y47</f>
        <v>0</v>
      </c>
      <c r="Z37" s="130">
        <f t="shared" ref="Z37" si="206">Z38+Z43+Z44+Z45+Z46+Z47</f>
        <v>0</v>
      </c>
      <c r="AA37" s="130">
        <f t="shared" si="200"/>
        <v>0</v>
      </c>
      <c r="AB37" s="130">
        <f t="shared" si="200"/>
        <v>0</v>
      </c>
      <c r="AC37" s="130">
        <f>AC38+AC43+AC44+AC45+AC46+AC47</f>
        <v>0</v>
      </c>
      <c r="AD37" s="130">
        <f t="shared" ref="AD37" si="207">AD38+AD43+AD44+AD45+AD46+AD47</f>
        <v>0</v>
      </c>
      <c r="AE37" s="130">
        <f t="shared" si="200"/>
        <v>0</v>
      </c>
      <c r="AF37" s="130">
        <f t="shared" si="200"/>
        <v>0</v>
      </c>
      <c r="AG37" s="130">
        <f>AG38+AG43+AG44+AG45+AG46+AG47</f>
        <v>0</v>
      </c>
      <c r="AH37" s="130">
        <f t="shared" ref="AH37" si="208">AH38+AH43+AH44+AH45+AH46+AH47</f>
        <v>0</v>
      </c>
      <c r="AI37" s="130">
        <f t="shared" si="200"/>
        <v>0</v>
      </c>
      <c r="AJ37" s="130">
        <f t="shared" si="200"/>
        <v>0</v>
      </c>
      <c r="AK37" s="130">
        <f>AK38+AK43+AK44+AK45+AK46+AK47</f>
        <v>0</v>
      </c>
      <c r="AL37" s="130">
        <f t="shared" ref="AL37" si="209">AL38+AL43+AL44+AL45+AL46+AL47</f>
        <v>0</v>
      </c>
      <c r="AM37" s="130">
        <f t="shared" si="200"/>
        <v>0</v>
      </c>
      <c r="AN37" s="130">
        <f t="shared" si="200"/>
        <v>0</v>
      </c>
      <c r="AO37" s="130">
        <f>AO38+AO43+AO44+AO45+AO46+AO47</f>
        <v>0</v>
      </c>
      <c r="AP37" s="130">
        <f t="shared" ref="AP37" si="210">AP38+AP43+AP44+AP45+AP46+AP47</f>
        <v>0</v>
      </c>
      <c r="AQ37" s="130">
        <f t="shared" si="200"/>
        <v>0</v>
      </c>
      <c r="AR37" s="130">
        <f t="shared" si="200"/>
        <v>0</v>
      </c>
      <c r="AS37" s="130">
        <f>AS38+AS43+AS44+AS45+AS46+AS47</f>
        <v>0</v>
      </c>
      <c r="AT37" s="130">
        <f t="shared" ref="AT37" si="211">AT38+AT43+AT44+AT45+AT46+AT47</f>
        <v>0</v>
      </c>
      <c r="AU37" s="130">
        <f t="shared" si="200"/>
        <v>0</v>
      </c>
      <c r="AV37" s="130">
        <f t="shared" si="200"/>
        <v>0</v>
      </c>
      <c r="AW37" s="130">
        <f>AW38+AW43+AW44+AW45+AW46+AW47</f>
        <v>0</v>
      </c>
      <c r="AX37" s="130">
        <f t="shared" ref="AX37" si="212">AX38+AX43+AX44+AX45+AX46+AX47</f>
        <v>0</v>
      </c>
      <c r="AY37" s="130">
        <f>AY38+AY43+AY44+AY45+AY46+AY47</f>
        <v>0</v>
      </c>
      <c r="AZ37" s="130">
        <f t="shared" ref="AZ37" si="213">AZ38+AZ43+AZ44+AZ45+AZ46+AZ47</f>
        <v>0</v>
      </c>
      <c r="BA37" s="131">
        <f t="shared" si="173"/>
        <v>1</v>
      </c>
      <c r="BB37" s="131">
        <f t="shared" si="173"/>
        <v>1</v>
      </c>
      <c r="BC37" s="130">
        <f>BC38+BC43+BC44+BC45+BC46+BC47</f>
        <v>0</v>
      </c>
      <c r="BD37" s="130">
        <f t="shared" ref="BD37" si="214">BD38+BD43+BD44+BD45+BD46+BD47</f>
        <v>0</v>
      </c>
      <c r="BE37" s="130">
        <f>BE38+BE43+BE44+BE45+BE46+BE47</f>
        <v>0</v>
      </c>
      <c r="BF37" s="130">
        <f t="shared" ref="BF37:DJ37" si="215">BF38+BF43+BF44+BF45+BF46+BF47</f>
        <v>0</v>
      </c>
      <c r="BG37" s="130">
        <f t="shared" si="215"/>
        <v>0</v>
      </c>
      <c r="BH37" s="130">
        <f t="shared" si="215"/>
        <v>0</v>
      </c>
      <c r="BI37" s="131">
        <f t="shared" si="36"/>
        <v>1</v>
      </c>
      <c r="BJ37" s="131">
        <f t="shared" si="36"/>
        <v>1</v>
      </c>
      <c r="BK37" s="130">
        <f>BK38+BK43+BK44+BK45+BK46+BK47</f>
        <v>0</v>
      </c>
      <c r="BL37" s="130">
        <f t="shared" ref="BL37" si="216">BL38+BL43+BL44+BL45+BL46+BL47</f>
        <v>0</v>
      </c>
      <c r="BM37" s="130">
        <f t="shared" si="215"/>
        <v>0</v>
      </c>
      <c r="BN37" s="130">
        <f t="shared" si="215"/>
        <v>0</v>
      </c>
      <c r="BO37" s="131">
        <f t="shared" si="38"/>
        <v>1</v>
      </c>
      <c r="BP37" s="131">
        <f t="shared" si="38"/>
        <v>1</v>
      </c>
      <c r="BQ37" s="130">
        <f>BQ38+BQ43+BQ44+BQ45+BQ46+BQ47</f>
        <v>0</v>
      </c>
      <c r="BR37" s="130">
        <f t="shared" ref="BR37" si="217">BR38+BR43+BR44+BR45+BR46+BR47</f>
        <v>0</v>
      </c>
      <c r="BS37" s="130">
        <f t="shared" si="215"/>
        <v>0</v>
      </c>
      <c r="BT37" s="130">
        <f t="shared" si="215"/>
        <v>0</v>
      </c>
      <c r="BU37" s="131">
        <f t="shared" si="40"/>
        <v>1</v>
      </c>
      <c r="BV37" s="131">
        <f t="shared" si="40"/>
        <v>1</v>
      </c>
      <c r="BW37" s="130">
        <f>BW38+BW43+BW44+BW45+BW46+BW47</f>
        <v>0</v>
      </c>
      <c r="BX37" s="130">
        <f t="shared" ref="BX37" si="218">BX38+BX43+BX44+BX45+BX46+BX47</f>
        <v>0</v>
      </c>
      <c r="BY37" s="130">
        <f t="shared" si="215"/>
        <v>0</v>
      </c>
      <c r="BZ37" s="130">
        <f t="shared" si="215"/>
        <v>0</v>
      </c>
      <c r="CA37" s="131">
        <f t="shared" si="42"/>
        <v>1</v>
      </c>
      <c r="CB37" s="131">
        <f t="shared" si="42"/>
        <v>1</v>
      </c>
      <c r="CC37" s="130">
        <f>CC38+CC43+CC44+CC45+CC46+CC47</f>
        <v>0</v>
      </c>
      <c r="CD37" s="130">
        <f t="shared" ref="CD37" si="219">CD38+CD43+CD44+CD45+CD46+CD47</f>
        <v>0</v>
      </c>
      <c r="CE37" s="130">
        <f t="shared" si="215"/>
        <v>0</v>
      </c>
      <c r="CF37" s="130">
        <f t="shared" si="215"/>
        <v>0</v>
      </c>
      <c r="CG37" s="131">
        <f t="shared" si="44"/>
        <v>1</v>
      </c>
      <c r="CH37" s="131">
        <f t="shared" si="44"/>
        <v>1</v>
      </c>
      <c r="CI37" s="130">
        <f>CI38+CI43+CI44+CI45+CI46+CI47</f>
        <v>0</v>
      </c>
      <c r="CJ37" s="130">
        <f t="shared" ref="CJ37" si="220">CJ38+CJ43+CJ44+CJ45+CJ46+CJ47</f>
        <v>0</v>
      </c>
      <c r="CK37" s="130">
        <f t="shared" si="215"/>
        <v>0</v>
      </c>
      <c r="CL37" s="130">
        <f t="shared" si="215"/>
        <v>0</v>
      </c>
      <c r="CM37" s="131">
        <f t="shared" si="46"/>
        <v>1</v>
      </c>
      <c r="CN37" s="131">
        <f t="shared" si="46"/>
        <v>1</v>
      </c>
      <c r="CO37" s="130">
        <f>CO38+CO43+CO44+CO45+CO46+CO47</f>
        <v>0</v>
      </c>
      <c r="CP37" s="130">
        <f t="shared" ref="CP37" si="221">CP38+CP43+CP44+CP45+CP46+CP47</f>
        <v>0</v>
      </c>
      <c r="CQ37" s="130">
        <f t="shared" si="215"/>
        <v>0</v>
      </c>
      <c r="CR37" s="130">
        <f t="shared" si="215"/>
        <v>0</v>
      </c>
      <c r="CS37" s="131">
        <f t="shared" si="48"/>
        <v>1</v>
      </c>
      <c r="CT37" s="131">
        <f t="shared" si="48"/>
        <v>1</v>
      </c>
      <c r="CU37" s="130">
        <f>CU38+CU43+CU44+CU45+CU46+CU47</f>
        <v>0</v>
      </c>
      <c r="CV37" s="130">
        <f t="shared" ref="CV37" si="222">CV38+CV43+CV44+CV45+CV46+CV47</f>
        <v>0</v>
      </c>
      <c r="CW37" s="130">
        <f t="shared" si="215"/>
        <v>0</v>
      </c>
      <c r="CX37" s="130">
        <f t="shared" si="215"/>
        <v>0</v>
      </c>
      <c r="CY37" s="131">
        <f t="shared" si="50"/>
        <v>1</v>
      </c>
      <c r="CZ37" s="131">
        <f t="shared" si="50"/>
        <v>1</v>
      </c>
      <c r="DA37" s="130">
        <f>DA38+DA43+DA44+DA45+DA46+DA47</f>
        <v>0</v>
      </c>
      <c r="DB37" s="130">
        <f t="shared" ref="DB37" si="223">DB38+DB43+DB44+DB45+DB46+DB47</f>
        <v>0</v>
      </c>
      <c r="DC37" s="130">
        <f t="shared" si="215"/>
        <v>0</v>
      </c>
      <c r="DD37" s="130">
        <f t="shared" si="215"/>
        <v>0</v>
      </c>
      <c r="DE37" s="131">
        <f t="shared" si="52"/>
        <v>1</v>
      </c>
      <c r="DF37" s="131">
        <f t="shared" si="52"/>
        <v>1</v>
      </c>
      <c r="DG37" s="130">
        <f>DG38+DG43+DG44+DG45+DG46+DG47</f>
        <v>0</v>
      </c>
      <c r="DH37" s="130">
        <f t="shared" ref="DH37" si="224">DH38+DH43+DH44+DH45+DH46+DH47</f>
        <v>0</v>
      </c>
      <c r="DI37" s="130">
        <f t="shared" si="215"/>
        <v>0</v>
      </c>
      <c r="DJ37" s="130">
        <f t="shared" si="215"/>
        <v>0</v>
      </c>
      <c r="DK37" s="131">
        <f t="shared" si="54"/>
        <v>1</v>
      </c>
      <c r="DL37" s="131">
        <f t="shared" si="54"/>
        <v>1</v>
      </c>
      <c r="DM37" s="130">
        <f>DM38+DM43+DM44+DM45+DM46+DM47</f>
        <v>0</v>
      </c>
      <c r="DN37" s="130">
        <f t="shared" ref="DN37" si="225">DN38+DN43+DN44+DN45+DN46+DN47</f>
        <v>0</v>
      </c>
      <c r="DO37" s="130">
        <f>DO38+DO43+DO44+DO45+DO46+DO47</f>
        <v>0</v>
      </c>
      <c r="DP37" s="130">
        <f t="shared" ref="DP37" si="226">DP38+DP43+DP44+DP45+DP46+DP47</f>
        <v>0</v>
      </c>
      <c r="DQ37" s="130">
        <f>DQ38+DQ43+DQ44+DQ45+DQ46+DQ47</f>
        <v>0</v>
      </c>
      <c r="DR37" s="130">
        <f t="shared" ref="DR37" si="227">DR38+DR43+DR44+DR45+DR46+DR47</f>
        <v>0</v>
      </c>
      <c r="DS37" s="131">
        <f>IF($AY$37=0,1,DQ37/$AY$37-1)</f>
        <v>1</v>
      </c>
      <c r="DT37" s="131">
        <f>IF($AZ$37=0,1,DR37/$AZ$37-1)</f>
        <v>1</v>
      </c>
      <c r="DU37" s="131">
        <f t="shared" si="58"/>
        <v>1</v>
      </c>
      <c r="DV37" s="131">
        <f t="shared" si="59"/>
        <v>1</v>
      </c>
      <c r="DW37" s="165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</row>
    <row r="38" spans="1:268" s="68" customFormat="1" ht="19.5" customHeight="1">
      <c r="A38" s="310" t="s">
        <v>100</v>
      </c>
      <c r="B38" s="311"/>
      <c r="C38" s="140">
        <f>C39+C40+C41+C42</f>
        <v>0</v>
      </c>
      <c r="D38" s="140">
        <f t="shared" ref="D38:AV38" si="228">D39+D40+D41+D42</f>
        <v>0</v>
      </c>
      <c r="E38" s="140">
        <f t="shared" si="228"/>
        <v>0</v>
      </c>
      <c r="F38" s="140">
        <f t="shared" si="228"/>
        <v>0</v>
      </c>
      <c r="G38" s="140">
        <f>G39+G40+G41+G42</f>
        <v>0</v>
      </c>
      <c r="H38" s="140">
        <f t="shared" ref="H38" si="229">H39+H40+H41+H42</f>
        <v>0</v>
      </c>
      <c r="I38" s="140">
        <f>I39+I40+I41+I42</f>
        <v>0</v>
      </c>
      <c r="J38" s="140">
        <f t="shared" ref="J38" si="230">J39+J40+J41+J42</f>
        <v>0</v>
      </c>
      <c r="K38" s="140">
        <f t="shared" si="228"/>
        <v>0</v>
      </c>
      <c r="L38" s="140">
        <f t="shared" si="228"/>
        <v>0</v>
      </c>
      <c r="M38" s="140">
        <f>M39+M40+M41+M42</f>
        <v>0</v>
      </c>
      <c r="N38" s="140">
        <f t="shared" ref="N38" si="231">N39+N40+N41+N42</f>
        <v>0</v>
      </c>
      <c r="O38" s="140">
        <f t="shared" si="228"/>
        <v>0</v>
      </c>
      <c r="P38" s="140">
        <f t="shared" si="228"/>
        <v>0</v>
      </c>
      <c r="Q38" s="140">
        <f>Q39+Q40+Q41+Q42</f>
        <v>0</v>
      </c>
      <c r="R38" s="140">
        <f t="shared" ref="R38" si="232">R39+R40+R41+R42</f>
        <v>0</v>
      </c>
      <c r="S38" s="140">
        <f t="shared" si="228"/>
        <v>0</v>
      </c>
      <c r="T38" s="140">
        <f t="shared" si="228"/>
        <v>0</v>
      </c>
      <c r="U38" s="140">
        <f>U39+U40+U41+U42</f>
        <v>0</v>
      </c>
      <c r="V38" s="140">
        <f t="shared" ref="V38" si="233">V39+V40+V41+V42</f>
        <v>0</v>
      </c>
      <c r="W38" s="140">
        <f t="shared" si="228"/>
        <v>0</v>
      </c>
      <c r="X38" s="140">
        <f t="shared" si="228"/>
        <v>0</v>
      </c>
      <c r="Y38" s="140">
        <f>Y39+Y40+Y41+Y42</f>
        <v>0</v>
      </c>
      <c r="Z38" s="140">
        <f t="shared" ref="Z38" si="234">Z39+Z40+Z41+Z42</f>
        <v>0</v>
      </c>
      <c r="AA38" s="140">
        <f t="shared" si="228"/>
        <v>0</v>
      </c>
      <c r="AB38" s="140">
        <f t="shared" si="228"/>
        <v>0</v>
      </c>
      <c r="AC38" s="140">
        <f>AC39+AC40+AC41+AC42</f>
        <v>0</v>
      </c>
      <c r="AD38" s="140">
        <f t="shared" ref="AD38" si="235">AD39+AD40+AD41+AD42</f>
        <v>0</v>
      </c>
      <c r="AE38" s="140">
        <f t="shared" si="228"/>
        <v>0</v>
      </c>
      <c r="AF38" s="140">
        <f t="shared" si="228"/>
        <v>0</v>
      </c>
      <c r="AG38" s="140">
        <f>AG39+AG40+AG41+AG42</f>
        <v>0</v>
      </c>
      <c r="AH38" s="140">
        <f t="shared" ref="AH38" si="236">AH39+AH40+AH41+AH42</f>
        <v>0</v>
      </c>
      <c r="AI38" s="140">
        <f t="shared" si="228"/>
        <v>0</v>
      </c>
      <c r="AJ38" s="140">
        <f t="shared" si="228"/>
        <v>0</v>
      </c>
      <c r="AK38" s="140">
        <f>AK39+AK40+AK41+AK42</f>
        <v>0</v>
      </c>
      <c r="AL38" s="140">
        <f t="shared" ref="AL38" si="237">AL39+AL40+AL41+AL42</f>
        <v>0</v>
      </c>
      <c r="AM38" s="140">
        <f t="shared" si="228"/>
        <v>0</v>
      </c>
      <c r="AN38" s="140">
        <f t="shared" si="228"/>
        <v>0</v>
      </c>
      <c r="AO38" s="140">
        <f>AO39+AO40+AO41+AO42</f>
        <v>0</v>
      </c>
      <c r="AP38" s="140">
        <f t="shared" ref="AP38" si="238">AP39+AP40+AP41+AP42</f>
        <v>0</v>
      </c>
      <c r="AQ38" s="140">
        <f t="shared" si="228"/>
        <v>0</v>
      </c>
      <c r="AR38" s="140">
        <f t="shared" si="228"/>
        <v>0</v>
      </c>
      <c r="AS38" s="140">
        <f>AS39+AS40+AS41+AS42</f>
        <v>0</v>
      </c>
      <c r="AT38" s="140">
        <f t="shared" ref="AT38" si="239">AT39+AT40+AT41+AT42</f>
        <v>0</v>
      </c>
      <c r="AU38" s="140">
        <f t="shared" si="228"/>
        <v>0</v>
      </c>
      <c r="AV38" s="140">
        <f t="shared" si="228"/>
        <v>0</v>
      </c>
      <c r="AW38" s="140">
        <f>AW39+AW40+AW41+AW42</f>
        <v>0</v>
      </c>
      <c r="AX38" s="140">
        <f t="shared" ref="AX38" si="240">AX39+AX40+AX41+AX42</f>
        <v>0</v>
      </c>
      <c r="AY38" s="140">
        <f>AY39+AY40+AY41+AY42</f>
        <v>0</v>
      </c>
      <c r="AZ38" s="140">
        <f t="shared" ref="AZ38" si="241">AZ39+AZ40+AZ41+AZ42</f>
        <v>0</v>
      </c>
      <c r="BA38" s="133">
        <f t="shared" si="173"/>
        <v>1</v>
      </c>
      <c r="BB38" s="133">
        <f t="shared" si="173"/>
        <v>1</v>
      </c>
      <c r="BC38" s="140">
        <f>BC39+BC40+BC41+BC42</f>
        <v>0</v>
      </c>
      <c r="BD38" s="140">
        <f t="shared" ref="BD38" si="242">BD39+BD40+BD41+BD42</f>
        <v>0</v>
      </c>
      <c r="BE38" s="140">
        <f>BE39+BE40+BE41+BE42</f>
        <v>0</v>
      </c>
      <c r="BF38" s="140">
        <f t="shared" ref="BF38:DJ38" si="243">BF39+BF40+BF41+BF42</f>
        <v>0</v>
      </c>
      <c r="BG38" s="140">
        <f t="shared" si="243"/>
        <v>0</v>
      </c>
      <c r="BH38" s="140">
        <f t="shared" si="243"/>
        <v>0</v>
      </c>
      <c r="BI38" s="133">
        <f t="shared" si="36"/>
        <v>1</v>
      </c>
      <c r="BJ38" s="133">
        <f t="shared" si="36"/>
        <v>1</v>
      </c>
      <c r="BK38" s="140">
        <f>BK39+BK40+BK41+BK42</f>
        <v>0</v>
      </c>
      <c r="BL38" s="140">
        <f t="shared" ref="BL38" si="244">BL39+BL40+BL41+BL42</f>
        <v>0</v>
      </c>
      <c r="BM38" s="140">
        <f t="shared" si="243"/>
        <v>0</v>
      </c>
      <c r="BN38" s="140">
        <f t="shared" si="243"/>
        <v>0</v>
      </c>
      <c r="BO38" s="133">
        <f t="shared" si="38"/>
        <v>1</v>
      </c>
      <c r="BP38" s="133">
        <f t="shared" si="38"/>
        <v>1</v>
      </c>
      <c r="BQ38" s="140">
        <f>BQ39+BQ40+BQ41+BQ42</f>
        <v>0</v>
      </c>
      <c r="BR38" s="140">
        <f t="shared" ref="BR38" si="245">BR39+BR40+BR41+BR42</f>
        <v>0</v>
      </c>
      <c r="BS38" s="140">
        <f t="shared" si="243"/>
        <v>0</v>
      </c>
      <c r="BT38" s="140">
        <f t="shared" si="243"/>
        <v>0</v>
      </c>
      <c r="BU38" s="133">
        <f t="shared" si="40"/>
        <v>1</v>
      </c>
      <c r="BV38" s="133">
        <f t="shared" si="40"/>
        <v>1</v>
      </c>
      <c r="BW38" s="140">
        <f>BW39+BW40+BW41+BW42</f>
        <v>0</v>
      </c>
      <c r="BX38" s="140">
        <f t="shared" ref="BX38" si="246">BX39+BX40+BX41+BX42</f>
        <v>0</v>
      </c>
      <c r="BY38" s="140">
        <f t="shared" si="243"/>
        <v>0</v>
      </c>
      <c r="BZ38" s="140">
        <f t="shared" si="243"/>
        <v>0</v>
      </c>
      <c r="CA38" s="133">
        <f t="shared" si="42"/>
        <v>1</v>
      </c>
      <c r="CB38" s="133">
        <f t="shared" si="42"/>
        <v>1</v>
      </c>
      <c r="CC38" s="140">
        <f>CC39+CC40+CC41+CC42</f>
        <v>0</v>
      </c>
      <c r="CD38" s="140">
        <f t="shared" ref="CD38" si="247">CD39+CD40+CD41+CD42</f>
        <v>0</v>
      </c>
      <c r="CE38" s="140">
        <f t="shared" si="243"/>
        <v>0</v>
      </c>
      <c r="CF38" s="140">
        <f t="shared" si="243"/>
        <v>0</v>
      </c>
      <c r="CG38" s="133">
        <f t="shared" si="44"/>
        <v>1</v>
      </c>
      <c r="CH38" s="133">
        <f t="shared" si="44"/>
        <v>1</v>
      </c>
      <c r="CI38" s="140">
        <f>CI39+CI40+CI41+CI42</f>
        <v>0</v>
      </c>
      <c r="CJ38" s="140">
        <f t="shared" ref="CJ38" si="248">CJ39+CJ40+CJ41+CJ42</f>
        <v>0</v>
      </c>
      <c r="CK38" s="140">
        <f t="shared" si="243"/>
        <v>0</v>
      </c>
      <c r="CL38" s="140">
        <f t="shared" si="243"/>
        <v>0</v>
      </c>
      <c r="CM38" s="133">
        <f t="shared" si="46"/>
        <v>1</v>
      </c>
      <c r="CN38" s="133">
        <f t="shared" si="46"/>
        <v>1</v>
      </c>
      <c r="CO38" s="140">
        <f>CO39+CO40+CO41+CO42</f>
        <v>0</v>
      </c>
      <c r="CP38" s="140">
        <f t="shared" ref="CP38" si="249">CP39+CP40+CP41+CP42</f>
        <v>0</v>
      </c>
      <c r="CQ38" s="140">
        <f t="shared" si="243"/>
        <v>0</v>
      </c>
      <c r="CR38" s="140">
        <f t="shared" si="243"/>
        <v>0</v>
      </c>
      <c r="CS38" s="133">
        <f t="shared" si="48"/>
        <v>1</v>
      </c>
      <c r="CT38" s="133">
        <f t="shared" si="48"/>
        <v>1</v>
      </c>
      <c r="CU38" s="140">
        <f>CU39+CU40+CU41+CU42</f>
        <v>0</v>
      </c>
      <c r="CV38" s="140">
        <f t="shared" ref="CV38" si="250">CV39+CV40+CV41+CV42</f>
        <v>0</v>
      </c>
      <c r="CW38" s="140">
        <f t="shared" si="243"/>
        <v>0</v>
      </c>
      <c r="CX38" s="140">
        <f t="shared" si="243"/>
        <v>0</v>
      </c>
      <c r="CY38" s="133">
        <f t="shared" si="50"/>
        <v>1</v>
      </c>
      <c r="CZ38" s="133">
        <f t="shared" si="50"/>
        <v>1</v>
      </c>
      <c r="DA38" s="140">
        <f>DA39+DA40+DA41+DA42</f>
        <v>0</v>
      </c>
      <c r="DB38" s="140">
        <f t="shared" ref="DB38" si="251">DB39+DB40+DB41+DB42</f>
        <v>0</v>
      </c>
      <c r="DC38" s="140">
        <f t="shared" si="243"/>
        <v>0</v>
      </c>
      <c r="DD38" s="140">
        <f t="shared" si="243"/>
        <v>0</v>
      </c>
      <c r="DE38" s="133">
        <f t="shared" si="52"/>
        <v>1</v>
      </c>
      <c r="DF38" s="133">
        <f t="shared" si="52"/>
        <v>1</v>
      </c>
      <c r="DG38" s="140">
        <f>DG39+DG40+DG41+DG42</f>
        <v>0</v>
      </c>
      <c r="DH38" s="140">
        <f t="shared" ref="DH38" si="252">DH39+DH40+DH41+DH42</f>
        <v>0</v>
      </c>
      <c r="DI38" s="140">
        <f t="shared" si="243"/>
        <v>0</v>
      </c>
      <c r="DJ38" s="140">
        <f t="shared" si="243"/>
        <v>0</v>
      </c>
      <c r="DK38" s="133">
        <f t="shared" si="54"/>
        <v>1</v>
      </c>
      <c r="DL38" s="133">
        <f t="shared" si="54"/>
        <v>1</v>
      </c>
      <c r="DM38" s="140">
        <f>DM39+DM40+DM41+DM42</f>
        <v>0</v>
      </c>
      <c r="DN38" s="140">
        <f t="shared" ref="DN38" si="253">DN39+DN40+DN41+DN42</f>
        <v>0</v>
      </c>
      <c r="DO38" s="140">
        <f>DO39+DO40+DO41+DO42</f>
        <v>0</v>
      </c>
      <c r="DP38" s="140">
        <f t="shared" ref="DP38" si="254">DP39+DP40+DP41+DP42</f>
        <v>0</v>
      </c>
      <c r="DQ38" s="140">
        <f>DQ39+DQ40+DQ41+DQ42</f>
        <v>0</v>
      </c>
      <c r="DR38" s="140">
        <f t="shared" ref="DR38" si="255">DR39+DR40+DR41+DR42</f>
        <v>0</v>
      </c>
      <c r="DS38" s="133">
        <f>IF($AY$38=0,1,DQ38/$AY$38-1)</f>
        <v>1</v>
      </c>
      <c r="DT38" s="133">
        <f>IF($AZ$38=0,1,DR38/$AZ$38-1)</f>
        <v>1</v>
      </c>
      <c r="DU38" s="133">
        <f t="shared" si="58"/>
        <v>1</v>
      </c>
      <c r="DV38" s="133">
        <f t="shared" si="59"/>
        <v>1</v>
      </c>
      <c r="DW38" s="166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</row>
    <row r="39" spans="1:268" s="64" customFormat="1" ht="18" customHeight="1">
      <c r="A39" s="290" t="s">
        <v>105</v>
      </c>
      <c r="B39" s="291"/>
      <c r="C39" s="134">
        <f>'бюджет округа (района)'!C39+'бюджеты поселений'!C39</f>
        <v>0</v>
      </c>
      <c r="D39" s="137">
        <f>'бюджет округа (района)'!C39</f>
        <v>0</v>
      </c>
      <c r="E39" s="134">
        <f t="shared" ref="E39:F46" si="256">G39+I39+M39+Q39+U39+Y39+AC39+AG39+AK39+AO39+AS39+AW39</f>
        <v>0</v>
      </c>
      <c r="F39" s="137">
        <f t="shared" si="256"/>
        <v>0</v>
      </c>
      <c r="G39" s="134">
        <f>'бюджет округа (района)'!E39+'бюджеты поселений'!E39</f>
        <v>0</v>
      </c>
      <c r="H39" s="137">
        <f>'бюджет округа (района)'!E39</f>
        <v>0</v>
      </c>
      <c r="I39" s="134">
        <f>'бюджет округа (района)'!F39+'бюджеты поселений'!F39</f>
        <v>0</v>
      </c>
      <c r="J39" s="137">
        <f>'бюджет округа (района)'!F39</f>
        <v>0</v>
      </c>
      <c r="K39" s="134">
        <f t="shared" si="151"/>
        <v>0</v>
      </c>
      <c r="L39" s="134">
        <f t="shared" si="151"/>
        <v>0</v>
      </c>
      <c r="M39" s="134">
        <f>'бюджет округа (района)'!H39+'бюджеты поселений'!H39</f>
        <v>0</v>
      </c>
      <c r="N39" s="137">
        <f>'бюджет округа (района)'!H39</f>
        <v>0</v>
      </c>
      <c r="O39" s="134">
        <f t="shared" si="152"/>
        <v>0</v>
      </c>
      <c r="P39" s="134">
        <f t="shared" si="152"/>
        <v>0</v>
      </c>
      <c r="Q39" s="134">
        <f>'бюджет округа (района)'!J39+'бюджеты поселений'!J39</f>
        <v>0</v>
      </c>
      <c r="R39" s="137">
        <f>'бюджет округа (района)'!J39</f>
        <v>0</v>
      </c>
      <c r="S39" s="134">
        <f t="shared" si="153"/>
        <v>0</v>
      </c>
      <c r="T39" s="134">
        <f t="shared" si="153"/>
        <v>0</v>
      </c>
      <c r="U39" s="134">
        <f>'бюджет округа (района)'!L39+'бюджеты поселений'!L39</f>
        <v>0</v>
      </c>
      <c r="V39" s="137">
        <f>'бюджет округа (района)'!L39</f>
        <v>0</v>
      </c>
      <c r="W39" s="134">
        <f t="shared" si="154"/>
        <v>0</v>
      </c>
      <c r="X39" s="134">
        <f t="shared" si="154"/>
        <v>0</v>
      </c>
      <c r="Y39" s="134">
        <f>'бюджет округа (района)'!N39+'бюджеты поселений'!N39</f>
        <v>0</v>
      </c>
      <c r="Z39" s="137">
        <f>'бюджет округа (района)'!N39</f>
        <v>0</v>
      </c>
      <c r="AA39" s="134">
        <f t="shared" si="155"/>
        <v>0</v>
      </c>
      <c r="AB39" s="134">
        <f t="shared" si="155"/>
        <v>0</v>
      </c>
      <c r="AC39" s="134">
        <f>'бюджет округа (района)'!P39+'бюджеты поселений'!P39</f>
        <v>0</v>
      </c>
      <c r="AD39" s="137">
        <f>'бюджет округа (района)'!P39</f>
        <v>0</v>
      </c>
      <c r="AE39" s="134">
        <f t="shared" si="156"/>
        <v>0</v>
      </c>
      <c r="AF39" s="134">
        <f t="shared" si="156"/>
        <v>0</v>
      </c>
      <c r="AG39" s="134">
        <f>'бюджет округа (района)'!R39+'бюджеты поселений'!R39</f>
        <v>0</v>
      </c>
      <c r="AH39" s="137">
        <f>'бюджет округа (района)'!R39</f>
        <v>0</v>
      </c>
      <c r="AI39" s="134">
        <f t="shared" ref="AI39:AJ40" si="257">AE39+AG39</f>
        <v>0</v>
      </c>
      <c r="AJ39" s="134">
        <f t="shared" si="257"/>
        <v>0</v>
      </c>
      <c r="AK39" s="134">
        <f>'бюджет округа (района)'!T39+'бюджеты поселений'!T39</f>
        <v>0</v>
      </c>
      <c r="AL39" s="137">
        <f>'бюджет округа (района)'!T39</f>
        <v>0</v>
      </c>
      <c r="AM39" s="134">
        <f t="shared" ref="AM39:AN40" si="258">AI39+AK39</f>
        <v>0</v>
      </c>
      <c r="AN39" s="134">
        <f t="shared" si="258"/>
        <v>0</v>
      </c>
      <c r="AO39" s="134">
        <f>'бюджет округа (района)'!V39+'бюджеты поселений'!V39</f>
        <v>0</v>
      </c>
      <c r="AP39" s="137">
        <f>'бюджет округа (района)'!V39</f>
        <v>0</v>
      </c>
      <c r="AQ39" s="134">
        <f t="shared" ref="AQ39:AR40" si="259">AM39+AO39</f>
        <v>0</v>
      </c>
      <c r="AR39" s="134">
        <f t="shared" si="259"/>
        <v>0</v>
      </c>
      <c r="AS39" s="134">
        <f>'бюджет округа (района)'!X39+'бюджеты поселений'!X39</f>
        <v>0</v>
      </c>
      <c r="AT39" s="137">
        <f>'бюджет округа (района)'!X39</f>
        <v>0</v>
      </c>
      <c r="AU39" s="134">
        <f t="shared" ref="AU39:AV40" si="260">AQ39+AS39</f>
        <v>0</v>
      </c>
      <c r="AV39" s="134">
        <f t="shared" si="260"/>
        <v>0</v>
      </c>
      <c r="AW39" s="134">
        <f>'бюджет округа (района)'!Z39+'бюджеты поселений'!Z39</f>
        <v>0</v>
      </c>
      <c r="AX39" s="137">
        <f>'бюджет округа (района)'!Z39</f>
        <v>0</v>
      </c>
      <c r="AY39" s="134">
        <f>'бюджет округа (района)'!AA39+'бюджеты поселений'!AA39</f>
        <v>0</v>
      </c>
      <c r="AZ39" s="137">
        <f>'бюджет округа (района)'!AA39</f>
        <v>0</v>
      </c>
      <c r="BA39" s="135">
        <f t="shared" si="173"/>
        <v>1</v>
      </c>
      <c r="BB39" s="135">
        <f t="shared" si="173"/>
        <v>1</v>
      </c>
      <c r="BC39" s="134">
        <f>'бюджет округа (района)'!AC39+'бюджеты поселений'!AC39</f>
        <v>0</v>
      </c>
      <c r="BD39" s="137">
        <f>'бюджет округа (района)'!AC39</f>
        <v>0</v>
      </c>
      <c r="BE39" s="134">
        <f>'бюджет округа (района)'!AD39+'бюджеты поселений'!AD39</f>
        <v>0</v>
      </c>
      <c r="BF39" s="137">
        <f>'бюджет округа (района)'!AD39</f>
        <v>0</v>
      </c>
      <c r="BG39" s="134">
        <f t="shared" ref="BG39:BH42" si="261">BC39+BE39</f>
        <v>0</v>
      </c>
      <c r="BH39" s="134">
        <f t="shared" si="261"/>
        <v>0</v>
      </c>
      <c r="BI39" s="135">
        <f t="shared" si="36"/>
        <v>1</v>
      </c>
      <c r="BJ39" s="135">
        <f t="shared" si="36"/>
        <v>1</v>
      </c>
      <c r="BK39" s="134">
        <f>'бюджет округа (района)'!AG39+'бюджеты поселений'!AG39</f>
        <v>0</v>
      </c>
      <c r="BL39" s="137">
        <f>'бюджет округа (района)'!AG39</f>
        <v>0</v>
      </c>
      <c r="BM39" s="134">
        <f t="shared" ref="BM39:BN40" si="262">BG39+BK39</f>
        <v>0</v>
      </c>
      <c r="BN39" s="134">
        <f t="shared" si="262"/>
        <v>0</v>
      </c>
      <c r="BO39" s="135">
        <f t="shared" si="38"/>
        <v>1</v>
      </c>
      <c r="BP39" s="135">
        <f t="shared" si="38"/>
        <v>1</v>
      </c>
      <c r="BQ39" s="134">
        <f>'бюджет округа (района)'!AJ39+'бюджеты поселений'!AJ39</f>
        <v>0</v>
      </c>
      <c r="BR39" s="137">
        <f>'бюджет округа (района)'!AJ39</f>
        <v>0</v>
      </c>
      <c r="BS39" s="134">
        <f t="shared" ref="BS39:BT40" si="263">BM39+BQ39</f>
        <v>0</v>
      </c>
      <c r="BT39" s="134">
        <f t="shared" si="263"/>
        <v>0</v>
      </c>
      <c r="BU39" s="135">
        <f t="shared" si="40"/>
        <v>1</v>
      </c>
      <c r="BV39" s="135">
        <f t="shared" si="40"/>
        <v>1</v>
      </c>
      <c r="BW39" s="134">
        <f>'бюджет округа (района)'!AM39+'бюджеты поселений'!AM39</f>
        <v>0</v>
      </c>
      <c r="BX39" s="137">
        <f>'бюджет округа (района)'!AM39</f>
        <v>0</v>
      </c>
      <c r="BY39" s="134">
        <f t="shared" ref="BY39:BZ40" si="264">BS39+BW39</f>
        <v>0</v>
      </c>
      <c r="BZ39" s="134">
        <f t="shared" si="264"/>
        <v>0</v>
      </c>
      <c r="CA39" s="135">
        <f t="shared" si="42"/>
        <v>1</v>
      </c>
      <c r="CB39" s="135">
        <f t="shared" si="42"/>
        <v>1</v>
      </c>
      <c r="CC39" s="134">
        <f>'бюджет округа (района)'!AP39+'бюджеты поселений'!AP39</f>
        <v>0</v>
      </c>
      <c r="CD39" s="137">
        <f>'бюджет округа (района)'!AP39</f>
        <v>0</v>
      </c>
      <c r="CE39" s="134">
        <f t="shared" ref="CE39:CF40" si="265">BY39+CC39</f>
        <v>0</v>
      </c>
      <c r="CF39" s="134">
        <f t="shared" si="265"/>
        <v>0</v>
      </c>
      <c r="CG39" s="135">
        <f t="shared" si="44"/>
        <v>1</v>
      </c>
      <c r="CH39" s="135">
        <f t="shared" si="44"/>
        <v>1</v>
      </c>
      <c r="CI39" s="134">
        <f>'бюджет округа (района)'!AS39+'бюджеты поселений'!AS39</f>
        <v>0</v>
      </c>
      <c r="CJ39" s="137">
        <f>'бюджет округа (района)'!AS39</f>
        <v>0</v>
      </c>
      <c r="CK39" s="134">
        <f t="shared" ref="CK39:CL40" si="266">CE39+CI39</f>
        <v>0</v>
      </c>
      <c r="CL39" s="134">
        <f t="shared" si="266"/>
        <v>0</v>
      </c>
      <c r="CM39" s="135">
        <f t="shared" si="46"/>
        <v>1</v>
      </c>
      <c r="CN39" s="135">
        <f t="shared" si="46"/>
        <v>1</v>
      </c>
      <c r="CO39" s="134">
        <f>'бюджет округа (района)'!AV39+'бюджеты поселений'!AV39</f>
        <v>0</v>
      </c>
      <c r="CP39" s="137">
        <f>'бюджет округа (района)'!AV39</f>
        <v>0</v>
      </c>
      <c r="CQ39" s="134">
        <f t="shared" ref="CQ39:CR40" si="267">CK39+CO39</f>
        <v>0</v>
      </c>
      <c r="CR39" s="134">
        <f t="shared" si="267"/>
        <v>0</v>
      </c>
      <c r="CS39" s="135">
        <f t="shared" si="48"/>
        <v>1</v>
      </c>
      <c r="CT39" s="135">
        <f t="shared" si="48"/>
        <v>1</v>
      </c>
      <c r="CU39" s="134">
        <f>'бюджет округа (района)'!AY39+'бюджеты поселений'!AY39</f>
        <v>0</v>
      </c>
      <c r="CV39" s="137">
        <f>'бюджет округа (района)'!AY39</f>
        <v>0</v>
      </c>
      <c r="CW39" s="134">
        <f t="shared" ref="CW39:CX40" si="268">CQ39+CU39</f>
        <v>0</v>
      </c>
      <c r="CX39" s="134">
        <f t="shared" si="268"/>
        <v>0</v>
      </c>
      <c r="CY39" s="135">
        <f t="shared" si="50"/>
        <v>1</v>
      </c>
      <c r="CZ39" s="135">
        <f t="shared" si="50"/>
        <v>1</v>
      </c>
      <c r="DA39" s="134">
        <f>'бюджет округа (района)'!BB39+'бюджеты поселений'!BB39</f>
        <v>0</v>
      </c>
      <c r="DB39" s="137">
        <f>'бюджет округа (района)'!BB39</f>
        <v>0</v>
      </c>
      <c r="DC39" s="134">
        <f t="shared" ref="DC39:DD40" si="269">CW39+DA39</f>
        <v>0</v>
      </c>
      <c r="DD39" s="134">
        <f t="shared" si="269"/>
        <v>0</v>
      </c>
      <c r="DE39" s="135">
        <f t="shared" si="52"/>
        <v>1</v>
      </c>
      <c r="DF39" s="135">
        <f t="shared" si="52"/>
        <v>1</v>
      </c>
      <c r="DG39" s="134">
        <f>'бюджет округа (района)'!BE39+'бюджеты поселений'!BE39</f>
        <v>0</v>
      </c>
      <c r="DH39" s="137">
        <f>'бюджет округа (района)'!BE39</f>
        <v>0</v>
      </c>
      <c r="DI39" s="134">
        <f t="shared" ref="DI39:DJ40" si="270">DC39+DG39</f>
        <v>0</v>
      </c>
      <c r="DJ39" s="134">
        <f t="shared" si="270"/>
        <v>0</v>
      </c>
      <c r="DK39" s="135">
        <f t="shared" si="54"/>
        <v>1</v>
      </c>
      <c r="DL39" s="135">
        <f t="shared" si="54"/>
        <v>1</v>
      </c>
      <c r="DM39" s="134">
        <f>'бюджет округа (района)'!BH39+'бюджеты поселений'!BH39</f>
        <v>0</v>
      </c>
      <c r="DN39" s="137">
        <f>'бюджет округа (района)'!BH39</f>
        <v>0</v>
      </c>
      <c r="DO39" s="134">
        <f>'бюджет округа (района)'!BI39+'бюджеты поселений'!BI39</f>
        <v>0</v>
      </c>
      <c r="DP39" s="137">
        <f>'бюджет округа (района)'!BI39</f>
        <v>0</v>
      </c>
      <c r="DQ39" s="134">
        <f>'бюджет округа (района)'!BJ39+'бюджеты поселений'!BJ39</f>
        <v>0</v>
      </c>
      <c r="DR39" s="137">
        <f>'бюджет округа (района)'!BJ39</f>
        <v>0</v>
      </c>
      <c r="DS39" s="135">
        <f>IF($AY$39=0,1,DQ39/$AY$39-1)</f>
        <v>1</v>
      </c>
      <c r="DT39" s="135">
        <f>IF($AZ$39=0,1,DR39/$AZ$39-1)</f>
        <v>1</v>
      </c>
      <c r="DU39" s="135">
        <f t="shared" si="58"/>
        <v>1</v>
      </c>
      <c r="DV39" s="135">
        <f t="shared" si="59"/>
        <v>1</v>
      </c>
      <c r="DW39" s="167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63"/>
      <c r="IZ39" s="63"/>
      <c r="JA39" s="63"/>
      <c r="JB39" s="63"/>
      <c r="JC39" s="63"/>
      <c r="JD39" s="63"/>
      <c r="JE39" s="63"/>
      <c r="JF39" s="63"/>
      <c r="JG39" s="63"/>
      <c r="JH39" s="63"/>
    </row>
    <row r="40" spans="1:268" s="64" customFormat="1" ht="18" customHeight="1">
      <c r="A40" s="290" t="s">
        <v>99</v>
      </c>
      <c r="B40" s="291"/>
      <c r="C40" s="134">
        <f>'бюджет округа (района)'!C40+'бюджеты поселений'!C40</f>
        <v>0</v>
      </c>
      <c r="D40" s="137">
        <f>'бюджет округа (района)'!C40</f>
        <v>0</v>
      </c>
      <c r="E40" s="134">
        <f t="shared" si="256"/>
        <v>0</v>
      </c>
      <c r="F40" s="137">
        <f t="shared" si="256"/>
        <v>0</v>
      </c>
      <c r="G40" s="134">
        <f>'бюджет округа (района)'!E40+'бюджеты поселений'!E40</f>
        <v>0</v>
      </c>
      <c r="H40" s="137">
        <f>'бюджет округа (района)'!E40</f>
        <v>0</v>
      </c>
      <c r="I40" s="134">
        <f>'бюджет округа (района)'!F40+'бюджеты поселений'!F40</f>
        <v>0</v>
      </c>
      <c r="J40" s="137">
        <f>'бюджет округа (района)'!F40</f>
        <v>0</v>
      </c>
      <c r="K40" s="134">
        <f t="shared" ref="K40:L42" si="271">G40+I40</f>
        <v>0</v>
      </c>
      <c r="L40" s="134">
        <f t="shared" si="271"/>
        <v>0</v>
      </c>
      <c r="M40" s="134">
        <f>'бюджет округа (района)'!H40+'бюджеты поселений'!H40</f>
        <v>0</v>
      </c>
      <c r="N40" s="137">
        <f>'бюджет округа (района)'!H40</f>
        <v>0</v>
      </c>
      <c r="O40" s="134">
        <f t="shared" si="152"/>
        <v>0</v>
      </c>
      <c r="P40" s="134">
        <f t="shared" si="152"/>
        <v>0</v>
      </c>
      <c r="Q40" s="134">
        <f>'бюджет округа (района)'!J40+'бюджеты поселений'!J40</f>
        <v>0</v>
      </c>
      <c r="R40" s="137">
        <f>'бюджет округа (района)'!J40</f>
        <v>0</v>
      </c>
      <c r="S40" s="134">
        <f t="shared" si="153"/>
        <v>0</v>
      </c>
      <c r="T40" s="134">
        <f t="shared" si="153"/>
        <v>0</v>
      </c>
      <c r="U40" s="134">
        <f>'бюджет округа (района)'!L40+'бюджеты поселений'!L40</f>
        <v>0</v>
      </c>
      <c r="V40" s="137">
        <f>'бюджет округа (района)'!L40</f>
        <v>0</v>
      </c>
      <c r="W40" s="134">
        <f t="shared" si="154"/>
        <v>0</v>
      </c>
      <c r="X40" s="134">
        <f t="shared" si="154"/>
        <v>0</v>
      </c>
      <c r="Y40" s="134">
        <f>'бюджет округа (района)'!N40+'бюджеты поселений'!N40</f>
        <v>0</v>
      </c>
      <c r="Z40" s="137">
        <f>'бюджет округа (района)'!N40</f>
        <v>0</v>
      </c>
      <c r="AA40" s="134">
        <f t="shared" si="155"/>
        <v>0</v>
      </c>
      <c r="AB40" s="134">
        <f t="shared" si="155"/>
        <v>0</v>
      </c>
      <c r="AC40" s="134">
        <f>'бюджет округа (района)'!P40+'бюджеты поселений'!P40</f>
        <v>0</v>
      </c>
      <c r="AD40" s="137">
        <f>'бюджет округа (района)'!P40</f>
        <v>0</v>
      </c>
      <c r="AE40" s="134">
        <f t="shared" si="156"/>
        <v>0</v>
      </c>
      <c r="AF40" s="134">
        <f t="shared" si="156"/>
        <v>0</v>
      </c>
      <c r="AG40" s="134">
        <f>'бюджет округа (района)'!R40+'бюджеты поселений'!R40</f>
        <v>0</v>
      </c>
      <c r="AH40" s="137">
        <f>'бюджет округа (района)'!R40</f>
        <v>0</v>
      </c>
      <c r="AI40" s="134">
        <f t="shared" si="257"/>
        <v>0</v>
      </c>
      <c r="AJ40" s="134">
        <f t="shared" si="257"/>
        <v>0</v>
      </c>
      <c r="AK40" s="134">
        <f>'бюджет округа (района)'!T40+'бюджеты поселений'!T40</f>
        <v>0</v>
      </c>
      <c r="AL40" s="137">
        <f>'бюджет округа (района)'!T40</f>
        <v>0</v>
      </c>
      <c r="AM40" s="134">
        <f t="shared" si="258"/>
        <v>0</v>
      </c>
      <c r="AN40" s="134">
        <f t="shared" si="258"/>
        <v>0</v>
      </c>
      <c r="AO40" s="134">
        <f>'бюджет округа (района)'!V40+'бюджеты поселений'!V40</f>
        <v>0</v>
      </c>
      <c r="AP40" s="137">
        <f>'бюджет округа (района)'!V40</f>
        <v>0</v>
      </c>
      <c r="AQ40" s="134">
        <f t="shared" si="259"/>
        <v>0</v>
      </c>
      <c r="AR40" s="134">
        <f t="shared" si="259"/>
        <v>0</v>
      </c>
      <c r="AS40" s="134">
        <f>'бюджет округа (района)'!X40+'бюджеты поселений'!X40</f>
        <v>0</v>
      </c>
      <c r="AT40" s="137">
        <f>'бюджет округа (района)'!X40</f>
        <v>0</v>
      </c>
      <c r="AU40" s="134">
        <f t="shared" si="260"/>
        <v>0</v>
      </c>
      <c r="AV40" s="134">
        <f t="shared" si="260"/>
        <v>0</v>
      </c>
      <c r="AW40" s="134">
        <f>'бюджет округа (района)'!Z40+'бюджеты поселений'!Z40</f>
        <v>0</v>
      </c>
      <c r="AX40" s="137">
        <f>'бюджет округа (района)'!Z40</f>
        <v>0</v>
      </c>
      <c r="AY40" s="134">
        <f>'бюджет округа (района)'!AA40+'бюджеты поселений'!AA40</f>
        <v>0</v>
      </c>
      <c r="AZ40" s="137">
        <f>'бюджет округа (района)'!AA40</f>
        <v>0</v>
      </c>
      <c r="BA40" s="135">
        <f t="shared" si="173"/>
        <v>1</v>
      </c>
      <c r="BB40" s="135">
        <f t="shared" si="173"/>
        <v>1</v>
      </c>
      <c r="BC40" s="134">
        <f>'бюджет округа (района)'!AC40+'бюджеты поселений'!AC40</f>
        <v>0</v>
      </c>
      <c r="BD40" s="137">
        <f>'бюджет округа (района)'!AC40</f>
        <v>0</v>
      </c>
      <c r="BE40" s="134">
        <f>'бюджет округа (района)'!AD40+'бюджеты поселений'!AD40</f>
        <v>0</v>
      </c>
      <c r="BF40" s="137">
        <f>'бюджет округа (района)'!AD40</f>
        <v>0</v>
      </c>
      <c r="BG40" s="134">
        <f t="shared" si="261"/>
        <v>0</v>
      </c>
      <c r="BH40" s="134">
        <f t="shared" si="261"/>
        <v>0</v>
      </c>
      <c r="BI40" s="135">
        <f t="shared" si="36"/>
        <v>1</v>
      </c>
      <c r="BJ40" s="135">
        <f t="shared" si="36"/>
        <v>1</v>
      </c>
      <c r="BK40" s="134">
        <f>'бюджет округа (района)'!AG40+'бюджеты поселений'!AG40</f>
        <v>0</v>
      </c>
      <c r="BL40" s="137">
        <f>'бюджет округа (района)'!AG40</f>
        <v>0</v>
      </c>
      <c r="BM40" s="134">
        <f t="shared" si="262"/>
        <v>0</v>
      </c>
      <c r="BN40" s="134">
        <f t="shared" si="262"/>
        <v>0</v>
      </c>
      <c r="BO40" s="135">
        <f t="shared" si="38"/>
        <v>1</v>
      </c>
      <c r="BP40" s="135">
        <f t="shared" si="38"/>
        <v>1</v>
      </c>
      <c r="BQ40" s="134">
        <f>'бюджет округа (района)'!AJ40+'бюджеты поселений'!AJ40</f>
        <v>0</v>
      </c>
      <c r="BR40" s="137">
        <f>'бюджет округа (района)'!AJ40</f>
        <v>0</v>
      </c>
      <c r="BS40" s="134">
        <f t="shared" si="263"/>
        <v>0</v>
      </c>
      <c r="BT40" s="134">
        <f t="shared" si="263"/>
        <v>0</v>
      </c>
      <c r="BU40" s="135">
        <f t="shared" si="40"/>
        <v>1</v>
      </c>
      <c r="BV40" s="135">
        <f t="shared" si="40"/>
        <v>1</v>
      </c>
      <c r="BW40" s="134">
        <f>'бюджет округа (района)'!AM40+'бюджеты поселений'!AM40</f>
        <v>0</v>
      </c>
      <c r="BX40" s="137">
        <f>'бюджет округа (района)'!AM40</f>
        <v>0</v>
      </c>
      <c r="BY40" s="134">
        <f t="shared" si="264"/>
        <v>0</v>
      </c>
      <c r="BZ40" s="134">
        <f t="shared" si="264"/>
        <v>0</v>
      </c>
      <c r="CA40" s="135">
        <f t="shared" si="42"/>
        <v>1</v>
      </c>
      <c r="CB40" s="135">
        <f t="shared" si="42"/>
        <v>1</v>
      </c>
      <c r="CC40" s="134">
        <f>'бюджет округа (района)'!AP40+'бюджеты поселений'!AP40</f>
        <v>0</v>
      </c>
      <c r="CD40" s="137">
        <f>'бюджет округа (района)'!AP40</f>
        <v>0</v>
      </c>
      <c r="CE40" s="134">
        <f t="shared" si="265"/>
        <v>0</v>
      </c>
      <c r="CF40" s="134">
        <f t="shared" si="265"/>
        <v>0</v>
      </c>
      <c r="CG40" s="135">
        <f t="shared" si="44"/>
        <v>1</v>
      </c>
      <c r="CH40" s="135">
        <f t="shared" si="44"/>
        <v>1</v>
      </c>
      <c r="CI40" s="134">
        <f>'бюджет округа (района)'!AS40+'бюджеты поселений'!AS40</f>
        <v>0</v>
      </c>
      <c r="CJ40" s="137">
        <f>'бюджет округа (района)'!AS40</f>
        <v>0</v>
      </c>
      <c r="CK40" s="134">
        <f t="shared" si="266"/>
        <v>0</v>
      </c>
      <c r="CL40" s="134">
        <f t="shared" si="266"/>
        <v>0</v>
      </c>
      <c r="CM40" s="135">
        <f t="shared" si="46"/>
        <v>1</v>
      </c>
      <c r="CN40" s="135">
        <f t="shared" si="46"/>
        <v>1</v>
      </c>
      <c r="CO40" s="134">
        <f>'бюджет округа (района)'!AV40+'бюджеты поселений'!AV40</f>
        <v>0</v>
      </c>
      <c r="CP40" s="137">
        <f>'бюджет округа (района)'!AV40</f>
        <v>0</v>
      </c>
      <c r="CQ40" s="134">
        <f t="shared" si="267"/>
        <v>0</v>
      </c>
      <c r="CR40" s="134">
        <f t="shared" si="267"/>
        <v>0</v>
      </c>
      <c r="CS40" s="135">
        <f t="shared" si="48"/>
        <v>1</v>
      </c>
      <c r="CT40" s="135">
        <f t="shared" si="48"/>
        <v>1</v>
      </c>
      <c r="CU40" s="134">
        <f>'бюджет округа (района)'!AY40+'бюджеты поселений'!AY40</f>
        <v>0</v>
      </c>
      <c r="CV40" s="137">
        <f>'бюджет округа (района)'!AY40</f>
        <v>0</v>
      </c>
      <c r="CW40" s="134">
        <f t="shared" si="268"/>
        <v>0</v>
      </c>
      <c r="CX40" s="134">
        <f t="shared" si="268"/>
        <v>0</v>
      </c>
      <c r="CY40" s="135">
        <f t="shared" si="50"/>
        <v>1</v>
      </c>
      <c r="CZ40" s="135">
        <f t="shared" si="50"/>
        <v>1</v>
      </c>
      <c r="DA40" s="134">
        <f>'бюджет округа (района)'!BB40+'бюджеты поселений'!BB40</f>
        <v>0</v>
      </c>
      <c r="DB40" s="137">
        <f>'бюджет округа (района)'!BB40</f>
        <v>0</v>
      </c>
      <c r="DC40" s="134">
        <f t="shared" si="269"/>
        <v>0</v>
      </c>
      <c r="DD40" s="134">
        <f t="shared" si="269"/>
        <v>0</v>
      </c>
      <c r="DE40" s="135">
        <f t="shared" si="52"/>
        <v>1</v>
      </c>
      <c r="DF40" s="135">
        <f t="shared" si="52"/>
        <v>1</v>
      </c>
      <c r="DG40" s="134">
        <f>'бюджет округа (района)'!BE40+'бюджеты поселений'!BE40</f>
        <v>0</v>
      </c>
      <c r="DH40" s="137">
        <f>'бюджет округа (района)'!BE40</f>
        <v>0</v>
      </c>
      <c r="DI40" s="134">
        <f t="shared" si="270"/>
        <v>0</v>
      </c>
      <c r="DJ40" s="134">
        <f t="shared" si="270"/>
        <v>0</v>
      </c>
      <c r="DK40" s="135">
        <f t="shared" si="54"/>
        <v>1</v>
      </c>
      <c r="DL40" s="135">
        <f t="shared" si="54"/>
        <v>1</v>
      </c>
      <c r="DM40" s="134">
        <f>'бюджет округа (района)'!BH40+'бюджеты поселений'!BH40</f>
        <v>0</v>
      </c>
      <c r="DN40" s="137">
        <f>'бюджет округа (района)'!BH40</f>
        <v>0</v>
      </c>
      <c r="DO40" s="134">
        <f>'бюджет округа (района)'!BI40+'бюджеты поселений'!BI40</f>
        <v>0</v>
      </c>
      <c r="DP40" s="137">
        <f>'бюджет округа (района)'!BI40</f>
        <v>0</v>
      </c>
      <c r="DQ40" s="134">
        <f>'бюджет округа (района)'!BJ40+'бюджеты поселений'!BJ40</f>
        <v>0</v>
      </c>
      <c r="DR40" s="137">
        <f>'бюджет округа (района)'!BJ40</f>
        <v>0</v>
      </c>
      <c r="DS40" s="135">
        <f>IF($AY$40=0,1,DQ40/$AY$40-1)</f>
        <v>1</v>
      </c>
      <c r="DT40" s="135">
        <f>IF($AZ$40=0,1,DR40/$AZ$40-1)</f>
        <v>1</v>
      </c>
      <c r="DU40" s="135">
        <f t="shared" si="58"/>
        <v>1</v>
      </c>
      <c r="DV40" s="135">
        <f t="shared" si="59"/>
        <v>1</v>
      </c>
      <c r="DW40" s="167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  <c r="IR40" s="63"/>
      <c r="IS40" s="63"/>
      <c r="IT40" s="63"/>
      <c r="IU40" s="63"/>
      <c r="IV40" s="63"/>
      <c r="IW40" s="63"/>
      <c r="IX40" s="63"/>
      <c r="IY40" s="63"/>
      <c r="IZ40" s="63"/>
      <c r="JA40" s="63"/>
      <c r="JB40" s="63"/>
      <c r="JC40" s="63"/>
      <c r="JD40" s="63"/>
      <c r="JE40" s="63"/>
      <c r="JF40" s="63"/>
      <c r="JG40" s="63"/>
      <c r="JH40" s="63"/>
    </row>
    <row r="41" spans="1:268" s="64" customFormat="1" ht="18" customHeight="1">
      <c r="A41" s="290" t="s">
        <v>95</v>
      </c>
      <c r="B41" s="291"/>
      <c r="C41" s="134">
        <f>'бюджет округа (района)'!C41+'бюджеты поселений'!C41</f>
        <v>0</v>
      </c>
      <c r="D41" s="137">
        <f>'бюджет округа (района)'!C41</f>
        <v>0</v>
      </c>
      <c r="E41" s="134">
        <f t="shared" si="256"/>
        <v>0</v>
      </c>
      <c r="F41" s="137">
        <f t="shared" si="256"/>
        <v>0</v>
      </c>
      <c r="G41" s="134">
        <f>'бюджет округа (района)'!E41+'бюджеты поселений'!E41</f>
        <v>0</v>
      </c>
      <c r="H41" s="137">
        <f>'бюджет округа (района)'!E41</f>
        <v>0</v>
      </c>
      <c r="I41" s="134">
        <f>'бюджет округа (района)'!F41+'бюджеты поселений'!F41</f>
        <v>0</v>
      </c>
      <c r="J41" s="137">
        <f>'бюджет округа (района)'!F41</f>
        <v>0</v>
      </c>
      <c r="K41" s="134">
        <f t="shared" si="271"/>
        <v>0</v>
      </c>
      <c r="L41" s="134">
        <f t="shared" si="271"/>
        <v>0</v>
      </c>
      <c r="M41" s="134">
        <f>'бюджет округа (района)'!H41+'бюджеты поселений'!H41</f>
        <v>0</v>
      </c>
      <c r="N41" s="137">
        <f>'бюджет округа (района)'!H41</f>
        <v>0</v>
      </c>
      <c r="O41" s="134"/>
      <c r="P41" s="134"/>
      <c r="Q41" s="134">
        <f>'бюджет округа (района)'!J41+'бюджеты поселений'!J41</f>
        <v>0</v>
      </c>
      <c r="R41" s="137">
        <f>'бюджет округа (района)'!J41</f>
        <v>0</v>
      </c>
      <c r="S41" s="134"/>
      <c r="T41" s="134"/>
      <c r="U41" s="134">
        <f>'бюджет округа (района)'!L41+'бюджеты поселений'!L41</f>
        <v>0</v>
      </c>
      <c r="V41" s="137">
        <f>'бюджет округа (района)'!L41</f>
        <v>0</v>
      </c>
      <c r="W41" s="134"/>
      <c r="X41" s="134"/>
      <c r="Y41" s="134">
        <f>'бюджет округа (района)'!N41+'бюджеты поселений'!N41</f>
        <v>0</v>
      </c>
      <c r="Z41" s="137">
        <f>'бюджет округа (района)'!N41</f>
        <v>0</v>
      </c>
      <c r="AA41" s="134"/>
      <c r="AB41" s="134"/>
      <c r="AC41" s="134">
        <f>'бюджет округа (района)'!P41+'бюджеты поселений'!P41</f>
        <v>0</v>
      </c>
      <c r="AD41" s="137">
        <f>'бюджет округа (района)'!P41</f>
        <v>0</v>
      </c>
      <c r="AE41" s="134"/>
      <c r="AF41" s="134"/>
      <c r="AG41" s="134">
        <f>'бюджет округа (района)'!R41+'бюджеты поселений'!R41</f>
        <v>0</v>
      </c>
      <c r="AH41" s="137">
        <f>'бюджет округа (района)'!R41</f>
        <v>0</v>
      </c>
      <c r="AI41" s="134"/>
      <c r="AJ41" s="134"/>
      <c r="AK41" s="134">
        <f>'бюджет округа (района)'!T41+'бюджеты поселений'!T41</f>
        <v>0</v>
      </c>
      <c r="AL41" s="137">
        <f>'бюджет округа (района)'!T41</f>
        <v>0</v>
      </c>
      <c r="AM41" s="134"/>
      <c r="AN41" s="134"/>
      <c r="AO41" s="134">
        <f>'бюджет округа (района)'!V41+'бюджеты поселений'!V41</f>
        <v>0</v>
      </c>
      <c r="AP41" s="137">
        <f>'бюджет округа (района)'!V41</f>
        <v>0</v>
      </c>
      <c r="AQ41" s="134"/>
      <c r="AR41" s="134"/>
      <c r="AS41" s="134">
        <f>'бюджет округа (района)'!X41+'бюджеты поселений'!X41</f>
        <v>0</v>
      </c>
      <c r="AT41" s="137">
        <f>'бюджет округа (района)'!X41</f>
        <v>0</v>
      </c>
      <c r="AU41" s="134"/>
      <c r="AV41" s="134"/>
      <c r="AW41" s="134">
        <f>'бюджет округа (района)'!Z41+'бюджеты поселений'!Z41</f>
        <v>0</v>
      </c>
      <c r="AX41" s="137">
        <f>'бюджет округа (района)'!Z41</f>
        <v>0</v>
      </c>
      <c r="AY41" s="134">
        <f>'бюджет округа (района)'!AA41+'бюджеты поселений'!AA41</f>
        <v>0</v>
      </c>
      <c r="AZ41" s="137">
        <f>'бюджет округа (района)'!AA41</f>
        <v>0</v>
      </c>
      <c r="BA41" s="135">
        <f t="shared" si="173"/>
        <v>1</v>
      </c>
      <c r="BB41" s="135">
        <f t="shared" si="173"/>
        <v>1</v>
      </c>
      <c r="BC41" s="134">
        <f>'бюджет округа (района)'!AC41+'бюджеты поселений'!AC41</f>
        <v>0</v>
      </c>
      <c r="BD41" s="137">
        <f>'бюджет округа (района)'!AC41</f>
        <v>0</v>
      </c>
      <c r="BE41" s="134">
        <f>'бюджет округа (района)'!AD41+'бюджеты поселений'!AD41</f>
        <v>0</v>
      </c>
      <c r="BF41" s="137">
        <f>'бюджет округа (района)'!AD41</f>
        <v>0</v>
      </c>
      <c r="BG41" s="134">
        <f t="shared" si="261"/>
        <v>0</v>
      </c>
      <c r="BH41" s="134">
        <f t="shared" si="261"/>
        <v>0</v>
      </c>
      <c r="BI41" s="135">
        <f t="shared" ref="BI41:BJ62" si="272">IF(K41=0,1,BG41/K41-1)</f>
        <v>1</v>
      </c>
      <c r="BJ41" s="135">
        <f t="shared" si="272"/>
        <v>1</v>
      </c>
      <c r="BK41" s="134">
        <f>'бюджет округа (района)'!AG41+'бюджеты поселений'!AG41</f>
        <v>0</v>
      </c>
      <c r="BL41" s="137">
        <f>'бюджет округа (района)'!AG41</f>
        <v>0</v>
      </c>
      <c r="BM41" s="134"/>
      <c r="BN41" s="134"/>
      <c r="BO41" s="135">
        <f t="shared" ref="BO41:BP62" si="273">IF(O41=0,1,BM41/O41-1)</f>
        <v>1</v>
      </c>
      <c r="BP41" s="135">
        <f t="shared" si="273"/>
        <v>1</v>
      </c>
      <c r="BQ41" s="134">
        <f>'бюджет округа (района)'!AJ41+'бюджеты поселений'!AJ41</f>
        <v>0</v>
      </c>
      <c r="BR41" s="137">
        <f>'бюджет округа (района)'!AJ41</f>
        <v>0</v>
      </c>
      <c r="BS41" s="134"/>
      <c r="BT41" s="134"/>
      <c r="BU41" s="135">
        <f t="shared" ref="BU41:BV62" si="274">IF(S41=0,1,BS41/S41-1)</f>
        <v>1</v>
      </c>
      <c r="BV41" s="135">
        <f t="shared" si="274"/>
        <v>1</v>
      </c>
      <c r="BW41" s="134">
        <f>'бюджет округа (района)'!AM41+'бюджеты поселений'!AM41</f>
        <v>0</v>
      </c>
      <c r="BX41" s="137">
        <f>'бюджет округа (района)'!AM41</f>
        <v>0</v>
      </c>
      <c r="BY41" s="134"/>
      <c r="BZ41" s="134"/>
      <c r="CA41" s="135">
        <f t="shared" ref="CA41:CB62" si="275">IF(W41=0,1,BY41/W41-1)</f>
        <v>1</v>
      </c>
      <c r="CB41" s="135">
        <f t="shared" si="275"/>
        <v>1</v>
      </c>
      <c r="CC41" s="134">
        <f>'бюджет округа (района)'!AP41+'бюджеты поселений'!AP41</f>
        <v>0</v>
      </c>
      <c r="CD41" s="137">
        <f>'бюджет округа (района)'!AP41</f>
        <v>0</v>
      </c>
      <c r="CE41" s="134"/>
      <c r="CF41" s="134"/>
      <c r="CG41" s="135">
        <f t="shared" ref="CG41:CH62" si="276">IF(AA41=0,1,CE41/AA41-1)</f>
        <v>1</v>
      </c>
      <c r="CH41" s="135">
        <f t="shared" si="276"/>
        <v>1</v>
      </c>
      <c r="CI41" s="134">
        <f>'бюджет округа (района)'!AS41+'бюджеты поселений'!AS41</f>
        <v>0</v>
      </c>
      <c r="CJ41" s="137">
        <f>'бюджет округа (района)'!AS41</f>
        <v>0</v>
      </c>
      <c r="CK41" s="134"/>
      <c r="CL41" s="134"/>
      <c r="CM41" s="135">
        <f t="shared" ref="CM41:CN62" si="277">IF(AE41=0,1,CK41/AE41-1)</f>
        <v>1</v>
      </c>
      <c r="CN41" s="135">
        <f t="shared" si="277"/>
        <v>1</v>
      </c>
      <c r="CO41" s="134">
        <f>'бюджет округа (района)'!AV41+'бюджеты поселений'!AV41</f>
        <v>0</v>
      </c>
      <c r="CP41" s="137">
        <f>'бюджет округа (района)'!AV41</f>
        <v>0</v>
      </c>
      <c r="CQ41" s="134"/>
      <c r="CR41" s="134"/>
      <c r="CS41" s="135">
        <f t="shared" ref="CS41:CT62" si="278">IF(AI41=0,1,CQ41/AI41-1)</f>
        <v>1</v>
      </c>
      <c r="CT41" s="135">
        <f t="shared" si="278"/>
        <v>1</v>
      </c>
      <c r="CU41" s="134">
        <f>'бюджет округа (района)'!AY41+'бюджеты поселений'!AY41</f>
        <v>0</v>
      </c>
      <c r="CV41" s="137">
        <f>'бюджет округа (района)'!AY41</f>
        <v>0</v>
      </c>
      <c r="CW41" s="134"/>
      <c r="CX41" s="134"/>
      <c r="CY41" s="135">
        <f t="shared" ref="CY41:CZ62" si="279">IF(AM41=0,1,CW41/AM41-1)</f>
        <v>1</v>
      </c>
      <c r="CZ41" s="135">
        <f t="shared" si="279"/>
        <v>1</v>
      </c>
      <c r="DA41" s="134">
        <f>'бюджет округа (района)'!BB41+'бюджеты поселений'!BB41</f>
        <v>0</v>
      </c>
      <c r="DB41" s="137">
        <f>'бюджет округа (района)'!BB41</f>
        <v>0</v>
      </c>
      <c r="DC41" s="134"/>
      <c r="DD41" s="134"/>
      <c r="DE41" s="135">
        <f t="shared" ref="DE41:DF62" si="280">IF(AQ41=0,1,DC41/AQ41-1)</f>
        <v>1</v>
      </c>
      <c r="DF41" s="135">
        <f t="shared" si="280"/>
        <v>1</v>
      </c>
      <c r="DG41" s="134">
        <f>'бюджет округа (района)'!BE41+'бюджеты поселений'!BE41</f>
        <v>0</v>
      </c>
      <c r="DH41" s="137">
        <f>'бюджет округа (района)'!BE41</f>
        <v>0</v>
      </c>
      <c r="DI41" s="134"/>
      <c r="DJ41" s="134"/>
      <c r="DK41" s="135">
        <f t="shared" ref="DK41:DL62" si="281">IF(AU41=0,1,DI41/AU41-1)</f>
        <v>1</v>
      </c>
      <c r="DL41" s="135">
        <f t="shared" si="281"/>
        <v>1</v>
      </c>
      <c r="DM41" s="134">
        <f>'бюджет округа (района)'!BH41+'бюджеты поселений'!BH41</f>
        <v>0</v>
      </c>
      <c r="DN41" s="137">
        <f>'бюджет округа (района)'!BH41</f>
        <v>0</v>
      </c>
      <c r="DO41" s="134">
        <f>'бюджет округа (района)'!BI41+'бюджеты поселений'!BI41</f>
        <v>0</v>
      </c>
      <c r="DP41" s="137">
        <f>'бюджет округа (района)'!BI41</f>
        <v>0</v>
      </c>
      <c r="DQ41" s="134">
        <f>'бюджет округа (района)'!BJ41+'бюджеты поселений'!BJ41</f>
        <v>0</v>
      </c>
      <c r="DR41" s="137">
        <f>'бюджет округа (района)'!BJ41</f>
        <v>0</v>
      </c>
      <c r="DS41" s="135">
        <f>IF($AY$41=0,1,DQ41/$AY$41-1)</f>
        <v>1</v>
      </c>
      <c r="DT41" s="135">
        <f>IF($AZ$41=0,1,DR41/$AZ$41-1)</f>
        <v>1</v>
      </c>
      <c r="DU41" s="135">
        <f t="shared" si="58"/>
        <v>1</v>
      </c>
      <c r="DV41" s="135">
        <f t="shared" si="59"/>
        <v>1</v>
      </c>
      <c r="DW41" s="167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  <c r="IW41" s="63"/>
      <c r="IX41" s="63"/>
      <c r="IY41" s="63"/>
      <c r="IZ41" s="63"/>
      <c r="JA41" s="63"/>
      <c r="JB41" s="63"/>
      <c r="JC41" s="63"/>
      <c r="JD41" s="63"/>
      <c r="JE41" s="63"/>
      <c r="JF41" s="63"/>
      <c r="JG41" s="63"/>
      <c r="JH41" s="63"/>
    </row>
    <row r="42" spans="1:268" s="64" customFormat="1" ht="18" customHeight="1">
      <c r="A42" s="290" t="s">
        <v>98</v>
      </c>
      <c r="B42" s="291"/>
      <c r="C42" s="134">
        <f>'бюджет округа (района)'!C42+'бюджеты поселений'!C42</f>
        <v>0</v>
      </c>
      <c r="D42" s="137">
        <f>'бюджет округа (района)'!C42</f>
        <v>0</v>
      </c>
      <c r="E42" s="134">
        <f t="shared" si="256"/>
        <v>0</v>
      </c>
      <c r="F42" s="137">
        <f t="shared" si="256"/>
        <v>0</v>
      </c>
      <c r="G42" s="134">
        <f>'бюджет округа (района)'!E42+'бюджеты поселений'!E42</f>
        <v>0</v>
      </c>
      <c r="H42" s="137">
        <f>'бюджет округа (района)'!E42</f>
        <v>0</v>
      </c>
      <c r="I42" s="134">
        <f>'бюджет округа (района)'!F42+'бюджеты поселений'!F42</f>
        <v>0</v>
      </c>
      <c r="J42" s="137">
        <f>'бюджет округа (района)'!F42</f>
        <v>0</v>
      </c>
      <c r="K42" s="134">
        <f t="shared" si="271"/>
        <v>0</v>
      </c>
      <c r="L42" s="134">
        <f t="shared" si="271"/>
        <v>0</v>
      </c>
      <c r="M42" s="134">
        <f>'бюджет округа (района)'!H42+'бюджеты поселений'!H42</f>
        <v>0</v>
      </c>
      <c r="N42" s="137">
        <f>'бюджет округа (района)'!H42</f>
        <v>0</v>
      </c>
      <c r="O42" s="134">
        <f t="shared" si="152"/>
        <v>0</v>
      </c>
      <c r="P42" s="134">
        <f t="shared" si="152"/>
        <v>0</v>
      </c>
      <c r="Q42" s="134">
        <f>'бюджет округа (района)'!J42+'бюджеты поселений'!J42</f>
        <v>0</v>
      </c>
      <c r="R42" s="137">
        <f>'бюджет округа (района)'!J42</f>
        <v>0</v>
      </c>
      <c r="S42" s="134">
        <f t="shared" si="153"/>
        <v>0</v>
      </c>
      <c r="T42" s="134">
        <f t="shared" si="153"/>
        <v>0</v>
      </c>
      <c r="U42" s="134">
        <f>'бюджет округа (района)'!L42+'бюджеты поселений'!L42</f>
        <v>0</v>
      </c>
      <c r="V42" s="137">
        <f>'бюджет округа (района)'!L42</f>
        <v>0</v>
      </c>
      <c r="W42" s="134">
        <f t="shared" si="154"/>
        <v>0</v>
      </c>
      <c r="X42" s="134">
        <f t="shared" si="154"/>
        <v>0</v>
      </c>
      <c r="Y42" s="134">
        <f>'бюджет округа (района)'!N42+'бюджеты поселений'!N42</f>
        <v>0</v>
      </c>
      <c r="Z42" s="137">
        <f>'бюджет округа (района)'!N42</f>
        <v>0</v>
      </c>
      <c r="AA42" s="134">
        <f t="shared" si="155"/>
        <v>0</v>
      </c>
      <c r="AB42" s="134">
        <f t="shared" si="155"/>
        <v>0</v>
      </c>
      <c r="AC42" s="134">
        <f>'бюджет округа (района)'!P42+'бюджеты поселений'!P42</f>
        <v>0</v>
      </c>
      <c r="AD42" s="137">
        <f>'бюджет округа (района)'!P42</f>
        <v>0</v>
      </c>
      <c r="AE42" s="134">
        <f t="shared" si="156"/>
        <v>0</v>
      </c>
      <c r="AF42" s="134">
        <f t="shared" si="156"/>
        <v>0</v>
      </c>
      <c r="AG42" s="134">
        <f>'бюджет округа (района)'!R42+'бюджеты поселений'!R42</f>
        <v>0</v>
      </c>
      <c r="AH42" s="137">
        <f>'бюджет округа (района)'!R42</f>
        <v>0</v>
      </c>
      <c r="AI42" s="134">
        <f t="shared" ref="AI42:AJ45" si="282">AE42+AG42</f>
        <v>0</v>
      </c>
      <c r="AJ42" s="134">
        <f t="shared" si="282"/>
        <v>0</v>
      </c>
      <c r="AK42" s="134">
        <f>'бюджет округа (района)'!T42+'бюджеты поселений'!T42</f>
        <v>0</v>
      </c>
      <c r="AL42" s="137">
        <f>'бюджет округа (района)'!T42</f>
        <v>0</v>
      </c>
      <c r="AM42" s="134">
        <f t="shared" ref="AM42:AN45" si="283">AI42+AK42</f>
        <v>0</v>
      </c>
      <c r="AN42" s="134">
        <f t="shared" si="283"/>
        <v>0</v>
      </c>
      <c r="AO42" s="134">
        <f>'бюджет округа (района)'!V42+'бюджеты поселений'!V42</f>
        <v>0</v>
      </c>
      <c r="AP42" s="137">
        <f>'бюджет округа (района)'!V42</f>
        <v>0</v>
      </c>
      <c r="AQ42" s="134">
        <f t="shared" ref="AQ42:AR45" si="284">AM42+AO42</f>
        <v>0</v>
      </c>
      <c r="AR42" s="134">
        <f t="shared" si="284"/>
        <v>0</v>
      </c>
      <c r="AS42" s="134">
        <f>'бюджет округа (района)'!X42+'бюджеты поселений'!X42</f>
        <v>0</v>
      </c>
      <c r="AT42" s="137">
        <f>'бюджет округа (района)'!X42</f>
        <v>0</v>
      </c>
      <c r="AU42" s="134">
        <f t="shared" ref="AU42:AV45" si="285">AQ42+AS42</f>
        <v>0</v>
      </c>
      <c r="AV42" s="134">
        <f t="shared" si="285"/>
        <v>0</v>
      </c>
      <c r="AW42" s="134">
        <f>'бюджет округа (района)'!Z42+'бюджеты поселений'!Z42</f>
        <v>0</v>
      </c>
      <c r="AX42" s="137">
        <f>'бюджет округа (района)'!Z42</f>
        <v>0</v>
      </c>
      <c r="AY42" s="134">
        <f>'бюджет округа (района)'!AA42+'бюджеты поселений'!AA42</f>
        <v>0</v>
      </c>
      <c r="AZ42" s="137">
        <f>'бюджет округа (района)'!AA42</f>
        <v>0</v>
      </c>
      <c r="BA42" s="135">
        <f t="shared" si="173"/>
        <v>1</v>
      </c>
      <c r="BB42" s="135">
        <f t="shared" si="173"/>
        <v>1</v>
      </c>
      <c r="BC42" s="134">
        <f>'бюджет округа (района)'!AC42+'бюджеты поселений'!AC42</f>
        <v>0</v>
      </c>
      <c r="BD42" s="137">
        <f>'бюджет округа (района)'!AC42</f>
        <v>0</v>
      </c>
      <c r="BE42" s="134">
        <f>'бюджет округа (района)'!AD42+'бюджеты поселений'!AD42</f>
        <v>0</v>
      </c>
      <c r="BF42" s="137">
        <f>'бюджет округа (района)'!AD42</f>
        <v>0</v>
      </c>
      <c r="BG42" s="134">
        <f t="shared" si="261"/>
        <v>0</v>
      </c>
      <c r="BH42" s="134">
        <f t="shared" si="261"/>
        <v>0</v>
      </c>
      <c r="BI42" s="135">
        <f t="shared" si="272"/>
        <v>1</v>
      </c>
      <c r="BJ42" s="135">
        <f t="shared" si="272"/>
        <v>1</v>
      </c>
      <c r="BK42" s="134">
        <f>'бюджет округа (района)'!AG42+'бюджеты поселений'!AG42</f>
        <v>0</v>
      </c>
      <c r="BL42" s="137">
        <f>'бюджет округа (района)'!AG42</f>
        <v>0</v>
      </c>
      <c r="BM42" s="134">
        <f t="shared" ref="BM42:BN45" si="286">BG42+BK42</f>
        <v>0</v>
      </c>
      <c r="BN42" s="134">
        <f t="shared" si="286"/>
        <v>0</v>
      </c>
      <c r="BO42" s="135">
        <f t="shared" si="273"/>
        <v>1</v>
      </c>
      <c r="BP42" s="135">
        <f t="shared" si="273"/>
        <v>1</v>
      </c>
      <c r="BQ42" s="134">
        <f>'бюджет округа (района)'!AJ42+'бюджеты поселений'!AJ42</f>
        <v>0</v>
      </c>
      <c r="BR42" s="137">
        <f>'бюджет округа (района)'!AJ42</f>
        <v>0</v>
      </c>
      <c r="BS42" s="134">
        <f t="shared" ref="BS42:BT45" si="287">BM42+BQ42</f>
        <v>0</v>
      </c>
      <c r="BT42" s="134">
        <f t="shared" si="287"/>
        <v>0</v>
      </c>
      <c r="BU42" s="135">
        <f t="shared" si="274"/>
        <v>1</v>
      </c>
      <c r="BV42" s="135">
        <f t="shared" si="274"/>
        <v>1</v>
      </c>
      <c r="BW42" s="134">
        <f>'бюджет округа (района)'!AM42+'бюджеты поселений'!AM42</f>
        <v>0</v>
      </c>
      <c r="BX42" s="137">
        <f>'бюджет округа (района)'!AM42</f>
        <v>0</v>
      </c>
      <c r="BY42" s="134">
        <f t="shared" ref="BY42:BZ45" si="288">BS42+BW42</f>
        <v>0</v>
      </c>
      <c r="BZ42" s="134">
        <f t="shared" si="288"/>
        <v>0</v>
      </c>
      <c r="CA42" s="135">
        <f t="shared" si="275"/>
        <v>1</v>
      </c>
      <c r="CB42" s="135">
        <f t="shared" si="275"/>
        <v>1</v>
      </c>
      <c r="CC42" s="134">
        <f>'бюджет округа (района)'!AP42+'бюджеты поселений'!AP42</f>
        <v>0</v>
      </c>
      <c r="CD42" s="137">
        <f>'бюджет округа (района)'!AP42</f>
        <v>0</v>
      </c>
      <c r="CE42" s="134">
        <f t="shared" ref="CE42:CF45" si="289">BY42+CC42</f>
        <v>0</v>
      </c>
      <c r="CF42" s="134">
        <f t="shared" si="289"/>
        <v>0</v>
      </c>
      <c r="CG42" s="135">
        <f t="shared" si="276"/>
        <v>1</v>
      </c>
      <c r="CH42" s="135">
        <f t="shared" si="276"/>
        <v>1</v>
      </c>
      <c r="CI42" s="134">
        <f>'бюджет округа (района)'!AS42+'бюджеты поселений'!AS42</f>
        <v>0</v>
      </c>
      <c r="CJ42" s="137">
        <f>'бюджет округа (района)'!AS42</f>
        <v>0</v>
      </c>
      <c r="CK42" s="134">
        <f t="shared" ref="CK42:CL45" si="290">CE42+CI42</f>
        <v>0</v>
      </c>
      <c r="CL42" s="134">
        <f t="shared" si="290"/>
        <v>0</v>
      </c>
      <c r="CM42" s="135">
        <f t="shared" si="277"/>
        <v>1</v>
      </c>
      <c r="CN42" s="135">
        <f t="shared" si="277"/>
        <v>1</v>
      </c>
      <c r="CO42" s="134">
        <f>'бюджет округа (района)'!AV42+'бюджеты поселений'!AV42</f>
        <v>0</v>
      </c>
      <c r="CP42" s="137">
        <f>'бюджет округа (района)'!AV42</f>
        <v>0</v>
      </c>
      <c r="CQ42" s="134">
        <f t="shared" ref="CQ42:CR45" si="291">CK42+CO42</f>
        <v>0</v>
      </c>
      <c r="CR42" s="134">
        <f t="shared" si="291"/>
        <v>0</v>
      </c>
      <c r="CS42" s="135">
        <f t="shared" si="278"/>
        <v>1</v>
      </c>
      <c r="CT42" s="135">
        <f t="shared" si="278"/>
        <v>1</v>
      </c>
      <c r="CU42" s="134">
        <f>'бюджет округа (района)'!AY42+'бюджеты поселений'!AY42</f>
        <v>0</v>
      </c>
      <c r="CV42" s="137">
        <f>'бюджет округа (района)'!AY42</f>
        <v>0</v>
      </c>
      <c r="CW42" s="134">
        <f t="shared" ref="CW42:CX45" si="292">CQ42+CU42</f>
        <v>0</v>
      </c>
      <c r="CX42" s="134">
        <f t="shared" si="292"/>
        <v>0</v>
      </c>
      <c r="CY42" s="135">
        <f t="shared" si="279"/>
        <v>1</v>
      </c>
      <c r="CZ42" s="135">
        <f t="shared" si="279"/>
        <v>1</v>
      </c>
      <c r="DA42" s="134">
        <f>'бюджет округа (района)'!BB42+'бюджеты поселений'!BB42</f>
        <v>0</v>
      </c>
      <c r="DB42" s="137">
        <f>'бюджет округа (района)'!BB42</f>
        <v>0</v>
      </c>
      <c r="DC42" s="134">
        <f t="shared" ref="DC42:DD45" si="293">CW42+DA42</f>
        <v>0</v>
      </c>
      <c r="DD42" s="134">
        <f t="shared" si="293"/>
        <v>0</v>
      </c>
      <c r="DE42" s="135">
        <f t="shared" si="280"/>
        <v>1</v>
      </c>
      <c r="DF42" s="135">
        <f t="shared" si="280"/>
        <v>1</v>
      </c>
      <c r="DG42" s="134">
        <f>'бюджет округа (района)'!BE42+'бюджеты поселений'!BE42</f>
        <v>0</v>
      </c>
      <c r="DH42" s="137">
        <f>'бюджет округа (района)'!BE42</f>
        <v>0</v>
      </c>
      <c r="DI42" s="134">
        <f t="shared" ref="DI42:DJ45" si="294">DC42+DG42</f>
        <v>0</v>
      </c>
      <c r="DJ42" s="134">
        <f t="shared" si="294"/>
        <v>0</v>
      </c>
      <c r="DK42" s="135">
        <f t="shared" si="281"/>
        <v>1</v>
      </c>
      <c r="DL42" s="135">
        <f t="shared" si="281"/>
        <v>1</v>
      </c>
      <c r="DM42" s="134">
        <f>'бюджет округа (района)'!BH42+'бюджеты поселений'!BH42</f>
        <v>0</v>
      </c>
      <c r="DN42" s="137">
        <f>'бюджет округа (района)'!BH42</f>
        <v>0</v>
      </c>
      <c r="DO42" s="134">
        <f>'бюджет округа (района)'!BI42+'бюджеты поселений'!BI42</f>
        <v>0</v>
      </c>
      <c r="DP42" s="137">
        <f>'бюджет округа (района)'!BI42</f>
        <v>0</v>
      </c>
      <c r="DQ42" s="134">
        <f>'бюджет округа (района)'!BJ42+'бюджеты поселений'!BJ42</f>
        <v>0</v>
      </c>
      <c r="DR42" s="137">
        <f>'бюджет округа (района)'!BJ42</f>
        <v>0</v>
      </c>
      <c r="DS42" s="135">
        <f>IF($AY$42=0,1,DQ42/$AY$42-1)</f>
        <v>1</v>
      </c>
      <c r="DT42" s="135">
        <f>IF($AZ$42=0,1,DR42/$AZ$42-1)</f>
        <v>1</v>
      </c>
      <c r="DU42" s="135">
        <f t="shared" si="58"/>
        <v>1</v>
      </c>
      <c r="DV42" s="135">
        <f t="shared" si="59"/>
        <v>1</v>
      </c>
      <c r="DW42" s="167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  <c r="IM42" s="63"/>
      <c r="IN42" s="63"/>
      <c r="IO42" s="63"/>
      <c r="IP42" s="63"/>
      <c r="IQ42" s="63"/>
      <c r="IR42" s="63"/>
      <c r="IS42" s="63"/>
      <c r="IT42" s="63"/>
      <c r="IU42" s="63"/>
      <c r="IV42" s="63"/>
      <c r="IW42" s="63"/>
      <c r="IX42" s="63"/>
      <c r="IY42" s="63"/>
      <c r="IZ42" s="63"/>
      <c r="JA42" s="63"/>
      <c r="JB42" s="63"/>
      <c r="JC42" s="63"/>
      <c r="JD42" s="63"/>
      <c r="JE42" s="63"/>
      <c r="JF42" s="63"/>
      <c r="JG42" s="63"/>
      <c r="JH42" s="63"/>
    </row>
    <row r="43" spans="1:268" s="68" customFormat="1" ht="18" customHeight="1">
      <c r="A43" s="308" t="s">
        <v>97</v>
      </c>
      <c r="B43" s="309"/>
      <c r="C43" s="140">
        <f>'бюджет округа (района)'!C43+'бюджеты поселений'!C43</f>
        <v>0</v>
      </c>
      <c r="D43" s="140">
        <f>'бюджет округа (района)'!C43</f>
        <v>0</v>
      </c>
      <c r="E43" s="140">
        <f t="shared" si="256"/>
        <v>0</v>
      </c>
      <c r="F43" s="140">
        <f t="shared" si="256"/>
        <v>0</v>
      </c>
      <c r="G43" s="140">
        <f>'бюджет округа (района)'!E43+'бюджеты поселений'!E43</f>
        <v>0</v>
      </c>
      <c r="H43" s="140">
        <f>'бюджет округа (района)'!E43</f>
        <v>0</v>
      </c>
      <c r="I43" s="140">
        <f>'бюджет округа (района)'!F43+'бюджеты поселений'!F43</f>
        <v>0</v>
      </c>
      <c r="J43" s="140">
        <f>'бюджет округа (района)'!F43</f>
        <v>0</v>
      </c>
      <c r="K43" s="132">
        <f>G43+I43</f>
        <v>0</v>
      </c>
      <c r="L43" s="132">
        <f>H43+J43</f>
        <v>0</v>
      </c>
      <c r="M43" s="140">
        <f>'бюджет округа (района)'!H43+'бюджеты поселений'!H43</f>
        <v>0</v>
      </c>
      <c r="N43" s="140">
        <f>'бюджет округа (района)'!H43</f>
        <v>0</v>
      </c>
      <c r="O43" s="132">
        <f t="shared" ref="O43:P45" si="295">K43+M43</f>
        <v>0</v>
      </c>
      <c r="P43" s="132">
        <f t="shared" si="295"/>
        <v>0</v>
      </c>
      <c r="Q43" s="140">
        <f>'бюджет округа (района)'!J43+'бюджеты поселений'!J43</f>
        <v>0</v>
      </c>
      <c r="R43" s="140">
        <f>'бюджет округа (района)'!J43</f>
        <v>0</v>
      </c>
      <c r="S43" s="132">
        <f t="shared" ref="S43:T45" si="296">O43+Q43</f>
        <v>0</v>
      </c>
      <c r="T43" s="132">
        <f t="shared" si="296"/>
        <v>0</v>
      </c>
      <c r="U43" s="140">
        <f>'бюджет округа (района)'!L43+'бюджеты поселений'!L43</f>
        <v>0</v>
      </c>
      <c r="V43" s="140">
        <f>'бюджет округа (района)'!L43</f>
        <v>0</v>
      </c>
      <c r="W43" s="132">
        <f t="shared" ref="W43:X45" si="297">S43+U43</f>
        <v>0</v>
      </c>
      <c r="X43" s="132">
        <f t="shared" si="297"/>
        <v>0</v>
      </c>
      <c r="Y43" s="140">
        <f>'бюджет округа (района)'!N43+'бюджеты поселений'!N43</f>
        <v>0</v>
      </c>
      <c r="Z43" s="140">
        <f>'бюджет округа (района)'!N43</f>
        <v>0</v>
      </c>
      <c r="AA43" s="132">
        <f t="shared" ref="AA43:AB45" si="298">W43+Y43</f>
        <v>0</v>
      </c>
      <c r="AB43" s="132">
        <f t="shared" si="298"/>
        <v>0</v>
      </c>
      <c r="AC43" s="140">
        <f>'бюджет округа (района)'!P43+'бюджеты поселений'!P43</f>
        <v>0</v>
      </c>
      <c r="AD43" s="140">
        <f>'бюджет округа (района)'!P43</f>
        <v>0</v>
      </c>
      <c r="AE43" s="132">
        <f t="shared" ref="AE43:AF45" si="299">AA43+AC43</f>
        <v>0</v>
      </c>
      <c r="AF43" s="132">
        <f t="shared" si="299"/>
        <v>0</v>
      </c>
      <c r="AG43" s="140">
        <f>'бюджет округа (района)'!R43+'бюджеты поселений'!R43</f>
        <v>0</v>
      </c>
      <c r="AH43" s="140">
        <f>'бюджет округа (района)'!R43</f>
        <v>0</v>
      </c>
      <c r="AI43" s="132">
        <f t="shared" si="282"/>
        <v>0</v>
      </c>
      <c r="AJ43" s="132">
        <f t="shared" si="282"/>
        <v>0</v>
      </c>
      <c r="AK43" s="140">
        <f>'бюджет округа (района)'!T43+'бюджеты поселений'!T43</f>
        <v>0</v>
      </c>
      <c r="AL43" s="140">
        <f>'бюджет округа (района)'!T43</f>
        <v>0</v>
      </c>
      <c r="AM43" s="132">
        <f t="shared" si="283"/>
        <v>0</v>
      </c>
      <c r="AN43" s="132">
        <f t="shared" si="283"/>
        <v>0</v>
      </c>
      <c r="AO43" s="140">
        <f>'бюджет округа (района)'!V43+'бюджеты поселений'!V43</f>
        <v>0</v>
      </c>
      <c r="AP43" s="140">
        <f>'бюджет округа (района)'!V43</f>
        <v>0</v>
      </c>
      <c r="AQ43" s="132">
        <f t="shared" si="284"/>
        <v>0</v>
      </c>
      <c r="AR43" s="132">
        <f t="shared" si="284"/>
        <v>0</v>
      </c>
      <c r="AS43" s="140">
        <f>'бюджет округа (района)'!X43+'бюджеты поселений'!X43</f>
        <v>0</v>
      </c>
      <c r="AT43" s="140">
        <f>'бюджет округа (района)'!X43</f>
        <v>0</v>
      </c>
      <c r="AU43" s="132">
        <f t="shared" si="285"/>
        <v>0</v>
      </c>
      <c r="AV43" s="132">
        <f t="shared" si="285"/>
        <v>0</v>
      </c>
      <c r="AW43" s="140">
        <f>'бюджет округа (района)'!Z43+'бюджеты поселений'!Z43</f>
        <v>0</v>
      </c>
      <c r="AX43" s="140">
        <f>'бюджет округа (района)'!Z43</f>
        <v>0</v>
      </c>
      <c r="AY43" s="140">
        <f>'бюджет округа (района)'!AA43+'бюджеты поселений'!AA43</f>
        <v>0</v>
      </c>
      <c r="AZ43" s="140">
        <f>'бюджет округа (района)'!AA43</f>
        <v>0</v>
      </c>
      <c r="BA43" s="142">
        <f t="shared" ref="BA43:BB58" si="300">IF(E43=0,1,AY43/E43-1)</f>
        <v>1</v>
      </c>
      <c r="BB43" s="142">
        <f t="shared" si="300"/>
        <v>1</v>
      </c>
      <c r="BC43" s="140">
        <f>'бюджет округа (района)'!AC43+'бюджеты поселений'!AC43</f>
        <v>0</v>
      </c>
      <c r="BD43" s="140">
        <f>'бюджет округа (района)'!AC43</f>
        <v>0</v>
      </c>
      <c r="BE43" s="140">
        <f>'бюджет округа (района)'!AD43+'бюджеты поселений'!AD43</f>
        <v>0</v>
      </c>
      <c r="BF43" s="140">
        <f>'бюджет округа (района)'!AD43</f>
        <v>0</v>
      </c>
      <c r="BG43" s="132">
        <f>BC43+BE43</f>
        <v>0</v>
      </c>
      <c r="BH43" s="132">
        <f>BD43+BF43</f>
        <v>0</v>
      </c>
      <c r="BI43" s="142">
        <f t="shared" si="272"/>
        <v>1</v>
      </c>
      <c r="BJ43" s="142">
        <f t="shared" si="272"/>
        <v>1</v>
      </c>
      <c r="BK43" s="140">
        <f>'бюджет округа (района)'!AG43+'бюджеты поселений'!AG43</f>
        <v>0</v>
      </c>
      <c r="BL43" s="140">
        <f>'бюджет округа (района)'!AG43</f>
        <v>0</v>
      </c>
      <c r="BM43" s="132">
        <f t="shared" si="286"/>
        <v>0</v>
      </c>
      <c r="BN43" s="132">
        <f t="shared" si="286"/>
        <v>0</v>
      </c>
      <c r="BO43" s="142">
        <f t="shared" si="273"/>
        <v>1</v>
      </c>
      <c r="BP43" s="142">
        <f t="shared" si="273"/>
        <v>1</v>
      </c>
      <c r="BQ43" s="140">
        <f>'бюджет округа (района)'!AJ43+'бюджеты поселений'!AJ43</f>
        <v>0</v>
      </c>
      <c r="BR43" s="140">
        <f>'бюджет округа (района)'!AJ43</f>
        <v>0</v>
      </c>
      <c r="BS43" s="132">
        <f t="shared" si="287"/>
        <v>0</v>
      </c>
      <c r="BT43" s="132">
        <f t="shared" si="287"/>
        <v>0</v>
      </c>
      <c r="BU43" s="142">
        <f t="shared" si="274"/>
        <v>1</v>
      </c>
      <c r="BV43" s="142">
        <f t="shared" si="274"/>
        <v>1</v>
      </c>
      <c r="BW43" s="140">
        <f>'бюджет округа (района)'!AM43+'бюджеты поселений'!AM43</f>
        <v>0</v>
      </c>
      <c r="BX43" s="140">
        <f>'бюджет округа (района)'!AM43</f>
        <v>0</v>
      </c>
      <c r="BY43" s="132">
        <f t="shared" si="288"/>
        <v>0</v>
      </c>
      <c r="BZ43" s="132">
        <f t="shared" si="288"/>
        <v>0</v>
      </c>
      <c r="CA43" s="142">
        <f t="shared" si="275"/>
        <v>1</v>
      </c>
      <c r="CB43" s="142">
        <f t="shared" si="275"/>
        <v>1</v>
      </c>
      <c r="CC43" s="140">
        <f>'бюджет округа (района)'!AP43+'бюджеты поселений'!AP43</f>
        <v>0</v>
      </c>
      <c r="CD43" s="140">
        <f>'бюджет округа (района)'!AP43</f>
        <v>0</v>
      </c>
      <c r="CE43" s="132">
        <f t="shared" si="289"/>
        <v>0</v>
      </c>
      <c r="CF43" s="132">
        <f t="shared" si="289"/>
        <v>0</v>
      </c>
      <c r="CG43" s="142">
        <f t="shared" si="276"/>
        <v>1</v>
      </c>
      <c r="CH43" s="142">
        <f t="shared" si="276"/>
        <v>1</v>
      </c>
      <c r="CI43" s="140">
        <f>'бюджет округа (района)'!AS43+'бюджеты поселений'!AS43</f>
        <v>0</v>
      </c>
      <c r="CJ43" s="140">
        <f>'бюджет округа (района)'!AS43</f>
        <v>0</v>
      </c>
      <c r="CK43" s="132">
        <f t="shared" si="290"/>
        <v>0</v>
      </c>
      <c r="CL43" s="132">
        <f t="shared" si="290"/>
        <v>0</v>
      </c>
      <c r="CM43" s="142">
        <f t="shared" si="277"/>
        <v>1</v>
      </c>
      <c r="CN43" s="142">
        <f t="shared" si="277"/>
        <v>1</v>
      </c>
      <c r="CO43" s="140">
        <f>'бюджет округа (района)'!AV43+'бюджеты поселений'!AV43</f>
        <v>0</v>
      </c>
      <c r="CP43" s="140">
        <f>'бюджет округа (района)'!AV43</f>
        <v>0</v>
      </c>
      <c r="CQ43" s="132">
        <f t="shared" si="291"/>
        <v>0</v>
      </c>
      <c r="CR43" s="132">
        <f t="shared" si="291"/>
        <v>0</v>
      </c>
      <c r="CS43" s="142">
        <f t="shared" si="278"/>
        <v>1</v>
      </c>
      <c r="CT43" s="142">
        <f t="shared" si="278"/>
        <v>1</v>
      </c>
      <c r="CU43" s="140">
        <f>'бюджет округа (района)'!AY43+'бюджеты поселений'!AY43</f>
        <v>0</v>
      </c>
      <c r="CV43" s="140">
        <f>'бюджет округа (района)'!AY43</f>
        <v>0</v>
      </c>
      <c r="CW43" s="132">
        <f t="shared" si="292"/>
        <v>0</v>
      </c>
      <c r="CX43" s="132">
        <f t="shared" si="292"/>
        <v>0</v>
      </c>
      <c r="CY43" s="142">
        <f t="shared" si="279"/>
        <v>1</v>
      </c>
      <c r="CZ43" s="142">
        <f t="shared" si="279"/>
        <v>1</v>
      </c>
      <c r="DA43" s="140">
        <f>'бюджет округа (района)'!BB43+'бюджеты поселений'!BB43</f>
        <v>0</v>
      </c>
      <c r="DB43" s="140">
        <f>'бюджет округа (района)'!BB43</f>
        <v>0</v>
      </c>
      <c r="DC43" s="132">
        <f t="shared" si="293"/>
        <v>0</v>
      </c>
      <c r="DD43" s="132">
        <f t="shared" si="293"/>
        <v>0</v>
      </c>
      <c r="DE43" s="142">
        <f t="shared" si="280"/>
        <v>1</v>
      </c>
      <c r="DF43" s="142">
        <f t="shared" si="280"/>
        <v>1</v>
      </c>
      <c r="DG43" s="140">
        <f>'бюджет округа (района)'!BE43+'бюджеты поселений'!BE43</f>
        <v>0</v>
      </c>
      <c r="DH43" s="140">
        <f>'бюджет округа (района)'!BE43</f>
        <v>0</v>
      </c>
      <c r="DI43" s="132">
        <f t="shared" si="294"/>
        <v>0</v>
      </c>
      <c r="DJ43" s="132">
        <f t="shared" si="294"/>
        <v>0</v>
      </c>
      <c r="DK43" s="142">
        <f t="shared" si="281"/>
        <v>1</v>
      </c>
      <c r="DL43" s="142">
        <f t="shared" si="281"/>
        <v>1</v>
      </c>
      <c r="DM43" s="140">
        <f>'бюджет округа (района)'!BH43+'бюджеты поселений'!BH43</f>
        <v>0</v>
      </c>
      <c r="DN43" s="140">
        <f>'бюджет округа (района)'!BH43</f>
        <v>0</v>
      </c>
      <c r="DO43" s="140">
        <f>'бюджет округа (района)'!BI43+'бюджеты поселений'!BI43</f>
        <v>0</v>
      </c>
      <c r="DP43" s="140">
        <f>'бюджет округа (района)'!BI43</f>
        <v>0</v>
      </c>
      <c r="DQ43" s="140">
        <f>'бюджет округа (района)'!BJ43+'бюджеты поселений'!BJ43</f>
        <v>0</v>
      </c>
      <c r="DR43" s="140">
        <f>'бюджет округа (района)'!BJ43</f>
        <v>0</v>
      </c>
      <c r="DS43" s="142">
        <f>IF($AY$43=0,1,DQ43/$AY$43-1)</f>
        <v>1</v>
      </c>
      <c r="DT43" s="142">
        <f>IF($AZ$43=0,1,DR43/$AZ$43-1)</f>
        <v>1</v>
      </c>
      <c r="DU43" s="142">
        <f t="shared" si="58"/>
        <v>1</v>
      </c>
      <c r="DV43" s="142">
        <f t="shared" si="59"/>
        <v>1</v>
      </c>
      <c r="DW43" s="166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</row>
    <row r="44" spans="1:268" s="68" customFormat="1" ht="18" customHeight="1">
      <c r="A44" s="308" t="s">
        <v>101</v>
      </c>
      <c r="B44" s="309"/>
      <c r="C44" s="140">
        <f>'бюджет округа (района)'!C44+'бюджеты поселений'!C44</f>
        <v>0</v>
      </c>
      <c r="D44" s="140">
        <f>'бюджет округа (района)'!C44</f>
        <v>0</v>
      </c>
      <c r="E44" s="140">
        <f t="shared" si="256"/>
        <v>0</v>
      </c>
      <c r="F44" s="140">
        <f t="shared" si="256"/>
        <v>0</v>
      </c>
      <c r="G44" s="140">
        <f>'бюджет округа (района)'!E44+'бюджеты поселений'!E44</f>
        <v>0</v>
      </c>
      <c r="H44" s="140">
        <f>'бюджет округа (района)'!E44</f>
        <v>0</v>
      </c>
      <c r="I44" s="140">
        <f>'бюджет округа (района)'!F44+'бюджеты поселений'!F44</f>
        <v>0</v>
      </c>
      <c r="J44" s="140">
        <f>'бюджет округа (района)'!F44</f>
        <v>0</v>
      </c>
      <c r="K44" s="132">
        <f>G44+I44</f>
        <v>0</v>
      </c>
      <c r="L44" s="132">
        <f>H44+J44</f>
        <v>0</v>
      </c>
      <c r="M44" s="140">
        <f>'бюджет округа (района)'!H44+'бюджеты поселений'!H44</f>
        <v>0</v>
      </c>
      <c r="N44" s="140">
        <f>'бюджет округа (района)'!H44</f>
        <v>0</v>
      </c>
      <c r="O44" s="132">
        <f t="shared" si="295"/>
        <v>0</v>
      </c>
      <c r="P44" s="132">
        <f t="shared" si="295"/>
        <v>0</v>
      </c>
      <c r="Q44" s="140">
        <f>'бюджет округа (района)'!J44+'бюджеты поселений'!J44</f>
        <v>0</v>
      </c>
      <c r="R44" s="140">
        <f>'бюджет округа (района)'!J44</f>
        <v>0</v>
      </c>
      <c r="S44" s="132">
        <f t="shared" si="296"/>
        <v>0</v>
      </c>
      <c r="T44" s="132">
        <f t="shared" si="296"/>
        <v>0</v>
      </c>
      <c r="U44" s="140">
        <f>'бюджет округа (района)'!L44+'бюджеты поселений'!L44</f>
        <v>0</v>
      </c>
      <c r="V44" s="140">
        <f>'бюджет округа (района)'!L44</f>
        <v>0</v>
      </c>
      <c r="W44" s="132">
        <f t="shared" si="297"/>
        <v>0</v>
      </c>
      <c r="X44" s="132">
        <f t="shared" si="297"/>
        <v>0</v>
      </c>
      <c r="Y44" s="140">
        <f>'бюджет округа (района)'!N44+'бюджеты поселений'!N44</f>
        <v>0</v>
      </c>
      <c r="Z44" s="140">
        <f>'бюджет округа (района)'!N44</f>
        <v>0</v>
      </c>
      <c r="AA44" s="132">
        <f t="shared" si="298"/>
        <v>0</v>
      </c>
      <c r="AB44" s="132">
        <f t="shared" si="298"/>
        <v>0</v>
      </c>
      <c r="AC44" s="140">
        <f>'бюджет округа (района)'!P44+'бюджеты поселений'!P44</f>
        <v>0</v>
      </c>
      <c r="AD44" s="140">
        <f>'бюджет округа (района)'!P44</f>
        <v>0</v>
      </c>
      <c r="AE44" s="132">
        <f t="shared" si="299"/>
        <v>0</v>
      </c>
      <c r="AF44" s="132">
        <f t="shared" si="299"/>
        <v>0</v>
      </c>
      <c r="AG44" s="140">
        <f>'бюджет округа (района)'!R44+'бюджеты поселений'!R44</f>
        <v>0</v>
      </c>
      <c r="AH44" s="140">
        <f>'бюджет округа (района)'!R44</f>
        <v>0</v>
      </c>
      <c r="AI44" s="132">
        <f t="shared" si="282"/>
        <v>0</v>
      </c>
      <c r="AJ44" s="132">
        <f t="shared" si="282"/>
        <v>0</v>
      </c>
      <c r="AK44" s="140">
        <f>'бюджет округа (района)'!T44+'бюджеты поселений'!T44</f>
        <v>0</v>
      </c>
      <c r="AL44" s="140">
        <f>'бюджет округа (района)'!T44</f>
        <v>0</v>
      </c>
      <c r="AM44" s="132">
        <f t="shared" si="283"/>
        <v>0</v>
      </c>
      <c r="AN44" s="132">
        <f t="shared" si="283"/>
        <v>0</v>
      </c>
      <c r="AO44" s="140">
        <f>'бюджет округа (района)'!V44+'бюджеты поселений'!V44</f>
        <v>0</v>
      </c>
      <c r="AP44" s="140">
        <f>'бюджет округа (района)'!V44</f>
        <v>0</v>
      </c>
      <c r="AQ44" s="132">
        <f t="shared" si="284"/>
        <v>0</v>
      </c>
      <c r="AR44" s="132">
        <f t="shared" si="284"/>
        <v>0</v>
      </c>
      <c r="AS44" s="140">
        <f>'бюджет округа (района)'!X44+'бюджеты поселений'!X44</f>
        <v>0</v>
      </c>
      <c r="AT44" s="140">
        <f>'бюджет округа (района)'!X44</f>
        <v>0</v>
      </c>
      <c r="AU44" s="132">
        <f t="shared" si="285"/>
        <v>0</v>
      </c>
      <c r="AV44" s="132">
        <f t="shared" si="285"/>
        <v>0</v>
      </c>
      <c r="AW44" s="140">
        <f>'бюджет округа (района)'!Z44+'бюджеты поселений'!Z44</f>
        <v>0</v>
      </c>
      <c r="AX44" s="140">
        <f>'бюджет округа (района)'!Z44</f>
        <v>0</v>
      </c>
      <c r="AY44" s="140">
        <f>'бюджет округа (района)'!AA44+'бюджеты поселений'!AA44</f>
        <v>0</v>
      </c>
      <c r="AZ44" s="140">
        <f>'бюджет округа (района)'!AA44</f>
        <v>0</v>
      </c>
      <c r="BA44" s="142">
        <f t="shared" si="300"/>
        <v>1</v>
      </c>
      <c r="BB44" s="142">
        <f t="shared" si="300"/>
        <v>1</v>
      </c>
      <c r="BC44" s="140">
        <f>'бюджет округа (района)'!AC44+'бюджеты поселений'!AC44</f>
        <v>0</v>
      </c>
      <c r="BD44" s="140">
        <f>'бюджет округа (района)'!AC44</f>
        <v>0</v>
      </c>
      <c r="BE44" s="140">
        <f>'бюджет округа (района)'!AD44+'бюджеты поселений'!AD44</f>
        <v>0</v>
      </c>
      <c r="BF44" s="140">
        <f>'бюджет округа (района)'!AD44</f>
        <v>0</v>
      </c>
      <c r="BG44" s="132">
        <f>BC44+BE44</f>
        <v>0</v>
      </c>
      <c r="BH44" s="132">
        <f>BD44+BF44</f>
        <v>0</v>
      </c>
      <c r="BI44" s="142">
        <f t="shared" si="272"/>
        <v>1</v>
      </c>
      <c r="BJ44" s="142">
        <f t="shared" si="272"/>
        <v>1</v>
      </c>
      <c r="BK44" s="140">
        <f>'бюджет округа (района)'!AG44+'бюджеты поселений'!AG44</f>
        <v>0</v>
      </c>
      <c r="BL44" s="140">
        <f>'бюджет округа (района)'!AG44</f>
        <v>0</v>
      </c>
      <c r="BM44" s="132">
        <f t="shared" si="286"/>
        <v>0</v>
      </c>
      <c r="BN44" s="132">
        <f t="shared" si="286"/>
        <v>0</v>
      </c>
      <c r="BO44" s="142">
        <f t="shared" si="273"/>
        <v>1</v>
      </c>
      <c r="BP44" s="142">
        <f t="shared" si="273"/>
        <v>1</v>
      </c>
      <c r="BQ44" s="140">
        <f>'бюджет округа (района)'!AJ44+'бюджеты поселений'!AJ44</f>
        <v>0</v>
      </c>
      <c r="BR44" s="140">
        <f>'бюджет округа (района)'!AJ44</f>
        <v>0</v>
      </c>
      <c r="BS44" s="132">
        <f t="shared" si="287"/>
        <v>0</v>
      </c>
      <c r="BT44" s="132">
        <f t="shared" si="287"/>
        <v>0</v>
      </c>
      <c r="BU44" s="142">
        <f t="shared" si="274"/>
        <v>1</v>
      </c>
      <c r="BV44" s="142">
        <f t="shared" si="274"/>
        <v>1</v>
      </c>
      <c r="BW44" s="140">
        <f>'бюджет округа (района)'!AM44+'бюджеты поселений'!AM44</f>
        <v>0</v>
      </c>
      <c r="BX44" s="140">
        <f>'бюджет округа (района)'!AM44</f>
        <v>0</v>
      </c>
      <c r="BY44" s="132">
        <f t="shared" si="288"/>
        <v>0</v>
      </c>
      <c r="BZ44" s="132">
        <f t="shared" si="288"/>
        <v>0</v>
      </c>
      <c r="CA44" s="142">
        <f t="shared" si="275"/>
        <v>1</v>
      </c>
      <c r="CB44" s="142">
        <f t="shared" si="275"/>
        <v>1</v>
      </c>
      <c r="CC44" s="140">
        <f>'бюджет округа (района)'!AP44+'бюджеты поселений'!AP44</f>
        <v>0</v>
      </c>
      <c r="CD44" s="140">
        <f>'бюджет округа (района)'!AP44</f>
        <v>0</v>
      </c>
      <c r="CE44" s="132">
        <f t="shared" si="289"/>
        <v>0</v>
      </c>
      <c r="CF44" s="132">
        <f t="shared" si="289"/>
        <v>0</v>
      </c>
      <c r="CG44" s="142">
        <f t="shared" si="276"/>
        <v>1</v>
      </c>
      <c r="CH44" s="142">
        <f t="shared" si="276"/>
        <v>1</v>
      </c>
      <c r="CI44" s="140">
        <f>'бюджет округа (района)'!AS44+'бюджеты поселений'!AS44</f>
        <v>0</v>
      </c>
      <c r="CJ44" s="140">
        <f>'бюджет округа (района)'!AS44</f>
        <v>0</v>
      </c>
      <c r="CK44" s="132">
        <f t="shared" si="290"/>
        <v>0</v>
      </c>
      <c r="CL44" s="132">
        <f t="shared" si="290"/>
        <v>0</v>
      </c>
      <c r="CM44" s="142">
        <f t="shared" si="277"/>
        <v>1</v>
      </c>
      <c r="CN44" s="142">
        <f t="shared" si="277"/>
        <v>1</v>
      </c>
      <c r="CO44" s="140">
        <f>'бюджет округа (района)'!AV44+'бюджеты поселений'!AV44</f>
        <v>0</v>
      </c>
      <c r="CP44" s="140">
        <f>'бюджет округа (района)'!AV44</f>
        <v>0</v>
      </c>
      <c r="CQ44" s="132">
        <f t="shared" si="291"/>
        <v>0</v>
      </c>
      <c r="CR44" s="132">
        <f t="shared" si="291"/>
        <v>0</v>
      </c>
      <c r="CS44" s="142">
        <f t="shared" si="278"/>
        <v>1</v>
      </c>
      <c r="CT44" s="142">
        <f t="shared" si="278"/>
        <v>1</v>
      </c>
      <c r="CU44" s="140">
        <f>'бюджет округа (района)'!AY44+'бюджеты поселений'!AY44</f>
        <v>0</v>
      </c>
      <c r="CV44" s="140">
        <f>'бюджет округа (района)'!AY44</f>
        <v>0</v>
      </c>
      <c r="CW44" s="132">
        <f t="shared" si="292"/>
        <v>0</v>
      </c>
      <c r="CX44" s="132">
        <f t="shared" si="292"/>
        <v>0</v>
      </c>
      <c r="CY44" s="142">
        <f t="shared" si="279"/>
        <v>1</v>
      </c>
      <c r="CZ44" s="142">
        <f t="shared" si="279"/>
        <v>1</v>
      </c>
      <c r="DA44" s="140">
        <f>'бюджет округа (района)'!BB44+'бюджеты поселений'!BB44</f>
        <v>0</v>
      </c>
      <c r="DB44" s="140">
        <f>'бюджет округа (района)'!BB44</f>
        <v>0</v>
      </c>
      <c r="DC44" s="132">
        <f t="shared" si="293"/>
        <v>0</v>
      </c>
      <c r="DD44" s="132">
        <f t="shared" si="293"/>
        <v>0</v>
      </c>
      <c r="DE44" s="142">
        <f t="shared" si="280"/>
        <v>1</v>
      </c>
      <c r="DF44" s="142">
        <f t="shared" si="280"/>
        <v>1</v>
      </c>
      <c r="DG44" s="140">
        <f>'бюджет округа (района)'!BE44+'бюджеты поселений'!BE44</f>
        <v>0</v>
      </c>
      <c r="DH44" s="140">
        <f>'бюджет округа (района)'!BE44</f>
        <v>0</v>
      </c>
      <c r="DI44" s="132">
        <f t="shared" si="294"/>
        <v>0</v>
      </c>
      <c r="DJ44" s="132">
        <f t="shared" si="294"/>
        <v>0</v>
      </c>
      <c r="DK44" s="142">
        <f t="shared" si="281"/>
        <v>1</v>
      </c>
      <c r="DL44" s="142">
        <f t="shared" si="281"/>
        <v>1</v>
      </c>
      <c r="DM44" s="140">
        <f>'бюджет округа (района)'!BH44+'бюджеты поселений'!BH44</f>
        <v>0</v>
      </c>
      <c r="DN44" s="140">
        <f>'бюджет округа (района)'!BH44</f>
        <v>0</v>
      </c>
      <c r="DO44" s="140">
        <f>'бюджет округа (района)'!BI44+'бюджеты поселений'!BI44</f>
        <v>0</v>
      </c>
      <c r="DP44" s="140">
        <f>'бюджет округа (района)'!BI44</f>
        <v>0</v>
      </c>
      <c r="DQ44" s="140">
        <f>'бюджет округа (района)'!BJ44+'бюджеты поселений'!BJ44</f>
        <v>0</v>
      </c>
      <c r="DR44" s="140">
        <f>'бюджет округа (района)'!BJ44</f>
        <v>0</v>
      </c>
      <c r="DS44" s="142">
        <f>IF($AY$44=0,1,DQ44/$AY$44-1)</f>
        <v>1</v>
      </c>
      <c r="DT44" s="142">
        <f>IF($AZ$44=0,1,DR44/$AZ$44-1)</f>
        <v>1</v>
      </c>
      <c r="DU44" s="142">
        <f t="shared" si="58"/>
        <v>1</v>
      </c>
      <c r="DV44" s="142">
        <f t="shared" si="59"/>
        <v>1</v>
      </c>
      <c r="DW44" s="166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</row>
    <row r="45" spans="1:268" s="68" customFormat="1" ht="18" customHeight="1">
      <c r="A45" s="308" t="s">
        <v>102</v>
      </c>
      <c r="B45" s="309"/>
      <c r="C45" s="140">
        <f>'бюджет округа (района)'!C45+'бюджеты поселений'!C45</f>
        <v>0</v>
      </c>
      <c r="D45" s="140">
        <f>'бюджет округа (района)'!C45</f>
        <v>0</v>
      </c>
      <c r="E45" s="140">
        <f t="shared" si="256"/>
        <v>0</v>
      </c>
      <c r="F45" s="140">
        <f t="shared" si="256"/>
        <v>0</v>
      </c>
      <c r="G45" s="140">
        <f>'бюджет округа (района)'!E45+'бюджеты поселений'!E45</f>
        <v>0</v>
      </c>
      <c r="H45" s="140">
        <f>'бюджет округа (района)'!E45</f>
        <v>0</v>
      </c>
      <c r="I45" s="140">
        <f>'бюджет округа (района)'!F45+'бюджеты поселений'!F45</f>
        <v>0</v>
      </c>
      <c r="J45" s="140">
        <f>'бюджет округа (района)'!F45</f>
        <v>0</v>
      </c>
      <c r="K45" s="132">
        <f t="shared" ref="K45:L62" si="301">G45+I45</f>
        <v>0</v>
      </c>
      <c r="L45" s="132">
        <f t="shared" si="301"/>
        <v>0</v>
      </c>
      <c r="M45" s="140">
        <f>'бюджет округа (района)'!H45+'бюджеты поселений'!H45</f>
        <v>0</v>
      </c>
      <c r="N45" s="140">
        <f>'бюджет округа (района)'!H45</f>
        <v>0</v>
      </c>
      <c r="O45" s="132">
        <f t="shared" si="295"/>
        <v>0</v>
      </c>
      <c r="P45" s="132">
        <f t="shared" si="295"/>
        <v>0</v>
      </c>
      <c r="Q45" s="140">
        <f>'бюджет округа (района)'!J45+'бюджеты поселений'!J45</f>
        <v>0</v>
      </c>
      <c r="R45" s="140">
        <f>'бюджет округа (района)'!J45</f>
        <v>0</v>
      </c>
      <c r="S45" s="132">
        <f t="shared" si="296"/>
        <v>0</v>
      </c>
      <c r="T45" s="132">
        <f t="shared" si="296"/>
        <v>0</v>
      </c>
      <c r="U45" s="140">
        <f>'бюджет округа (района)'!L45+'бюджеты поселений'!L45</f>
        <v>0</v>
      </c>
      <c r="V45" s="140">
        <f>'бюджет округа (района)'!L45</f>
        <v>0</v>
      </c>
      <c r="W45" s="132">
        <f t="shared" si="297"/>
        <v>0</v>
      </c>
      <c r="X45" s="132">
        <f t="shared" si="297"/>
        <v>0</v>
      </c>
      <c r="Y45" s="140">
        <f>'бюджет округа (района)'!N45+'бюджеты поселений'!N45</f>
        <v>0</v>
      </c>
      <c r="Z45" s="140">
        <f>'бюджет округа (района)'!N45</f>
        <v>0</v>
      </c>
      <c r="AA45" s="132">
        <f t="shared" si="298"/>
        <v>0</v>
      </c>
      <c r="AB45" s="132">
        <f t="shared" si="298"/>
        <v>0</v>
      </c>
      <c r="AC45" s="140">
        <f>'бюджет округа (района)'!P45+'бюджеты поселений'!P45</f>
        <v>0</v>
      </c>
      <c r="AD45" s="140">
        <f>'бюджет округа (района)'!P45</f>
        <v>0</v>
      </c>
      <c r="AE45" s="132">
        <f t="shared" si="299"/>
        <v>0</v>
      </c>
      <c r="AF45" s="132">
        <f t="shared" si="299"/>
        <v>0</v>
      </c>
      <c r="AG45" s="140">
        <f>'бюджет округа (района)'!R45+'бюджеты поселений'!R45</f>
        <v>0</v>
      </c>
      <c r="AH45" s="140">
        <f>'бюджет округа (района)'!R45</f>
        <v>0</v>
      </c>
      <c r="AI45" s="132">
        <f t="shared" si="282"/>
        <v>0</v>
      </c>
      <c r="AJ45" s="132">
        <f t="shared" si="282"/>
        <v>0</v>
      </c>
      <c r="AK45" s="140">
        <f>'бюджет округа (района)'!T45+'бюджеты поселений'!T45</f>
        <v>0</v>
      </c>
      <c r="AL45" s="140">
        <f>'бюджет округа (района)'!T45</f>
        <v>0</v>
      </c>
      <c r="AM45" s="132">
        <f t="shared" si="283"/>
        <v>0</v>
      </c>
      <c r="AN45" s="132">
        <f t="shared" si="283"/>
        <v>0</v>
      </c>
      <c r="AO45" s="140">
        <f>'бюджет округа (района)'!V45+'бюджеты поселений'!V45</f>
        <v>0</v>
      </c>
      <c r="AP45" s="140">
        <f>'бюджет округа (района)'!V45</f>
        <v>0</v>
      </c>
      <c r="AQ45" s="132">
        <f t="shared" si="284"/>
        <v>0</v>
      </c>
      <c r="AR45" s="132">
        <f t="shared" si="284"/>
        <v>0</v>
      </c>
      <c r="AS45" s="140">
        <f>'бюджет округа (района)'!X45+'бюджеты поселений'!X45</f>
        <v>0</v>
      </c>
      <c r="AT45" s="140">
        <f>'бюджет округа (района)'!X45</f>
        <v>0</v>
      </c>
      <c r="AU45" s="132">
        <f t="shared" si="285"/>
        <v>0</v>
      </c>
      <c r="AV45" s="132">
        <f t="shared" si="285"/>
        <v>0</v>
      </c>
      <c r="AW45" s="140">
        <f>'бюджет округа (района)'!Z45+'бюджеты поселений'!Z45</f>
        <v>0</v>
      </c>
      <c r="AX45" s="140">
        <f>'бюджет округа (района)'!Z45</f>
        <v>0</v>
      </c>
      <c r="AY45" s="140">
        <f>'бюджет округа (района)'!AA45+'бюджеты поселений'!AA45</f>
        <v>0</v>
      </c>
      <c r="AZ45" s="140">
        <f>'бюджет округа (района)'!AA45</f>
        <v>0</v>
      </c>
      <c r="BA45" s="142">
        <f t="shared" si="300"/>
        <v>1</v>
      </c>
      <c r="BB45" s="142">
        <f t="shared" si="300"/>
        <v>1</v>
      </c>
      <c r="BC45" s="140">
        <f>'бюджет округа (района)'!AC45+'бюджеты поселений'!AC45</f>
        <v>0</v>
      </c>
      <c r="BD45" s="140">
        <f>'бюджет округа (района)'!AC45</f>
        <v>0</v>
      </c>
      <c r="BE45" s="140">
        <f>'бюджет округа (района)'!AD45+'бюджеты поселений'!AD45</f>
        <v>0</v>
      </c>
      <c r="BF45" s="140">
        <f>'бюджет округа (района)'!AD45</f>
        <v>0</v>
      </c>
      <c r="BG45" s="132">
        <f t="shared" ref="BG45:BH62" si="302">BC45+BE45</f>
        <v>0</v>
      </c>
      <c r="BH45" s="132">
        <f t="shared" si="302"/>
        <v>0</v>
      </c>
      <c r="BI45" s="142">
        <f t="shared" si="272"/>
        <v>1</v>
      </c>
      <c r="BJ45" s="142">
        <f t="shared" si="272"/>
        <v>1</v>
      </c>
      <c r="BK45" s="140">
        <f>'бюджет округа (района)'!AG45+'бюджеты поселений'!AG45</f>
        <v>0</v>
      </c>
      <c r="BL45" s="140">
        <f>'бюджет округа (района)'!AG45</f>
        <v>0</v>
      </c>
      <c r="BM45" s="132">
        <f t="shared" si="286"/>
        <v>0</v>
      </c>
      <c r="BN45" s="132">
        <f t="shared" si="286"/>
        <v>0</v>
      </c>
      <c r="BO45" s="142">
        <f t="shared" si="273"/>
        <v>1</v>
      </c>
      <c r="BP45" s="142">
        <f t="shared" si="273"/>
        <v>1</v>
      </c>
      <c r="BQ45" s="140">
        <f>'бюджет округа (района)'!AJ45+'бюджеты поселений'!AJ45</f>
        <v>0</v>
      </c>
      <c r="BR45" s="140">
        <f>'бюджет округа (района)'!AJ45</f>
        <v>0</v>
      </c>
      <c r="BS45" s="132">
        <f t="shared" si="287"/>
        <v>0</v>
      </c>
      <c r="BT45" s="132">
        <f t="shared" si="287"/>
        <v>0</v>
      </c>
      <c r="BU45" s="142">
        <f t="shared" si="274"/>
        <v>1</v>
      </c>
      <c r="BV45" s="142">
        <f t="shared" si="274"/>
        <v>1</v>
      </c>
      <c r="BW45" s="140">
        <f>'бюджет округа (района)'!AM45+'бюджеты поселений'!AM45</f>
        <v>0</v>
      </c>
      <c r="BX45" s="140">
        <f>'бюджет округа (района)'!AM45</f>
        <v>0</v>
      </c>
      <c r="BY45" s="132">
        <f t="shared" si="288"/>
        <v>0</v>
      </c>
      <c r="BZ45" s="132">
        <f t="shared" si="288"/>
        <v>0</v>
      </c>
      <c r="CA45" s="142">
        <f t="shared" si="275"/>
        <v>1</v>
      </c>
      <c r="CB45" s="142">
        <f t="shared" si="275"/>
        <v>1</v>
      </c>
      <c r="CC45" s="140">
        <f>'бюджет округа (района)'!AP45+'бюджеты поселений'!AP45</f>
        <v>0</v>
      </c>
      <c r="CD45" s="140">
        <f>'бюджет округа (района)'!AP45</f>
        <v>0</v>
      </c>
      <c r="CE45" s="132">
        <f t="shared" si="289"/>
        <v>0</v>
      </c>
      <c r="CF45" s="132">
        <f t="shared" si="289"/>
        <v>0</v>
      </c>
      <c r="CG45" s="142">
        <f t="shared" si="276"/>
        <v>1</v>
      </c>
      <c r="CH45" s="142">
        <f t="shared" si="276"/>
        <v>1</v>
      </c>
      <c r="CI45" s="140">
        <f>'бюджет округа (района)'!AS45+'бюджеты поселений'!AS45</f>
        <v>0</v>
      </c>
      <c r="CJ45" s="140">
        <f>'бюджет округа (района)'!AS45</f>
        <v>0</v>
      </c>
      <c r="CK45" s="132">
        <f t="shared" si="290"/>
        <v>0</v>
      </c>
      <c r="CL45" s="132">
        <f t="shared" si="290"/>
        <v>0</v>
      </c>
      <c r="CM45" s="142">
        <f t="shared" si="277"/>
        <v>1</v>
      </c>
      <c r="CN45" s="142">
        <f t="shared" si="277"/>
        <v>1</v>
      </c>
      <c r="CO45" s="140">
        <f>'бюджет округа (района)'!AV45+'бюджеты поселений'!AV45</f>
        <v>0</v>
      </c>
      <c r="CP45" s="140">
        <f>'бюджет округа (района)'!AV45</f>
        <v>0</v>
      </c>
      <c r="CQ45" s="132">
        <f t="shared" si="291"/>
        <v>0</v>
      </c>
      <c r="CR45" s="132">
        <f t="shared" si="291"/>
        <v>0</v>
      </c>
      <c r="CS45" s="142">
        <f t="shared" si="278"/>
        <v>1</v>
      </c>
      <c r="CT45" s="142">
        <f t="shared" si="278"/>
        <v>1</v>
      </c>
      <c r="CU45" s="140">
        <f>'бюджет округа (района)'!AY45+'бюджеты поселений'!AY45</f>
        <v>0</v>
      </c>
      <c r="CV45" s="140">
        <f>'бюджет округа (района)'!AY45</f>
        <v>0</v>
      </c>
      <c r="CW45" s="132">
        <f t="shared" si="292"/>
        <v>0</v>
      </c>
      <c r="CX45" s="132">
        <f t="shared" si="292"/>
        <v>0</v>
      </c>
      <c r="CY45" s="142">
        <f t="shared" si="279"/>
        <v>1</v>
      </c>
      <c r="CZ45" s="142">
        <f t="shared" si="279"/>
        <v>1</v>
      </c>
      <c r="DA45" s="140">
        <f>'бюджет округа (района)'!BB45+'бюджеты поселений'!BB45</f>
        <v>0</v>
      </c>
      <c r="DB45" s="140">
        <f>'бюджет округа (района)'!BB45</f>
        <v>0</v>
      </c>
      <c r="DC45" s="132">
        <f t="shared" si="293"/>
        <v>0</v>
      </c>
      <c r="DD45" s="132">
        <f t="shared" si="293"/>
        <v>0</v>
      </c>
      <c r="DE45" s="142">
        <f t="shared" si="280"/>
        <v>1</v>
      </c>
      <c r="DF45" s="142">
        <f t="shared" si="280"/>
        <v>1</v>
      </c>
      <c r="DG45" s="140">
        <f>'бюджет округа (района)'!BE45+'бюджеты поселений'!BE45</f>
        <v>0</v>
      </c>
      <c r="DH45" s="140">
        <f>'бюджет округа (района)'!BE45</f>
        <v>0</v>
      </c>
      <c r="DI45" s="132">
        <f t="shared" si="294"/>
        <v>0</v>
      </c>
      <c r="DJ45" s="132">
        <f t="shared" si="294"/>
        <v>0</v>
      </c>
      <c r="DK45" s="142">
        <f t="shared" si="281"/>
        <v>1</v>
      </c>
      <c r="DL45" s="142">
        <f t="shared" si="281"/>
        <v>1</v>
      </c>
      <c r="DM45" s="140">
        <f>'бюджет округа (района)'!BH45+'бюджеты поселений'!BH45</f>
        <v>0</v>
      </c>
      <c r="DN45" s="140">
        <f>'бюджет округа (района)'!BH45</f>
        <v>0</v>
      </c>
      <c r="DO45" s="140">
        <f>'бюджет округа (района)'!BI45+'бюджеты поселений'!BI45</f>
        <v>0</v>
      </c>
      <c r="DP45" s="140">
        <f>'бюджет округа (района)'!BI45</f>
        <v>0</v>
      </c>
      <c r="DQ45" s="140">
        <f>'бюджет округа (района)'!BJ45+'бюджеты поселений'!BJ45</f>
        <v>0</v>
      </c>
      <c r="DR45" s="140">
        <f>'бюджет округа (района)'!BJ45</f>
        <v>0</v>
      </c>
      <c r="DS45" s="142">
        <f>IF($AY$45=0,1,DQ45/$AY$45-1)</f>
        <v>1</v>
      </c>
      <c r="DT45" s="142">
        <f>IF($AZ$45=0,1,DR45/$AZ$45-1)</f>
        <v>1</v>
      </c>
      <c r="DU45" s="142">
        <f t="shared" si="58"/>
        <v>1</v>
      </c>
      <c r="DV45" s="142">
        <f t="shared" si="59"/>
        <v>1</v>
      </c>
      <c r="DW45" s="166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</row>
    <row r="46" spans="1:268" s="68" customFormat="1" ht="18" customHeight="1">
      <c r="A46" s="308" t="s">
        <v>103</v>
      </c>
      <c r="B46" s="309"/>
      <c r="C46" s="140">
        <f>'бюджет округа (района)'!C46+'бюджеты поселений'!C46</f>
        <v>0</v>
      </c>
      <c r="D46" s="140">
        <f>'бюджет округа (района)'!C46</f>
        <v>0</v>
      </c>
      <c r="E46" s="140">
        <f t="shared" si="256"/>
        <v>0</v>
      </c>
      <c r="F46" s="140">
        <f t="shared" si="256"/>
        <v>0</v>
      </c>
      <c r="G46" s="140">
        <f>'бюджет округа (района)'!E46+'бюджеты поселений'!E46</f>
        <v>0</v>
      </c>
      <c r="H46" s="140">
        <f>'бюджет округа (района)'!E46</f>
        <v>0</v>
      </c>
      <c r="I46" s="140">
        <f>'бюджет округа (района)'!F46+'бюджеты поселений'!F46</f>
        <v>0</v>
      </c>
      <c r="J46" s="140">
        <f>'бюджет округа (района)'!F46</f>
        <v>0</v>
      </c>
      <c r="K46" s="132">
        <f t="shared" si="301"/>
        <v>0</v>
      </c>
      <c r="L46" s="132">
        <f t="shared" si="301"/>
        <v>0</v>
      </c>
      <c r="M46" s="140">
        <f>'бюджет округа (района)'!H46+'бюджеты поселений'!H46</f>
        <v>0</v>
      </c>
      <c r="N46" s="140">
        <f>'бюджет округа (района)'!H46</f>
        <v>0</v>
      </c>
      <c r="O46" s="132"/>
      <c r="P46" s="132"/>
      <c r="Q46" s="140">
        <f>'бюджет округа (района)'!J46+'бюджеты поселений'!J46</f>
        <v>0</v>
      </c>
      <c r="R46" s="140">
        <f>'бюджет округа (района)'!J46</f>
        <v>0</v>
      </c>
      <c r="S46" s="132"/>
      <c r="T46" s="132"/>
      <c r="U46" s="140">
        <f>'бюджет округа (района)'!L46+'бюджеты поселений'!L46</f>
        <v>0</v>
      </c>
      <c r="V46" s="140">
        <f>'бюджет округа (района)'!L46</f>
        <v>0</v>
      </c>
      <c r="W46" s="132"/>
      <c r="X46" s="132"/>
      <c r="Y46" s="140">
        <f>'бюджет округа (района)'!N46+'бюджеты поселений'!N46</f>
        <v>0</v>
      </c>
      <c r="Z46" s="140">
        <f>'бюджет округа (района)'!N46</f>
        <v>0</v>
      </c>
      <c r="AA46" s="132"/>
      <c r="AB46" s="132"/>
      <c r="AC46" s="140">
        <f>'бюджет округа (района)'!P46+'бюджеты поселений'!P46</f>
        <v>0</v>
      </c>
      <c r="AD46" s="140">
        <f>'бюджет округа (района)'!P46</f>
        <v>0</v>
      </c>
      <c r="AE46" s="132"/>
      <c r="AF46" s="132"/>
      <c r="AG46" s="140">
        <f>'бюджет округа (района)'!R46+'бюджеты поселений'!R46</f>
        <v>0</v>
      </c>
      <c r="AH46" s="140">
        <f>'бюджет округа (района)'!R46</f>
        <v>0</v>
      </c>
      <c r="AI46" s="132"/>
      <c r="AJ46" s="132"/>
      <c r="AK46" s="140">
        <f>'бюджет округа (района)'!T46+'бюджеты поселений'!T46</f>
        <v>0</v>
      </c>
      <c r="AL46" s="140">
        <f>'бюджет округа (района)'!T46</f>
        <v>0</v>
      </c>
      <c r="AM46" s="132"/>
      <c r="AN46" s="132"/>
      <c r="AO46" s="140">
        <f>'бюджет округа (района)'!V46+'бюджеты поселений'!V46</f>
        <v>0</v>
      </c>
      <c r="AP46" s="140">
        <f>'бюджет округа (района)'!V46</f>
        <v>0</v>
      </c>
      <c r="AQ46" s="132"/>
      <c r="AR46" s="132"/>
      <c r="AS46" s="140">
        <f>'бюджет округа (района)'!X46+'бюджеты поселений'!X46</f>
        <v>0</v>
      </c>
      <c r="AT46" s="140">
        <f>'бюджет округа (района)'!X46</f>
        <v>0</v>
      </c>
      <c r="AU46" s="132"/>
      <c r="AV46" s="132"/>
      <c r="AW46" s="140">
        <f>'бюджет округа (района)'!Z46+'бюджеты поселений'!Z46</f>
        <v>0</v>
      </c>
      <c r="AX46" s="140">
        <f>'бюджет округа (района)'!Z46</f>
        <v>0</v>
      </c>
      <c r="AY46" s="140">
        <f>'бюджет округа (района)'!AA46+'бюджеты поселений'!AA46</f>
        <v>0</v>
      </c>
      <c r="AZ46" s="140">
        <f>'бюджет округа (района)'!AA46</f>
        <v>0</v>
      </c>
      <c r="BA46" s="142">
        <f t="shared" si="300"/>
        <v>1</v>
      </c>
      <c r="BB46" s="142">
        <f t="shared" si="300"/>
        <v>1</v>
      </c>
      <c r="BC46" s="140">
        <f>'бюджет округа (района)'!AC46+'бюджеты поселений'!AC46</f>
        <v>0</v>
      </c>
      <c r="BD46" s="140">
        <f>'бюджет округа (района)'!AC46</f>
        <v>0</v>
      </c>
      <c r="BE46" s="140">
        <f>'бюджет округа (района)'!AD46+'бюджеты поселений'!AD46</f>
        <v>0</v>
      </c>
      <c r="BF46" s="140">
        <f>'бюджет округа (района)'!AD46</f>
        <v>0</v>
      </c>
      <c r="BG46" s="132">
        <f t="shared" si="302"/>
        <v>0</v>
      </c>
      <c r="BH46" s="132">
        <f t="shared" si="302"/>
        <v>0</v>
      </c>
      <c r="BI46" s="142">
        <f t="shared" si="272"/>
        <v>1</v>
      </c>
      <c r="BJ46" s="142">
        <f t="shared" si="272"/>
        <v>1</v>
      </c>
      <c r="BK46" s="140">
        <f>'бюджет округа (района)'!AG46+'бюджеты поселений'!AG46</f>
        <v>0</v>
      </c>
      <c r="BL46" s="140">
        <f>'бюджет округа (района)'!AG46</f>
        <v>0</v>
      </c>
      <c r="BM46" s="132"/>
      <c r="BN46" s="132"/>
      <c r="BO46" s="142">
        <f t="shared" si="273"/>
        <v>1</v>
      </c>
      <c r="BP46" s="142">
        <f t="shared" si="273"/>
        <v>1</v>
      </c>
      <c r="BQ46" s="140">
        <f>'бюджет округа (района)'!AJ46+'бюджеты поселений'!AJ46</f>
        <v>0</v>
      </c>
      <c r="BR46" s="140">
        <f>'бюджет округа (района)'!AJ46</f>
        <v>0</v>
      </c>
      <c r="BS46" s="132"/>
      <c r="BT46" s="132"/>
      <c r="BU46" s="142">
        <f t="shared" si="274"/>
        <v>1</v>
      </c>
      <c r="BV46" s="142">
        <f t="shared" si="274"/>
        <v>1</v>
      </c>
      <c r="BW46" s="140">
        <f>'бюджет округа (района)'!AM46+'бюджеты поселений'!AM46</f>
        <v>0</v>
      </c>
      <c r="BX46" s="140">
        <f>'бюджет округа (района)'!AM46</f>
        <v>0</v>
      </c>
      <c r="BY46" s="132"/>
      <c r="BZ46" s="132"/>
      <c r="CA46" s="142">
        <f t="shared" si="275"/>
        <v>1</v>
      </c>
      <c r="CB46" s="142">
        <f t="shared" si="275"/>
        <v>1</v>
      </c>
      <c r="CC46" s="140">
        <f>'бюджет округа (района)'!AP46+'бюджеты поселений'!AP46</f>
        <v>0</v>
      </c>
      <c r="CD46" s="140">
        <f>'бюджет округа (района)'!AP46</f>
        <v>0</v>
      </c>
      <c r="CE46" s="132"/>
      <c r="CF46" s="132"/>
      <c r="CG46" s="142">
        <f t="shared" si="276"/>
        <v>1</v>
      </c>
      <c r="CH46" s="142">
        <f t="shared" si="276"/>
        <v>1</v>
      </c>
      <c r="CI46" s="140">
        <f>'бюджет округа (района)'!AS46+'бюджеты поселений'!AS46</f>
        <v>0</v>
      </c>
      <c r="CJ46" s="140">
        <f>'бюджет округа (района)'!AS46</f>
        <v>0</v>
      </c>
      <c r="CK46" s="132"/>
      <c r="CL46" s="132"/>
      <c r="CM46" s="142">
        <f t="shared" si="277"/>
        <v>1</v>
      </c>
      <c r="CN46" s="142">
        <f t="shared" si="277"/>
        <v>1</v>
      </c>
      <c r="CO46" s="140">
        <f>'бюджет округа (района)'!AV46+'бюджеты поселений'!AV46</f>
        <v>0</v>
      </c>
      <c r="CP46" s="140">
        <f>'бюджет округа (района)'!AV46</f>
        <v>0</v>
      </c>
      <c r="CQ46" s="132"/>
      <c r="CR46" s="132"/>
      <c r="CS46" s="142">
        <f t="shared" si="278"/>
        <v>1</v>
      </c>
      <c r="CT46" s="142">
        <f t="shared" si="278"/>
        <v>1</v>
      </c>
      <c r="CU46" s="140">
        <f>'бюджет округа (района)'!AY46+'бюджеты поселений'!AY46</f>
        <v>0</v>
      </c>
      <c r="CV46" s="140">
        <f>'бюджет округа (района)'!AY46</f>
        <v>0</v>
      </c>
      <c r="CW46" s="132"/>
      <c r="CX46" s="132"/>
      <c r="CY46" s="142">
        <f t="shared" si="279"/>
        <v>1</v>
      </c>
      <c r="CZ46" s="142">
        <f t="shared" si="279"/>
        <v>1</v>
      </c>
      <c r="DA46" s="140">
        <f>'бюджет округа (района)'!BB46+'бюджеты поселений'!BB46</f>
        <v>0</v>
      </c>
      <c r="DB46" s="140">
        <f>'бюджет округа (района)'!BB46</f>
        <v>0</v>
      </c>
      <c r="DC46" s="132"/>
      <c r="DD46" s="132"/>
      <c r="DE46" s="142">
        <f t="shared" si="280"/>
        <v>1</v>
      </c>
      <c r="DF46" s="142">
        <f t="shared" si="280"/>
        <v>1</v>
      </c>
      <c r="DG46" s="140">
        <f>'бюджет округа (района)'!BE46+'бюджеты поселений'!BE46</f>
        <v>0</v>
      </c>
      <c r="DH46" s="140">
        <f>'бюджет округа (района)'!BE46</f>
        <v>0</v>
      </c>
      <c r="DI46" s="132"/>
      <c r="DJ46" s="132"/>
      <c r="DK46" s="142">
        <f t="shared" si="281"/>
        <v>1</v>
      </c>
      <c r="DL46" s="142">
        <f t="shared" si="281"/>
        <v>1</v>
      </c>
      <c r="DM46" s="140">
        <f>'бюджет округа (района)'!BH46+'бюджеты поселений'!BH46</f>
        <v>0</v>
      </c>
      <c r="DN46" s="140">
        <f>'бюджет округа (района)'!BH46</f>
        <v>0</v>
      </c>
      <c r="DO46" s="140">
        <f>'бюджет округа (района)'!BI46+'бюджеты поселений'!BI46</f>
        <v>0</v>
      </c>
      <c r="DP46" s="140">
        <f>'бюджет округа (района)'!BI46</f>
        <v>0</v>
      </c>
      <c r="DQ46" s="140">
        <f>'бюджет округа (района)'!BJ46+'бюджеты поселений'!BJ46</f>
        <v>0</v>
      </c>
      <c r="DR46" s="140">
        <f>'бюджет округа (района)'!BJ46</f>
        <v>0</v>
      </c>
      <c r="DS46" s="142">
        <f>IF($AY$46=0,1,DQ46/$AY$46-1)</f>
        <v>1</v>
      </c>
      <c r="DT46" s="142">
        <f>IF($AZ$46=0,1,DR46/$AZ$46-1)</f>
        <v>1</v>
      </c>
      <c r="DU46" s="142">
        <f t="shared" si="58"/>
        <v>1</v>
      </c>
      <c r="DV46" s="142">
        <f t="shared" si="59"/>
        <v>1</v>
      </c>
      <c r="DW46" s="166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7"/>
      <c r="IX46" s="67"/>
      <c r="IY46" s="67"/>
      <c r="IZ46" s="67"/>
      <c r="JA46" s="67"/>
      <c r="JB46" s="67"/>
      <c r="JC46" s="67"/>
      <c r="JD46" s="67"/>
      <c r="JE46" s="67"/>
      <c r="JF46" s="67"/>
      <c r="JG46" s="67"/>
      <c r="JH46" s="67"/>
    </row>
    <row r="47" spans="1:268" s="70" customFormat="1" ht="18" customHeight="1">
      <c r="A47" s="308" t="s">
        <v>106</v>
      </c>
      <c r="B47" s="309"/>
      <c r="C47" s="140">
        <f t="shared" ref="C47:J47" si="303">C48+C49+C55+C56+C61+C57+C58+C59+C60+C62</f>
        <v>0</v>
      </c>
      <c r="D47" s="140">
        <f t="shared" si="303"/>
        <v>0</v>
      </c>
      <c r="E47" s="140">
        <f t="shared" si="303"/>
        <v>0</v>
      </c>
      <c r="F47" s="140">
        <f t="shared" si="303"/>
        <v>0</v>
      </c>
      <c r="G47" s="140">
        <f t="shared" si="303"/>
        <v>0</v>
      </c>
      <c r="H47" s="140">
        <f t="shared" si="303"/>
        <v>0</v>
      </c>
      <c r="I47" s="140">
        <f t="shared" si="303"/>
        <v>0</v>
      </c>
      <c r="J47" s="140">
        <f t="shared" si="303"/>
        <v>0</v>
      </c>
      <c r="K47" s="132">
        <f t="shared" si="301"/>
        <v>0</v>
      </c>
      <c r="L47" s="132">
        <f t="shared" si="301"/>
        <v>0</v>
      </c>
      <c r="M47" s="140">
        <f t="shared" ref="M47:AZ47" si="304">M48+M49+M55+M56+M61+M57+M58+M59+M60+M62</f>
        <v>0</v>
      </c>
      <c r="N47" s="140">
        <f t="shared" si="304"/>
        <v>0</v>
      </c>
      <c r="O47" s="140">
        <f t="shared" si="304"/>
        <v>0</v>
      </c>
      <c r="P47" s="140">
        <f t="shared" si="304"/>
        <v>0</v>
      </c>
      <c r="Q47" s="140">
        <f t="shared" si="304"/>
        <v>0</v>
      </c>
      <c r="R47" s="140">
        <f t="shared" si="304"/>
        <v>0</v>
      </c>
      <c r="S47" s="140">
        <f t="shared" si="304"/>
        <v>0</v>
      </c>
      <c r="T47" s="140">
        <f t="shared" si="304"/>
        <v>0</v>
      </c>
      <c r="U47" s="140">
        <f t="shared" si="304"/>
        <v>0</v>
      </c>
      <c r="V47" s="140">
        <f t="shared" si="304"/>
        <v>0</v>
      </c>
      <c r="W47" s="140">
        <f t="shared" si="304"/>
        <v>0</v>
      </c>
      <c r="X47" s="140">
        <f t="shared" si="304"/>
        <v>0</v>
      </c>
      <c r="Y47" s="140">
        <f t="shared" si="304"/>
        <v>0</v>
      </c>
      <c r="Z47" s="140">
        <f t="shared" si="304"/>
        <v>0</v>
      </c>
      <c r="AA47" s="140">
        <f t="shared" si="304"/>
        <v>0</v>
      </c>
      <c r="AB47" s="140">
        <f t="shared" si="304"/>
        <v>0</v>
      </c>
      <c r="AC47" s="140">
        <f t="shared" si="304"/>
        <v>0</v>
      </c>
      <c r="AD47" s="140">
        <f t="shared" si="304"/>
        <v>0</v>
      </c>
      <c r="AE47" s="140">
        <f t="shared" si="304"/>
        <v>0</v>
      </c>
      <c r="AF47" s="140">
        <f t="shared" si="304"/>
        <v>0</v>
      </c>
      <c r="AG47" s="140">
        <f t="shared" si="304"/>
        <v>0</v>
      </c>
      <c r="AH47" s="140">
        <f t="shared" si="304"/>
        <v>0</v>
      </c>
      <c r="AI47" s="140">
        <f t="shared" si="304"/>
        <v>0</v>
      </c>
      <c r="AJ47" s="140">
        <f t="shared" si="304"/>
        <v>0</v>
      </c>
      <c r="AK47" s="140">
        <f t="shared" si="304"/>
        <v>0</v>
      </c>
      <c r="AL47" s="140">
        <f t="shared" si="304"/>
        <v>0</v>
      </c>
      <c r="AM47" s="140">
        <f t="shared" si="304"/>
        <v>0</v>
      </c>
      <c r="AN47" s="140">
        <f t="shared" si="304"/>
        <v>0</v>
      </c>
      <c r="AO47" s="140">
        <f t="shared" si="304"/>
        <v>0</v>
      </c>
      <c r="AP47" s="140">
        <f t="shared" si="304"/>
        <v>0</v>
      </c>
      <c r="AQ47" s="140">
        <f t="shared" si="304"/>
        <v>0</v>
      </c>
      <c r="AR47" s="140">
        <f t="shared" si="304"/>
        <v>0</v>
      </c>
      <c r="AS47" s="140">
        <f t="shared" si="304"/>
        <v>0</v>
      </c>
      <c r="AT47" s="140">
        <f t="shared" si="304"/>
        <v>0</v>
      </c>
      <c r="AU47" s="140">
        <f t="shared" si="304"/>
        <v>0</v>
      </c>
      <c r="AV47" s="140">
        <f t="shared" si="304"/>
        <v>0</v>
      </c>
      <c r="AW47" s="140">
        <f t="shared" si="304"/>
        <v>0</v>
      </c>
      <c r="AX47" s="140">
        <f t="shared" si="304"/>
        <v>0</v>
      </c>
      <c r="AY47" s="140">
        <f t="shared" si="304"/>
        <v>0</v>
      </c>
      <c r="AZ47" s="140">
        <f t="shared" si="304"/>
        <v>0</v>
      </c>
      <c r="BA47" s="142">
        <f t="shared" si="300"/>
        <v>1</v>
      </c>
      <c r="BB47" s="142">
        <f t="shared" si="300"/>
        <v>1</v>
      </c>
      <c r="BC47" s="140">
        <f t="shared" ref="BC47:BH47" si="305">BC48+BC49+BC55+BC56+BC61+BC57+BC58+BC59+BC60+BC62</f>
        <v>0</v>
      </c>
      <c r="BD47" s="140">
        <f t="shared" si="305"/>
        <v>0</v>
      </c>
      <c r="BE47" s="140">
        <f t="shared" si="305"/>
        <v>0</v>
      </c>
      <c r="BF47" s="140">
        <f t="shared" si="305"/>
        <v>0</v>
      </c>
      <c r="BG47" s="140">
        <f t="shared" si="305"/>
        <v>0</v>
      </c>
      <c r="BH47" s="140">
        <f t="shared" si="305"/>
        <v>0</v>
      </c>
      <c r="BI47" s="142">
        <f t="shared" si="272"/>
        <v>1</v>
      </c>
      <c r="BJ47" s="142">
        <f t="shared" si="272"/>
        <v>1</v>
      </c>
      <c r="BK47" s="140">
        <f>BK48+BK49+BK55+BK56+BK61+BK57+BK58+BK59+BK60+BK62</f>
        <v>0</v>
      </c>
      <c r="BL47" s="140">
        <f>BL48+BL49+BL55+BL56+BL61+BL57+BL58+BL59+BL60+BL62</f>
        <v>0</v>
      </c>
      <c r="BM47" s="140">
        <f>BM48+BM49+BM55+BM56+BM61+BM57+BM58+BM59+BM60+BM62</f>
        <v>0</v>
      </c>
      <c r="BN47" s="140">
        <f>BN48+BN49+BN55+BN56+BN61+BN57+BN58+BN59+BN60+BN62</f>
        <v>0</v>
      </c>
      <c r="BO47" s="142">
        <f t="shared" si="273"/>
        <v>1</v>
      </c>
      <c r="BP47" s="142">
        <f t="shared" si="273"/>
        <v>1</v>
      </c>
      <c r="BQ47" s="140">
        <f>BQ48+BQ49+BQ55+BQ56+BQ61+BQ57+BQ58+BQ59+BQ60+BQ62</f>
        <v>0</v>
      </c>
      <c r="BR47" s="140">
        <f>BR48+BR49+BR55+BR56+BR61+BR57+BR58+BR59+BR60+BR62</f>
        <v>0</v>
      </c>
      <c r="BS47" s="140">
        <f>BS48+BS49+BS55+BS56+BS61+BS57+BS58+BS59+BS60+BS62</f>
        <v>0</v>
      </c>
      <c r="BT47" s="140">
        <f>BT48+BT49+BT55+BT56+BT61+BT57+BT58+BT59+BT60+BT62</f>
        <v>0</v>
      </c>
      <c r="BU47" s="142">
        <f t="shared" si="274"/>
        <v>1</v>
      </c>
      <c r="BV47" s="142">
        <f t="shared" si="274"/>
        <v>1</v>
      </c>
      <c r="BW47" s="140">
        <f>BW48+BW49+BW55+BW56+BW61+BW57+BW58+BW59+BW60+BW62</f>
        <v>0</v>
      </c>
      <c r="BX47" s="140">
        <f>BX48+BX49+BX55+BX56+BX61+BX57+BX58+BX59+BX60+BX62</f>
        <v>0</v>
      </c>
      <c r="BY47" s="140">
        <f>BY48+BY49+BY55+BY56+BY61+BY57+BY58+BY59+BY60+BY62</f>
        <v>0</v>
      </c>
      <c r="BZ47" s="140">
        <f>BZ48+BZ49+BZ55+BZ56+BZ61+BZ57+BZ58+BZ59+BZ60+BZ62</f>
        <v>0</v>
      </c>
      <c r="CA47" s="142">
        <f t="shared" si="275"/>
        <v>1</v>
      </c>
      <c r="CB47" s="142">
        <f t="shared" si="275"/>
        <v>1</v>
      </c>
      <c r="CC47" s="140">
        <f>CC48+CC49+CC55+CC56+CC61+CC57+CC58+CC59+CC60+CC62</f>
        <v>0</v>
      </c>
      <c r="CD47" s="140">
        <f>CD48+CD49+CD55+CD56+CD61+CD57+CD58+CD59+CD60+CD62</f>
        <v>0</v>
      </c>
      <c r="CE47" s="140">
        <f>CE48+CE49+CE55+CE56+CE61+CE57+CE58+CE59+CE60+CE62</f>
        <v>0</v>
      </c>
      <c r="CF47" s="140">
        <f>CF48+CF49+CF55+CF56+CF61+CF57+CF58+CF59+CF60+CF62</f>
        <v>0</v>
      </c>
      <c r="CG47" s="142">
        <f t="shared" si="276"/>
        <v>1</v>
      </c>
      <c r="CH47" s="142">
        <f t="shared" si="276"/>
        <v>1</v>
      </c>
      <c r="CI47" s="140">
        <f>CI48+CI49+CI55+CI56+CI61+CI57+CI58+CI59+CI60+CI62</f>
        <v>0</v>
      </c>
      <c r="CJ47" s="140">
        <f>CJ48+CJ49+CJ55+CJ56+CJ61+CJ57+CJ58+CJ59+CJ60+CJ62</f>
        <v>0</v>
      </c>
      <c r="CK47" s="140">
        <f>CK48+CK49+CK55+CK56+CK61+CK57+CK58+CK59+CK60+CK62</f>
        <v>0</v>
      </c>
      <c r="CL47" s="140">
        <f>CL48+CL49+CL55+CL56+CL61+CL57+CL58+CL59+CL60+CL62</f>
        <v>0</v>
      </c>
      <c r="CM47" s="142">
        <f t="shared" si="277"/>
        <v>1</v>
      </c>
      <c r="CN47" s="142">
        <f t="shared" si="277"/>
        <v>1</v>
      </c>
      <c r="CO47" s="140">
        <f>CO48+CO49+CO55+CO56+CO61+CO57+CO58+CO59+CO60+CO62</f>
        <v>0</v>
      </c>
      <c r="CP47" s="140">
        <f>CP48+CP49+CP55+CP56+CP61+CP57+CP58+CP59+CP60+CP62</f>
        <v>0</v>
      </c>
      <c r="CQ47" s="140">
        <f>CQ48+CQ49+CQ55+CQ56+CQ61+CQ57+CQ58+CQ59+CQ60+CQ62</f>
        <v>0</v>
      </c>
      <c r="CR47" s="140">
        <f>CR48+CR49+CR55+CR56+CR61+CR57+CR58+CR59+CR60+CR62</f>
        <v>0</v>
      </c>
      <c r="CS47" s="142">
        <f t="shared" si="278"/>
        <v>1</v>
      </c>
      <c r="CT47" s="142">
        <f t="shared" si="278"/>
        <v>1</v>
      </c>
      <c r="CU47" s="140">
        <f>CU48+CU49+CU55+CU56+CU61+CU57+CU58+CU59+CU60+CU62</f>
        <v>0</v>
      </c>
      <c r="CV47" s="140">
        <f>CV48+CV49+CV55+CV56+CV61+CV57+CV58+CV59+CV60+CV62</f>
        <v>0</v>
      </c>
      <c r="CW47" s="140">
        <f>CW48+CW49+CW55+CW56+CW61+CW57+CW58+CW59+CW60+CW62</f>
        <v>0</v>
      </c>
      <c r="CX47" s="140">
        <f>CX48+CX49+CX55+CX56+CX61+CX57+CX58+CX59+CX60+CX62</f>
        <v>0</v>
      </c>
      <c r="CY47" s="142">
        <f t="shared" si="279"/>
        <v>1</v>
      </c>
      <c r="CZ47" s="142">
        <f t="shared" si="279"/>
        <v>1</v>
      </c>
      <c r="DA47" s="140">
        <f>DA48+DA49+DA55+DA56+DA61+DA57+DA58+DA59+DA60+DA62</f>
        <v>0</v>
      </c>
      <c r="DB47" s="140">
        <f>DB48+DB49+DB55+DB56+DB61+DB57+DB58+DB59+DB60+DB62</f>
        <v>0</v>
      </c>
      <c r="DC47" s="140">
        <f>DC48+DC49+DC55+DC56+DC61+DC57+DC58+DC59+DC60+DC62</f>
        <v>0</v>
      </c>
      <c r="DD47" s="140">
        <f>DD48+DD49+DD55+DD56+DD61+DD57+DD58+DD59+DD60+DD62</f>
        <v>0</v>
      </c>
      <c r="DE47" s="142">
        <f t="shared" si="280"/>
        <v>1</v>
      </c>
      <c r="DF47" s="142">
        <f t="shared" si="280"/>
        <v>1</v>
      </c>
      <c r="DG47" s="140">
        <f>DG48+DG49+DG55+DG56+DG61+DG57+DG58+DG59+DG60+DG62</f>
        <v>0</v>
      </c>
      <c r="DH47" s="140">
        <f>DH48+DH49+DH55+DH56+DH61+DH57+DH58+DH59+DH60+DH62</f>
        <v>0</v>
      </c>
      <c r="DI47" s="140">
        <f>DI48+DI49+DI55+DI56+DI61+DI57+DI58+DI59+DI60+DI62</f>
        <v>0</v>
      </c>
      <c r="DJ47" s="140">
        <f>DJ48+DJ49+DJ55+DJ56+DJ61+DJ57+DJ58+DJ59+DJ60+DJ62</f>
        <v>0</v>
      </c>
      <c r="DK47" s="142">
        <f t="shared" si="281"/>
        <v>1</v>
      </c>
      <c r="DL47" s="142">
        <f t="shared" si="281"/>
        <v>1</v>
      </c>
      <c r="DM47" s="140">
        <f t="shared" ref="DM47:DR47" si="306">DM48+DM49+DM55+DM56+DM61+DM57+DM58+DM59+DM60+DM62</f>
        <v>0</v>
      </c>
      <c r="DN47" s="140">
        <f t="shared" si="306"/>
        <v>0</v>
      </c>
      <c r="DO47" s="140">
        <f t="shared" si="306"/>
        <v>0</v>
      </c>
      <c r="DP47" s="140">
        <f t="shared" si="306"/>
        <v>0</v>
      </c>
      <c r="DQ47" s="140">
        <f t="shared" si="306"/>
        <v>0</v>
      </c>
      <c r="DR47" s="140">
        <f t="shared" si="306"/>
        <v>0</v>
      </c>
      <c r="DS47" s="142">
        <f>IF($AY$47=0,1,DQ47/$AY$47-1)</f>
        <v>1</v>
      </c>
      <c r="DT47" s="142">
        <f>IF($AZ$47=0,1,DR47/$AZ$47-1)</f>
        <v>1</v>
      </c>
      <c r="DU47" s="142">
        <f t="shared" si="58"/>
        <v>1</v>
      </c>
      <c r="DV47" s="142">
        <f t="shared" si="59"/>
        <v>1</v>
      </c>
      <c r="DW47" s="166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</row>
    <row r="48" spans="1:268" s="64" customFormat="1" ht="21.75" customHeight="1">
      <c r="A48" s="290" t="s">
        <v>132</v>
      </c>
      <c r="B48" s="291"/>
      <c r="C48" s="134">
        <f>'бюджет округа (района)'!C48+'бюджеты поселений'!C48</f>
        <v>0</v>
      </c>
      <c r="D48" s="137">
        <f>'бюджет округа (района)'!C48</f>
        <v>0</v>
      </c>
      <c r="E48" s="134">
        <f t="shared" ref="E48:F48" si="307">G48+I48+M48+Q48+U48+Y48+AC48+AG48+AK48+AO48+AS48+AW48</f>
        <v>0</v>
      </c>
      <c r="F48" s="137">
        <f t="shared" si="307"/>
        <v>0</v>
      </c>
      <c r="G48" s="134">
        <f>'бюджет округа (района)'!E48+'бюджеты поселений'!E48</f>
        <v>0</v>
      </c>
      <c r="H48" s="137">
        <f>'бюджет округа (района)'!E48</f>
        <v>0</v>
      </c>
      <c r="I48" s="134">
        <f>'бюджет округа (района)'!F48+'бюджеты поселений'!F48</f>
        <v>0</v>
      </c>
      <c r="J48" s="137">
        <f>'бюджет округа (района)'!F48</f>
        <v>0</v>
      </c>
      <c r="K48" s="134">
        <f t="shared" si="301"/>
        <v>0</v>
      </c>
      <c r="L48" s="134">
        <f t="shared" si="301"/>
        <v>0</v>
      </c>
      <c r="M48" s="134">
        <f>'бюджет округа (района)'!H48+'бюджеты поселений'!H48</f>
        <v>0</v>
      </c>
      <c r="N48" s="137">
        <f>'бюджет округа (района)'!H48</f>
        <v>0</v>
      </c>
      <c r="O48" s="134"/>
      <c r="P48" s="134"/>
      <c r="Q48" s="134">
        <f>'бюджет округа (района)'!J48+'бюджеты поселений'!J48</f>
        <v>0</v>
      </c>
      <c r="R48" s="137">
        <f>'бюджет округа (района)'!J48</f>
        <v>0</v>
      </c>
      <c r="S48" s="134"/>
      <c r="T48" s="134"/>
      <c r="U48" s="134">
        <f>'бюджет округа (района)'!L48+'бюджеты поселений'!L48</f>
        <v>0</v>
      </c>
      <c r="V48" s="137">
        <f>'бюджет округа (района)'!L48</f>
        <v>0</v>
      </c>
      <c r="W48" s="134"/>
      <c r="X48" s="134"/>
      <c r="Y48" s="134">
        <f>'бюджет округа (района)'!N48+'бюджеты поселений'!N48</f>
        <v>0</v>
      </c>
      <c r="Z48" s="137">
        <f>'бюджет округа (района)'!N48</f>
        <v>0</v>
      </c>
      <c r="AA48" s="134"/>
      <c r="AB48" s="134"/>
      <c r="AC48" s="134">
        <f>'бюджет округа (района)'!P48+'бюджеты поселений'!P48</f>
        <v>0</v>
      </c>
      <c r="AD48" s="137">
        <f>'бюджет округа (района)'!P48</f>
        <v>0</v>
      </c>
      <c r="AE48" s="134"/>
      <c r="AF48" s="134"/>
      <c r="AG48" s="134">
        <f>'бюджет округа (района)'!R48+'бюджеты поселений'!R48</f>
        <v>0</v>
      </c>
      <c r="AH48" s="137">
        <f>'бюджет округа (района)'!R48</f>
        <v>0</v>
      </c>
      <c r="AI48" s="134"/>
      <c r="AJ48" s="134"/>
      <c r="AK48" s="134">
        <f>'бюджет округа (района)'!T48+'бюджеты поселений'!T48</f>
        <v>0</v>
      </c>
      <c r="AL48" s="137">
        <f>'бюджет округа (района)'!T48</f>
        <v>0</v>
      </c>
      <c r="AM48" s="134"/>
      <c r="AN48" s="134"/>
      <c r="AO48" s="134">
        <f>'бюджет округа (района)'!V48+'бюджеты поселений'!V48</f>
        <v>0</v>
      </c>
      <c r="AP48" s="137">
        <f>'бюджет округа (района)'!V48</f>
        <v>0</v>
      </c>
      <c r="AQ48" s="134"/>
      <c r="AR48" s="134"/>
      <c r="AS48" s="134">
        <f>'бюджет округа (района)'!X48+'бюджеты поселений'!X48</f>
        <v>0</v>
      </c>
      <c r="AT48" s="137">
        <f>'бюджет округа (района)'!X48</f>
        <v>0</v>
      </c>
      <c r="AU48" s="134"/>
      <c r="AV48" s="134"/>
      <c r="AW48" s="134">
        <f>'бюджет округа (района)'!Z48+'бюджеты поселений'!Z48</f>
        <v>0</v>
      </c>
      <c r="AX48" s="137">
        <f>'бюджет округа (района)'!Z48</f>
        <v>0</v>
      </c>
      <c r="AY48" s="134">
        <f>'бюджет округа (района)'!AA48+'бюджеты поселений'!AA48</f>
        <v>0</v>
      </c>
      <c r="AZ48" s="137">
        <f>'бюджет округа (района)'!AA48</f>
        <v>0</v>
      </c>
      <c r="BA48" s="135">
        <f t="shared" si="300"/>
        <v>1</v>
      </c>
      <c r="BB48" s="135">
        <f t="shared" si="300"/>
        <v>1</v>
      </c>
      <c r="BC48" s="134">
        <f>'бюджет округа (района)'!AC48+'бюджеты поселений'!AC48</f>
        <v>0</v>
      </c>
      <c r="BD48" s="137">
        <f>'бюджет округа (района)'!AC48</f>
        <v>0</v>
      </c>
      <c r="BE48" s="134">
        <f>'бюджет округа (района)'!AD48+'бюджеты поселений'!AD48</f>
        <v>0</v>
      </c>
      <c r="BF48" s="137">
        <f>'бюджет округа (района)'!AD48</f>
        <v>0</v>
      </c>
      <c r="BG48" s="134">
        <f t="shared" si="302"/>
        <v>0</v>
      </c>
      <c r="BH48" s="134">
        <f t="shared" si="302"/>
        <v>0</v>
      </c>
      <c r="BI48" s="135">
        <f t="shared" si="272"/>
        <v>1</v>
      </c>
      <c r="BJ48" s="135">
        <f t="shared" si="272"/>
        <v>1</v>
      </c>
      <c r="BK48" s="134">
        <f>'бюджет округа (района)'!AG48+'бюджеты поселений'!AG48</f>
        <v>0</v>
      </c>
      <c r="BL48" s="137">
        <f>'бюджет округа (района)'!AG48</f>
        <v>0</v>
      </c>
      <c r="BM48" s="134"/>
      <c r="BN48" s="134"/>
      <c r="BO48" s="135">
        <f t="shared" si="273"/>
        <v>1</v>
      </c>
      <c r="BP48" s="135">
        <f t="shared" si="273"/>
        <v>1</v>
      </c>
      <c r="BQ48" s="134">
        <f>'бюджет округа (района)'!AJ48+'бюджеты поселений'!AJ48</f>
        <v>0</v>
      </c>
      <c r="BR48" s="137">
        <f>'бюджет округа (района)'!AJ48</f>
        <v>0</v>
      </c>
      <c r="BS48" s="134"/>
      <c r="BT48" s="134"/>
      <c r="BU48" s="135">
        <f t="shared" si="274"/>
        <v>1</v>
      </c>
      <c r="BV48" s="135">
        <f t="shared" si="274"/>
        <v>1</v>
      </c>
      <c r="BW48" s="134">
        <f>'бюджет округа (района)'!AM48+'бюджеты поселений'!AM48</f>
        <v>0</v>
      </c>
      <c r="BX48" s="137">
        <f>'бюджет округа (района)'!AM48</f>
        <v>0</v>
      </c>
      <c r="BY48" s="134"/>
      <c r="BZ48" s="134"/>
      <c r="CA48" s="135">
        <f t="shared" si="275"/>
        <v>1</v>
      </c>
      <c r="CB48" s="135">
        <f t="shared" si="275"/>
        <v>1</v>
      </c>
      <c r="CC48" s="134">
        <f>'бюджет округа (района)'!AP48+'бюджеты поселений'!AP48</f>
        <v>0</v>
      </c>
      <c r="CD48" s="137">
        <f>'бюджет округа (района)'!AP48</f>
        <v>0</v>
      </c>
      <c r="CE48" s="134"/>
      <c r="CF48" s="134"/>
      <c r="CG48" s="135">
        <f t="shared" si="276"/>
        <v>1</v>
      </c>
      <c r="CH48" s="135">
        <f t="shared" si="276"/>
        <v>1</v>
      </c>
      <c r="CI48" s="134">
        <f>'бюджет округа (района)'!AS48+'бюджеты поселений'!AS48</f>
        <v>0</v>
      </c>
      <c r="CJ48" s="137">
        <f>'бюджет округа (района)'!AS48</f>
        <v>0</v>
      </c>
      <c r="CK48" s="134"/>
      <c r="CL48" s="134"/>
      <c r="CM48" s="135">
        <f t="shared" si="277"/>
        <v>1</v>
      </c>
      <c r="CN48" s="135">
        <f t="shared" si="277"/>
        <v>1</v>
      </c>
      <c r="CO48" s="134">
        <f>'бюджет округа (района)'!AV48+'бюджеты поселений'!AV48</f>
        <v>0</v>
      </c>
      <c r="CP48" s="137">
        <f>'бюджет округа (района)'!AV48</f>
        <v>0</v>
      </c>
      <c r="CQ48" s="134"/>
      <c r="CR48" s="134"/>
      <c r="CS48" s="135">
        <f t="shared" si="278"/>
        <v>1</v>
      </c>
      <c r="CT48" s="135">
        <f t="shared" si="278"/>
        <v>1</v>
      </c>
      <c r="CU48" s="134">
        <f>'бюджет округа (района)'!AY48+'бюджеты поселений'!AY48</f>
        <v>0</v>
      </c>
      <c r="CV48" s="137">
        <f>'бюджет округа (района)'!AY48</f>
        <v>0</v>
      </c>
      <c r="CW48" s="134"/>
      <c r="CX48" s="134"/>
      <c r="CY48" s="135">
        <f t="shared" si="279"/>
        <v>1</v>
      </c>
      <c r="CZ48" s="135">
        <f t="shared" si="279"/>
        <v>1</v>
      </c>
      <c r="DA48" s="134">
        <f>'бюджет округа (района)'!BB48+'бюджеты поселений'!BB48</f>
        <v>0</v>
      </c>
      <c r="DB48" s="137">
        <f>'бюджет округа (района)'!BB48</f>
        <v>0</v>
      </c>
      <c r="DC48" s="134"/>
      <c r="DD48" s="134"/>
      <c r="DE48" s="135">
        <f t="shared" si="280"/>
        <v>1</v>
      </c>
      <c r="DF48" s="135">
        <f t="shared" si="280"/>
        <v>1</v>
      </c>
      <c r="DG48" s="134">
        <f>'бюджет округа (района)'!BE48+'бюджеты поселений'!BE48</f>
        <v>0</v>
      </c>
      <c r="DH48" s="137">
        <f>'бюджет округа (района)'!BE48</f>
        <v>0</v>
      </c>
      <c r="DI48" s="134"/>
      <c r="DJ48" s="134"/>
      <c r="DK48" s="135">
        <f t="shared" si="281"/>
        <v>1</v>
      </c>
      <c r="DL48" s="135">
        <f t="shared" si="281"/>
        <v>1</v>
      </c>
      <c r="DM48" s="134">
        <f>'бюджет округа (района)'!BH48+'бюджеты поселений'!BH48</f>
        <v>0</v>
      </c>
      <c r="DN48" s="137">
        <f>'бюджет округа (района)'!BH48</f>
        <v>0</v>
      </c>
      <c r="DO48" s="134">
        <f>'бюджет округа (района)'!BI48+'бюджеты поселений'!BI48</f>
        <v>0</v>
      </c>
      <c r="DP48" s="137">
        <f>'бюджет округа (района)'!BI48</f>
        <v>0</v>
      </c>
      <c r="DQ48" s="134">
        <f>'бюджет округа (района)'!BJ48+'бюджеты поселений'!BJ48</f>
        <v>0</v>
      </c>
      <c r="DR48" s="137">
        <f>'бюджет округа (района)'!BJ48</f>
        <v>0</v>
      </c>
      <c r="DS48" s="135">
        <f>IF($AY$48=0,1,DQ48/$AY$48-1)</f>
        <v>1</v>
      </c>
      <c r="DT48" s="135">
        <f>IF($AZ$48=0,1,DR48/$AZ$48-1)</f>
        <v>1</v>
      </c>
      <c r="DU48" s="135">
        <f t="shared" si="58"/>
        <v>1</v>
      </c>
      <c r="DV48" s="135">
        <f t="shared" si="59"/>
        <v>1</v>
      </c>
      <c r="DW48" s="167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  <c r="IU48" s="63"/>
      <c r="IV48" s="63"/>
      <c r="IW48" s="63"/>
      <c r="IX48" s="63"/>
      <c r="IY48" s="63"/>
      <c r="IZ48" s="63"/>
      <c r="JA48" s="63"/>
      <c r="JB48" s="63"/>
      <c r="JC48" s="63"/>
      <c r="JD48" s="63"/>
      <c r="JE48" s="63"/>
      <c r="JF48" s="63"/>
      <c r="JG48" s="63"/>
      <c r="JH48" s="63"/>
    </row>
    <row r="49" spans="1:268" s="66" customFormat="1" ht="18" customHeight="1">
      <c r="A49" s="290" t="s">
        <v>108</v>
      </c>
      <c r="B49" s="291"/>
      <c r="C49" s="137">
        <f>C50+C51+C52</f>
        <v>0</v>
      </c>
      <c r="D49" s="137">
        <f t="shared" ref="D49:AV49" si="308">D50+D51+D52</f>
        <v>0</v>
      </c>
      <c r="E49" s="137">
        <f t="shared" si="308"/>
        <v>0</v>
      </c>
      <c r="F49" s="137">
        <f t="shared" si="308"/>
        <v>0</v>
      </c>
      <c r="G49" s="137">
        <f>G50+G51+G52</f>
        <v>0</v>
      </c>
      <c r="H49" s="137">
        <f t="shared" ref="H49" si="309">H50+H51+H52</f>
        <v>0</v>
      </c>
      <c r="I49" s="137">
        <f>I50+I51+I52</f>
        <v>0</v>
      </c>
      <c r="J49" s="137">
        <f t="shared" ref="J49" si="310">J50+J51+J52</f>
        <v>0</v>
      </c>
      <c r="K49" s="134">
        <f t="shared" si="301"/>
        <v>0</v>
      </c>
      <c r="L49" s="134">
        <f t="shared" si="301"/>
        <v>0</v>
      </c>
      <c r="M49" s="137">
        <f>M50+M51+M52</f>
        <v>0</v>
      </c>
      <c r="N49" s="137">
        <f t="shared" ref="N49" si="311">N50+N51+N52</f>
        <v>0</v>
      </c>
      <c r="O49" s="137">
        <f t="shared" si="308"/>
        <v>0</v>
      </c>
      <c r="P49" s="137">
        <f t="shared" si="308"/>
        <v>0</v>
      </c>
      <c r="Q49" s="137">
        <f>Q50+Q51+Q52</f>
        <v>0</v>
      </c>
      <c r="R49" s="137">
        <f t="shared" ref="R49" si="312">R50+R51+R52</f>
        <v>0</v>
      </c>
      <c r="S49" s="137">
        <f t="shared" si="308"/>
        <v>0</v>
      </c>
      <c r="T49" s="137">
        <f t="shared" si="308"/>
        <v>0</v>
      </c>
      <c r="U49" s="137">
        <f>U50+U51+U52</f>
        <v>0</v>
      </c>
      <c r="V49" s="137">
        <f t="shared" ref="V49" si="313">V50+V51+V52</f>
        <v>0</v>
      </c>
      <c r="W49" s="137">
        <f t="shared" si="308"/>
        <v>0</v>
      </c>
      <c r="X49" s="137">
        <f t="shared" si="308"/>
        <v>0</v>
      </c>
      <c r="Y49" s="137">
        <f>Y50+Y51+Y52</f>
        <v>0</v>
      </c>
      <c r="Z49" s="137">
        <f t="shared" ref="Z49" si="314">Z50+Z51+Z52</f>
        <v>0</v>
      </c>
      <c r="AA49" s="137">
        <f t="shared" si="308"/>
        <v>0</v>
      </c>
      <c r="AB49" s="137">
        <f t="shared" si="308"/>
        <v>0</v>
      </c>
      <c r="AC49" s="137">
        <f>AC50+AC51+AC52</f>
        <v>0</v>
      </c>
      <c r="AD49" s="137">
        <f t="shared" ref="AD49" si="315">AD50+AD51+AD52</f>
        <v>0</v>
      </c>
      <c r="AE49" s="137">
        <f t="shared" si="308"/>
        <v>0</v>
      </c>
      <c r="AF49" s="137">
        <f t="shared" si="308"/>
        <v>0</v>
      </c>
      <c r="AG49" s="137">
        <f>AG50+AG51+AG52</f>
        <v>0</v>
      </c>
      <c r="AH49" s="137">
        <f t="shared" ref="AH49" si="316">AH50+AH51+AH52</f>
        <v>0</v>
      </c>
      <c r="AI49" s="137">
        <f t="shared" si="308"/>
        <v>0</v>
      </c>
      <c r="AJ49" s="137">
        <f t="shared" si="308"/>
        <v>0</v>
      </c>
      <c r="AK49" s="137">
        <f>AK50+AK51+AK52</f>
        <v>0</v>
      </c>
      <c r="AL49" s="137">
        <f t="shared" ref="AL49" si="317">AL50+AL51+AL52</f>
        <v>0</v>
      </c>
      <c r="AM49" s="137">
        <f t="shared" si="308"/>
        <v>0</v>
      </c>
      <c r="AN49" s="137">
        <f t="shared" si="308"/>
        <v>0</v>
      </c>
      <c r="AO49" s="137">
        <f>AO50+AO51+AO52</f>
        <v>0</v>
      </c>
      <c r="AP49" s="137">
        <f t="shared" ref="AP49" si="318">AP50+AP51+AP52</f>
        <v>0</v>
      </c>
      <c r="AQ49" s="137">
        <f t="shared" si="308"/>
        <v>0</v>
      </c>
      <c r="AR49" s="137">
        <f t="shared" si="308"/>
        <v>0</v>
      </c>
      <c r="AS49" s="137">
        <f>AS50+AS51+AS52</f>
        <v>0</v>
      </c>
      <c r="AT49" s="137">
        <f t="shared" ref="AT49" si="319">AT50+AT51+AT52</f>
        <v>0</v>
      </c>
      <c r="AU49" s="137">
        <f t="shared" si="308"/>
        <v>0</v>
      </c>
      <c r="AV49" s="137">
        <f t="shared" si="308"/>
        <v>0</v>
      </c>
      <c r="AW49" s="137">
        <f>AW50+AW51+AW52</f>
        <v>0</v>
      </c>
      <c r="AX49" s="137">
        <f t="shared" ref="AX49" si="320">AX50+AX51+AX52</f>
        <v>0</v>
      </c>
      <c r="AY49" s="137">
        <f>AY50+AY51+AY52</f>
        <v>0</v>
      </c>
      <c r="AZ49" s="137">
        <f t="shared" ref="AZ49" si="321">AZ50+AZ51+AZ52</f>
        <v>0</v>
      </c>
      <c r="BA49" s="135">
        <f t="shared" si="300"/>
        <v>1</v>
      </c>
      <c r="BB49" s="135">
        <f t="shared" si="300"/>
        <v>1</v>
      </c>
      <c r="BC49" s="137">
        <f>BC50+BC51+BC52</f>
        <v>0</v>
      </c>
      <c r="BD49" s="137">
        <f t="shared" ref="BD49" si="322">BD50+BD51+BD52</f>
        <v>0</v>
      </c>
      <c r="BE49" s="137">
        <f>BE50+BE51+BE52</f>
        <v>0</v>
      </c>
      <c r="BF49" s="137">
        <f t="shared" ref="BF49" si="323">BF50+BF51+BF52</f>
        <v>0</v>
      </c>
      <c r="BG49" s="134">
        <f t="shared" si="302"/>
        <v>0</v>
      </c>
      <c r="BH49" s="134">
        <f t="shared" si="302"/>
        <v>0</v>
      </c>
      <c r="BI49" s="135">
        <f t="shared" si="272"/>
        <v>1</v>
      </c>
      <c r="BJ49" s="135">
        <f t="shared" si="272"/>
        <v>1</v>
      </c>
      <c r="BK49" s="137">
        <f>BK50+BK51+BK52</f>
        <v>0</v>
      </c>
      <c r="BL49" s="137">
        <f t="shared" ref="BL49:DJ49" si="324">BL50+BL51+BL52</f>
        <v>0</v>
      </c>
      <c r="BM49" s="137">
        <f t="shared" si="324"/>
        <v>0</v>
      </c>
      <c r="BN49" s="137">
        <f t="shared" si="324"/>
        <v>0</v>
      </c>
      <c r="BO49" s="135">
        <f t="shared" si="273"/>
        <v>1</v>
      </c>
      <c r="BP49" s="135">
        <f t="shared" si="273"/>
        <v>1</v>
      </c>
      <c r="BQ49" s="137">
        <f>BQ50+BQ51+BQ52</f>
        <v>0</v>
      </c>
      <c r="BR49" s="137">
        <f t="shared" ref="BR49" si="325">BR50+BR51+BR52</f>
        <v>0</v>
      </c>
      <c r="BS49" s="137">
        <f t="shared" si="324"/>
        <v>0</v>
      </c>
      <c r="BT49" s="137">
        <f t="shared" si="324"/>
        <v>0</v>
      </c>
      <c r="BU49" s="135">
        <f t="shared" si="274"/>
        <v>1</v>
      </c>
      <c r="BV49" s="135">
        <f t="shared" si="274"/>
        <v>1</v>
      </c>
      <c r="BW49" s="137">
        <f>BW50+BW51+BW52</f>
        <v>0</v>
      </c>
      <c r="BX49" s="137">
        <f t="shared" ref="BX49" si="326">BX50+BX51+BX52</f>
        <v>0</v>
      </c>
      <c r="BY49" s="137">
        <f t="shared" si="324"/>
        <v>0</v>
      </c>
      <c r="BZ49" s="137">
        <f t="shared" si="324"/>
        <v>0</v>
      </c>
      <c r="CA49" s="135">
        <f t="shared" si="275"/>
        <v>1</v>
      </c>
      <c r="CB49" s="135">
        <f t="shared" si="275"/>
        <v>1</v>
      </c>
      <c r="CC49" s="137">
        <f>CC50+CC51+CC52</f>
        <v>0</v>
      </c>
      <c r="CD49" s="137">
        <f t="shared" ref="CD49" si="327">CD50+CD51+CD52</f>
        <v>0</v>
      </c>
      <c r="CE49" s="137">
        <f t="shared" si="324"/>
        <v>0</v>
      </c>
      <c r="CF49" s="137">
        <f t="shared" si="324"/>
        <v>0</v>
      </c>
      <c r="CG49" s="135">
        <f t="shared" si="276"/>
        <v>1</v>
      </c>
      <c r="CH49" s="135">
        <f t="shared" si="276"/>
        <v>1</v>
      </c>
      <c r="CI49" s="137">
        <f>CI50+CI51+CI52</f>
        <v>0</v>
      </c>
      <c r="CJ49" s="137">
        <f t="shared" ref="CJ49" si="328">CJ50+CJ51+CJ52</f>
        <v>0</v>
      </c>
      <c r="CK49" s="137">
        <f t="shared" si="324"/>
        <v>0</v>
      </c>
      <c r="CL49" s="137">
        <f t="shared" si="324"/>
        <v>0</v>
      </c>
      <c r="CM49" s="135">
        <f t="shared" si="277"/>
        <v>1</v>
      </c>
      <c r="CN49" s="135">
        <f t="shared" si="277"/>
        <v>1</v>
      </c>
      <c r="CO49" s="137">
        <f>CO50+CO51+CO52</f>
        <v>0</v>
      </c>
      <c r="CP49" s="137">
        <f t="shared" ref="CP49" si="329">CP50+CP51+CP52</f>
        <v>0</v>
      </c>
      <c r="CQ49" s="137">
        <f t="shared" si="324"/>
        <v>0</v>
      </c>
      <c r="CR49" s="137">
        <f t="shared" si="324"/>
        <v>0</v>
      </c>
      <c r="CS49" s="135">
        <f t="shared" si="278"/>
        <v>1</v>
      </c>
      <c r="CT49" s="135">
        <f t="shared" si="278"/>
        <v>1</v>
      </c>
      <c r="CU49" s="137">
        <f>CU50+CU51+CU52</f>
        <v>0</v>
      </c>
      <c r="CV49" s="137">
        <f t="shared" ref="CV49" si="330">CV50+CV51+CV52</f>
        <v>0</v>
      </c>
      <c r="CW49" s="137">
        <f t="shared" si="324"/>
        <v>0</v>
      </c>
      <c r="CX49" s="137">
        <f t="shared" si="324"/>
        <v>0</v>
      </c>
      <c r="CY49" s="135">
        <f t="shared" si="279"/>
        <v>1</v>
      </c>
      <c r="CZ49" s="135">
        <f t="shared" si="279"/>
        <v>1</v>
      </c>
      <c r="DA49" s="137">
        <f>DA50+DA51+DA52</f>
        <v>0</v>
      </c>
      <c r="DB49" s="137">
        <f t="shared" ref="DB49" si="331">DB50+DB51+DB52</f>
        <v>0</v>
      </c>
      <c r="DC49" s="137">
        <f t="shared" si="324"/>
        <v>0</v>
      </c>
      <c r="DD49" s="137">
        <f t="shared" si="324"/>
        <v>0</v>
      </c>
      <c r="DE49" s="135">
        <f t="shared" si="280"/>
        <v>1</v>
      </c>
      <c r="DF49" s="135">
        <f t="shared" si="280"/>
        <v>1</v>
      </c>
      <c r="DG49" s="137">
        <f>DG50+DG51+DG52</f>
        <v>0</v>
      </c>
      <c r="DH49" s="137">
        <f t="shared" ref="DH49" si="332">DH50+DH51+DH52</f>
        <v>0</v>
      </c>
      <c r="DI49" s="137">
        <f t="shared" si="324"/>
        <v>0</v>
      </c>
      <c r="DJ49" s="137">
        <f t="shared" si="324"/>
        <v>0</v>
      </c>
      <c r="DK49" s="135">
        <f t="shared" si="281"/>
        <v>1</v>
      </c>
      <c r="DL49" s="135">
        <f t="shared" si="281"/>
        <v>1</v>
      </c>
      <c r="DM49" s="137">
        <f>DM50+DM51+DM52</f>
        <v>0</v>
      </c>
      <c r="DN49" s="137">
        <f t="shared" ref="DN49" si="333">DN50+DN51+DN52</f>
        <v>0</v>
      </c>
      <c r="DO49" s="137">
        <f>DO50+DO51+DO52</f>
        <v>0</v>
      </c>
      <c r="DP49" s="137">
        <f t="shared" ref="DP49" si="334">DP50+DP51+DP52</f>
        <v>0</v>
      </c>
      <c r="DQ49" s="137">
        <f>DQ50+DQ51+DQ52</f>
        <v>0</v>
      </c>
      <c r="DR49" s="137">
        <f t="shared" ref="DR49" si="335">DR50+DR51+DR52</f>
        <v>0</v>
      </c>
      <c r="DS49" s="135">
        <f>IF($AY$49=0,1,DQ49/$AY$49-1)</f>
        <v>1</v>
      </c>
      <c r="DT49" s="135">
        <f>IF($AZ$49=0,1,DR49/$AZ$49-1)</f>
        <v>1</v>
      </c>
      <c r="DU49" s="135">
        <f t="shared" si="58"/>
        <v>1</v>
      </c>
      <c r="DV49" s="135">
        <f>IF($F49=0,1,DR49/$F49-1)</f>
        <v>1</v>
      </c>
      <c r="DW49" s="167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  <c r="IV49" s="65"/>
      <c r="IW49" s="65"/>
      <c r="IX49" s="65"/>
      <c r="IY49" s="65"/>
      <c r="IZ49" s="65"/>
      <c r="JA49" s="65"/>
      <c r="JB49" s="65"/>
      <c r="JC49" s="65"/>
      <c r="JD49" s="65"/>
      <c r="JE49" s="65"/>
      <c r="JF49" s="65"/>
      <c r="JG49" s="65"/>
      <c r="JH49" s="65"/>
    </row>
    <row r="50" spans="1:268" s="66" customFormat="1" ht="18" customHeight="1">
      <c r="A50" s="290" t="s">
        <v>110</v>
      </c>
      <c r="B50" s="291"/>
      <c r="C50" s="134">
        <f>'бюджет округа (района)'!C50+'бюджеты поселений'!C50</f>
        <v>0</v>
      </c>
      <c r="D50" s="137">
        <f>'бюджет округа (района)'!C50</f>
        <v>0</v>
      </c>
      <c r="E50" s="134">
        <f t="shared" ref="E50:F65" si="336">G50+I50+M50+Q50+U50+Y50+AC50+AG50+AK50+AO50+AS50+AW50</f>
        <v>0</v>
      </c>
      <c r="F50" s="137">
        <f t="shared" si="336"/>
        <v>0</v>
      </c>
      <c r="G50" s="134">
        <f>'бюджет округа (района)'!E50+'бюджеты поселений'!E50</f>
        <v>0</v>
      </c>
      <c r="H50" s="137">
        <f>'бюджет округа (района)'!E50</f>
        <v>0</v>
      </c>
      <c r="I50" s="134">
        <f>'бюджет округа (района)'!F50+'бюджеты поселений'!F50</f>
        <v>0</v>
      </c>
      <c r="J50" s="137">
        <f>'бюджет округа (района)'!F50</f>
        <v>0</v>
      </c>
      <c r="K50" s="134">
        <f t="shared" si="301"/>
        <v>0</v>
      </c>
      <c r="L50" s="134">
        <f t="shared" si="301"/>
        <v>0</v>
      </c>
      <c r="M50" s="134">
        <f>'бюджет округа (района)'!H50+'бюджеты поселений'!H50</f>
        <v>0</v>
      </c>
      <c r="N50" s="137">
        <f>'бюджет округа (района)'!H50</f>
        <v>0</v>
      </c>
      <c r="O50" s="134"/>
      <c r="P50" s="134"/>
      <c r="Q50" s="134">
        <f>'бюджет округа (района)'!J50+'бюджеты поселений'!J50</f>
        <v>0</v>
      </c>
      <c r="R50" s="137">
        <f>'бюджет округа (района)'!J50</f>
        <v>0</v>
      </c>
      <c r="S50" s="134"/>
      <c r="T50" s="134"/>
      <c r="U50" s="134">
        <f>'бюджет округа (района)'!L50+'бюджеты поселений'!L50</f>
        <v>0</v>
      </c>
      <c r="V50" s="137">
        <f>'бюджет округа (района)'!L50</f>
        <v>0</v>
      </c>
      <c r="W50" s="134"/>
      <c r="X50" s="134"/>
      <c r="Y50" s="134">
        <f>'бюджет округа (района)'!N50+'бюджеты поселений'!N50</f>
        <v>0</v>
      </c>
      <c r="Z50" s="137">
        <f>'бюджет округа (района)'!N50</f>
        <v>0</v>
      </c>
      <c r="AA50" s="134"/>
      <c r="AB50" s="134"/>
      <c r="AC50" s="134">
        <f>'бюджет округа (района)'!P50+'бюджеты поселений'!P50</f>
        <v>0</v>
      </c>
      <c r="AD50" s="137">
        <f>'бюджет округа (района)'!P50</f>
        <v>0</v>
      </c>
      <c r="AE50" s="134"/>
      <c r="AF50" s="134"/>
      <c r="AG50" s="134">
        <f>'бюджет округа (района)'!R50+'бюджеты поселений'!R50</f>
        <v>0</v>
      </c>
      <c r="AH50" s="137">
        <f>'бюджет округа (района)'!R50</f>
        <v>0</v>
      </c>
      <c r="AI50" s="134"/>
      <c r="AJ50" s="134"/>
      <c r="AK50" s="134">
        <f>'бюджет округа (района)'!T50+'бюджеты поселений'!T50</f>
        <v>0</v>
      </c>
      <c r="AL50" s="137">
        <f>'бюджет округа (района)'!T50</f>
        <v>0</v>
      </c>
      <c r="AM50" s="134"/>
      <c r="AN50" s="134"/>
      <c r="AO50" s="134">
        <f>'бюджет округа (района)'!V50+'бюджеты поселений'!V50</f>
        <v>0</v>
      </c>
      <c r="AP50" s="137">
        <f>'бюджет округа (района)'!V50</f>
        <v>0</v>
      </c>
      <c r="AQ50" s="134"/>
      <c r="AR50" s="134"/>
      <c r="AS50" s="134">
        <f>'бюджет округа (района)'!X50+'бюджеты поселений'!X50</f>
        <v>0</v>
      </c>
      <c r="AT50" s="137">
        <f>'бюджет округа (района)'!X50</f>
        <v>0</v>
      </c>
      <c r="AU50" s="134"/>
      <c r="AV50" s="134"/>
      <c r="AW50" s="134">
        <f>'бюджет округа (района)'!Z50+'бюджеты поселений'!Z50</f>
        <v>0</v>
      </c>
      <c r="AX50" s="137">
        <f>'бюджет округа (района)'!Z50</f>
        <v>0</v>
      </c>
      <c r="AY50" s="134">
        <f>'бюджет округа (района)'!AA50+'бюджеты поселений'!AA50</f>
        <v>0</v>
      </c>
      <c r="AZ50" s="137">
        <f>'бюджет округа (района)'!AA50</f>
        <v>0</v>
      </c>
      <c r="BA50" s="135">
        <f t="shared" si="300"/>
        <v>1</v>
      </c>
      <c r="BB50" s="135">
        <f t="shared" si="300"/>
        <v>1</v>
      </c>
      <c r="BC50" s="134">
        <f>'бюджет округа (района)'!AC50+'бюджеты поселений'!AC50</f>
        <v>0</v>
      </c>
      <c r="BD50" s="137">
        <f>'бюджет округа (района)'!AC50</f>
        <v>0</v>
      </c>
      <c r="BE50" s="134">
        <f>'бюджет округа (района)'!AD50+'бюджеты поселений'!AD50</f>
        <v>0</v>
      </c>
      <c r="BF50" s="137">
        <f>'бюджет округа (района)'!AD50</f>
        <v>0</v>
      </c>
      <c r="BG50" s="134">
        <f t="shared" si="302"/>
        <v>0</v>
      </c>
      <c r="BH50" s="134">
        <f t="shared" si="302"/>
        <v>0</v>
      </c>
      <c r="BI50" s="135">
        <f t="shared" si="272"/>
        <v>1</v>
      </c>
      <c r="BJ50" s="135">
        <f t="shared" si="272"/>
        <v>1</v>
      </c>
      <c r="BK50" s="134">
        <f>'бюджет округа (района)'!AG50+'бюджеты поселений'!AG50</f>
        <v>0</v>
      </c>
      <c r="BL50" s="137">
        <f>'бюджет округа (района)'!AG50</f>
        <v>0</v>
      </c>
      <c r="BM50" s="134"/>
      <c r="BN50" s="134"/>
      <c r="BO50" s="135">
        <f t="shared" si="273"/>
        <v>1</v>
      </c>
      <c r="BP50" s="135">
        <f t="shared" si="273"/>
        <v>1</v>
      </c>
      <c r="BQ50" s="134">
        <f>'бюджет округа (района)'!AJ50+'бюджеты поселений'!AJ50</f>
        <v>0</v>
      </c>
      <c r="BR50" s="137">
        <f>'бюджет округа (района)'!AJ50</f>
        <v>0</v>
      </c>
      <c r="BS50" s="134"/>
      <c r="BT50" s="134"/>
      <c r="BU50" s="135">
        <f t="shared" si="274"/>
        <v>1</v>
      </c>
      <c r="BV50" s="135">
        <f t="shared" si="274"/>
        <v>1</v>
      </c>
      <c r="BW50" s="134">
        <f>'бюджет округа (района)'!AM50+'бюджеты поселений'!AM50</f>
        <v>0</v>
      </c>
      <c r="BX50" s="137">
        <f>'бюджет округа (района)'!AM50</f>
        <v>0</v>
      </c>
      <c r="BY50" s="134"/>
      <c r="BZ50" s="134"/>
      <c r="CA50" s="135">
        <f t="shared" si="275"/>
        <v>1</v>
      </c>
      <c r="CB50" s="135">
        <f t="shared" si="275"/>
        <v>1</v>
      </c>
      <c r="CC50" s="134">
        <f>'бюджет округа (района)'!AP50+'бюджеты поселений'!AP50</f>
        <v>0</v>
      </c>
      <c r="CD50" s="137">
        <f>'бюджет округа (района)'!AP50</f>
        <v>0</v>
      </c>
      <c r="CE50" s="134"/>
      <c r="CF50" s="134"/>
      <c r="CG50" s="135">
        <f t="shared" si="276"/>
        <v>1</v>
      </c>
      <c r="CH50" s="135">
        <f t="shared" si="276"/>
        <v>1</v>
      </c>
      <c r="CI50" s="134">
        <f>'бюджет округа (района)'!AS50+'бюджеты поселений'!AS50</f>
        <v>0</v>
      </c>
      <c r="CJ50" s="137">
        <f>'бюджет округа (района)'!AS50</f>
        <v>0</v>
      </c>
      <c r="CK50" s="134"/>
      <c r="CL50" s="134"/>
      <c r="CM50" s="135">
        <f t="shared" si="277"/>
        <v>1</v>
      </c>
      <c r="CN50" s="135">
        <f t="shared" si="277"/>
        <v>1</v>
      </c>
      <c r="CO50" s="134">
        <f>'бюджет округа (района)'!AV50+'бюджеты поселений'!AV50</f>
        <v>0</v>
      </c>
      <c r="CP50" s="137">
        <f>'бюджет округа (района)'!AV50</f>
        <v>0</v>
      </c>
      <c r="CQ50" s="134"/>
      <c r="CR50" s="134"/>
      <c r="CS50" s="135">
        <f t="shared" si="278"/>
        <v>1</v>
      </c>
      <c r="CT50" s="135">
        <f t="shared" si="278"/>
        <v>1</v>
      </c>
      <c r="CU50" s="134">
        <f>'бюджет округа (района)'!AY50+'бюджеты поселений'!AY50</f>
        <v>0</v>
      </c>
      <c r="CV50" s="137">
        <f>'бюджет округа (района)'!AY50</f>
        <v>0</v>
      </c>
      <c r="CW50" s="134"/>
      <c r="CX50" s="134"/>
      <c r="CY50" s="135">
        <f t="shared" si="279"/>
        <v>1</v>
      </c>
      <c r="CZ50" s="135">
        <f t="shared" si="279"/>
        <v>1</v>
      </c>
      <c r="DA50" s="134">
        <f>'бюджет округа (района)'!BB50+'бюджеты поселений'!BB50</f>
        <v>0</v>
      </c>
      <c r="DB50" s="137">
        <f>'бюджет округа (района)'!BB50</f>
        <v>0</v>
      </c>
      <c r="DC50" s="134"/>
      <c r="DD50" s="134"/>
      <c r="DE50" s="135">
        <f t="shared" si="280"/>
        <v>1</v>
      </c>
      <c r="DF50" s="135">
        <f t="shared" si="280"/>
        <v>1</v>
      </c>
      <c r="DG50" s="134">
        <f>'бюджет округа (района)'!BE50+'бюджеты поселений'!BE50</f>
        <v>0</v>
      </c>
      <c r="DH50" s="137">
        <f>'бюджет округа (района)'!BE50</f>
        <v>0</v>
      </c>
      <c r="DI50" s="134"/>
      <c r="DJ50" s="134"/>
      <c r="DK50" s="135">
        <f t="shared" si="281"/>
        <v>1</v>
      </c>
      <c r="DL50" s="135">
        <f t="shared" si="281"/>
        <v>1</v>
      </c>
      <c r="DM50" s="134">
        <f>'бюджет округа (района)'!BH50+'бюджеты поселений'!BH50</f>
        <v>0</v>
      </c>
      <c r="DN50" s="137">
        <f>'бюджет округа (района)'!BH50</f>
        <v>0</v>
      </c>
      <c r="DO50" s="134">
        <f>'бюджет округа (района)'!BI50+'бюджеты поселений'!BI50</f>
        <v>0</v>
      </c>
      <c r="DP50" s="137">
        <f>'бюджет округа (района)'!BI50</f>
        <v>0</v>
      </c>
      <c r="DQ50" s="134">
        <f>'бюджет округа (района)'!BJ50+'бюджеты поселений'!BJ50</f>
        <v>0</v>
      </c>
      <c r="DR50" s="137">
        <f>'бюджет округа (района)'!BJ50</f>
        <v>0</v>
      </c>
      <c r="DS50" s="135">
        <f>IF($AY$50=0,1,DQ50/$AY$50-1)</f>
        <v>1</v>
      </c>
      <c r="DT50" s="135">
        <f>IF($AZ$50=0,1,DR50/$AZ$50-1)</f>
        <v>1</v>
      </c>
      <c r="DU50" s="135">
        <f t="shared" si="58"/>
        <v>1</v>
      </c>
      <c r="DV50" s="135">
        <f t="shared" si="59"/>
        <v>1</v>
      </c>
      <c r="DW50" s="167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  <c r="IW50" s="65"/>
      <c r="IX50" s="65"/>
      <c r="IY50" s="65"/>
      <c r="IZ50" s="65"/>
      <c r="JA50" s="65"/>
      <c r="JB50" s="65"/>
      <c r="JC50" s="65"/>
      <c r="JD50" s="65"/>
      <c r="JE50" s="65"/>
      <c r="JF50" s="65"/>
      <c r="JG50" s="65"/>
      <c r="JH50" s="65"/>
    </row>
    <row r="51" spans="1:268" s="66" customFormat="1" ht="18" customHeight="1">
      <c r="A51" s="290" t="s">
        <v>111</v>
      </c>
      <c r="B51" s="291"/>
      <c r="C51" s="134">
        <f>'бюджет округа (района)'!C51+'бюджеты поселений'!C51</f>
        <v>0</v>
      </c>
      <c r="D51" s="137">
        <f>'бюджет округа (района)'!C51</f>
        <v>0</v>
      </c>
      <c r="E51" s="134">
        <f t="shared" si="336"/>
        <v>0</v>
      </c>
      <c r="F51" s="137">
        <f t="shared" si="336"/>
        <v>0</v>
      </c>
      <c r="G51" s="134">
        <f>'бюджет округа (района)'!E51+'бюджеты поселений'!E51</f>
        <v>0</v>
      </c>
      <c r="H51" s="137">
        <f>'бюджет округа (района)'!E51</f>
        <v>0</v>
      </c>
      <c r="I51" s="134">
        <f>'бюджет округа (района)'!F51+'бюджеты поселений'!F51</f>
        <v>0</v>
      </c>
      <c r="J51" s="137">
        <f>'бюджет округа (района)'!F51</f>
        <v>0</v>
      </c>
      <c r="K51" s="134">
        <f t="shared" si="301"/>
        <v>0</v>
      </c>
      <c r="L51" s="134">
        <f t="shared" si="301"/>
        <v>0</v>
      </c>
      <c r="M51" s="134">
        <f>'бюджет округа (района)'!H51+'бюджеты поселений'!H51</f>
        <v>0</v>
      </c>
      <c r="N51" s="137">
        <f>'бюджет округа (района)'!H51</f>
        <v>0</v>
      </c>
      <c r="O51" s="134"/>
      <c r="P51" s="134"/>
      <c r="Q51" s="134">
        <f>'бюджет округа (района)'!J51+'бюджеты поселений'!J51</f>
        <v>0</v>
      </c>
      <c r="R51" s="137">
        <f>'бюджет округа (района)'!J51</f>
        <v>0</v>
      </c>
      <c r="S51" s="134"/>
      <c r="T51" s="134"/>
      <c r="U51" s="134">
        <f>'бюджет округа (района)'!L51+'бюджеты поселений'!L51</f>
        <v>0</v>
      </c>
      <c r="V51" s="137">
        <f>'бюджет округа (района)'!L51</f>
        <v>0</v>
      </c>
      <c r="W51" s="134"/>
      <c r="X51" s="134"/>
      <c r="Y51" s="134">
        <f>'бюджет округа (района)'!N51+'бюджеты поселений'!N51</f>
        <v>0</v>
      </c>
      <c r="Z51" s="137">
        <f>'бюджет округа (района)'!N51</f>
        <v>0</v>
      </c>
      <c r="AA51" s="134"/>
      <c r="AB51" s="134"/>
      <c r="AC51" s="134">
        <f>'бюджет округа (района)'!P51+'бюджеты поселений'!P51</f>
        <v>0</v>
      </c>
      <c r="AD51" s="137">
        <f>'бюджет округа (района)'!P51</f>
        <v>0</v>
      </c>
      <c r="AE51" s="134"/>
      <c r="AF51" s="134"/>
      <c r="AG51" s="134">
        <f>'бюджет округа (района)'!R51+'бюджеты поселений'!R51</f>
        <v>0</v>
      </c>
      <c r="AH51" s="137">
        <f>'бюджет округа (района)'!R51</f>
        <v>0</v>
      </c>
      <c r="AI51" s="134"/>
      <c r="AJ51" s="134"/>
      <c r="AK51" s="134">
        <f>'бюджет округа (района)'!T51+'бюджеты поселений'!T51</f>
        <v>0</v>
      </c>
      <c r="AL51" s="137">
        <f>'бюджет округа (района)'!T51</f>
        <v>0</v>
      </c>
      <c r="AM51" s="134"/>
      <c r="AN51" s="134"/>
      <c r="AO51" s="134">
        <f>'бюджет округа (района)'!V51+'бюджеты поселений'!V51</f>
        <v>0</v>
      </c>
      <c r="AP51" s="137">
        <f>'бюджет округа (района)'!V51</f>
        <v>0</v>
      </c>
      <c r="AQ51" s="134"/>
      <c r="AR51" s="134"/>
      <c r="AS51" s="134">
        <f>'бюджет округа (района)'!X51+'бюджеты поселений'!X51</f>
        <v>0</v>
      </c>
      <c r="AT51" s="137">
        <f>'бюджет округа (района)'!X51</f>
        <v>0</v>
      </c>
      <c r="AU51" s="134"/>
      <c r="AV51" s="134"/>
      <c r="AW51" s="134">
        <f>'бюджет округа (района)'!Z51+'бюджеты поселений'!Z51</f>
        <v>0</v>
      </c>
      <c r="AX51" s="137">
        <f>'бюджет округа (района)'!Z51</f>
        <v>0</v>
      </c>
      <c r="AY51" s="134">
        <f>'бюджет округа (района)'!AA51+'бюджеты поселений'!AA51</f>
        <v>0</v>
      </c>
      <c r="AZ51" s="137">
        <f>'бюджет округа (района)'!AA51</f>
        <v>0</v>
      </c>
      <c r="BA51" s="135">
        <f t="shared" si="300"/>
        <v>1</v>
      </c>
      <c r="BB51" s="135">
        <f t="shared" si="300"/>
        <v>1</v>
      </c>
      <c r="BC51" s="134">
        <f>'бюджет округа (района)'!AC51+'бюджеты поселений'!AC51</f>
        <v>0</v>
      </c>
      <c r="BD51" s="137">
        <f>'бюджет округа (района)'!AC51</f>
        <v>0</v>
      </c>
      <c r="BE51" s="134">
        <f>'бюджет округа (района)'!AD51+'бюджеты поселений'!AD51</f>
        <v>0</v>
      </c>
      <c r="BF51" s="137">
        <f>'бюджет округа (района)'!AD51</f>
        <v>0</v>
      </c>
      <c r="BG51" s="134">
        <f t="shared" si="302"/>
        <v>0</v>
      </c>
      <c r="BH51" s="134">
        <f t="shared" si="302"/>
        <v>0</v>
      </c>
      <c r="BI51" s="135">
        <f t="shared" si="272"/>
        <v>1</v>
      </c>
      <c r="BJ51" s="135">
        <f t="shared" si="272"/>
        <v>1</v>
      </c>
      <c r="BK51" s="134">
        <f>'бюджет округа (района)'!AG51+'бюджеты поселений'!AG51</f>
        <v>0</v>
      </c>
      <c r="BL51" s="137">
        <f>'бюджет округа (района)'!AG51</f>
        <v>0</v>
      </c>
      <c r="BM51" s="134"/>
      <c r="BN51" s="134"/>
      <c r="BO51" s="135">
        <f t="shared" si="273"/>
        <v>1</v>
      </c>
      <c r="BP51" s="135">
        <f t="shared" si="273"/>
        <v>1</v>
      </c>
      <c r="BQ51" s="134">
        <f>'бюджет округа (района)'!AJ51+'бюджеты поселений'!AJ51</f>
        <v>0</v>
      </c>
      <c r="BR51" s="137">
        <f>'бюджет округа (района)'!AJ51</f>
        <v>0</v>
      </c>
      <c r="BS51" s="134"/>
      <c r="BT51" s="134"/>
      <c r="BU51" s="135">
        <f t="shared" si="274"/>
        <v>1</v>
      </c>
      <c r="BV51" s="135">
        <f t="shared" si="274"/>
        <v>1</v>
      </c>
      <c r="BW51" s="134">
        <f>'бюджет округа (района)'!AM51+'бюджеты поселений'!AM51</f>
        <v>0</v>
      </c>
      <c r="BX51" s="137">
        <f>'бюджет округа (района)'!AM51</f>
        <v>0</v>
      </c>
      <c r="BY51" s="134"/>
      <c r="BZ51" s="134"/>
      <c r="CA51" s="135">
        <f t="shared" si="275"/>
        <v>1</v>
      </c>
      <c r="CB51" s="135">
        <f t="shared" si="275"/>
        <v>1</v>
      </c>
      <c r="CC51" s="134">
        <f>'бюджет округа (района)'!AP51+'бюджеты поселений'!AP51</f>
        <v>0</v>
      </c>
      <c r="CD51" s="137">
        <f>'бюджет округа (района)'!AP51</f>
        <v>0</v>
      </c>
      <c r="CE51" s="134"/>
      <c r="CF51" s="134"/>
      <c r="CG51" s="135">
        <f t="shared" si="276"/>
        <v>1</v>
      </c>
      <c r="CH51" s="135">
        <f t="shared" si="276"/>
        <v>1</v>
      </c>
      <c r="CI51" s="134">
        <f>'бюджет округа (района)'!AS51+'бюджеты поселений'!AS51</f>
        <v>0</v>
      </c>
      <c r="CJ51" s="137">
        <f>'бюджет округа (района)'!AS51</f>
        <v>0</v>
      </c>
      <c r="CK51" s="134"/>
      <c r="CL51" s="134"/>
      <c r="CM51" s="135">
        <f t="shared" si="277"/>
        <v>1</v>
      </c>
      <c r="CN51" s="135">
        <f t="shared" si="277"/>
        <v>1</v>
      </c>
      <c r="CO51" s="134">
        <f>'бюджет округа (района)'!AV51+'бюджеты поселений'!AV51</f>
        <v>0</v>
      </c>
      <c r="CP51" s="137">
        <f>'бюджет округа (района)'!AV51</f>
        <v>0</v>
      </c>
      <c r="CQ51" s="134"/>
      <c r="CR51" s="134"/>
      <c r="CS51" s="135">
        <f t="shared" si="278"/>
        <v>1</v>
      </c>
      <c r="CT51" s="135">
        <f t="shared" si="278"/>
        <v>1</v>
      </c>
      <c r="CU51" s="134">
        <f>'бюджет округа (района)'!AY51+'бюджеты поселений'!AY51</f>
        <v>0</v>
      </c>
      <c r="CV51" s="137">
        <f>'бюджет округа (района)'!AY51</f>
        <v>0</v>
      </c>
      <c r="CW51" s="134"/>
      <c r="CX51" s="134"/>
      <c r="CY51" s="135">
        <f t="shared" si="279"/>
        <v>1</v>
      </c>
      <c r="CZ51" s="135">
        <f t="shared" si="279"/>
        <v>1</v>
      </c>
      <c r="DA51" s="134">
        <f>'бюджет округа (района)'!BB51+'бюджеты поселений'!BB51</f>
        <v>0</v>
      </c>
      <c r="DB51" s="137">
        <f>'бюджет округа (района)'!BB51</f>
        <v>0</v>
      </c>
      <c r="DC51" s="134"/>
      <c r="DD51" s="134"/>
      <c r="DE51" s="135">
        <f t="shared" si="280"/>
        <v>1</v>
      </c>
      <c r="DF51" s="135">
        <f t="shared" si="280"/>
        <v>1</v>
      </c>
      <c r="DG51" s="134">
        <f>'бюджет округа (района)'!BE51+'бюджеты поселений'!BE51</f>
        <v>0</v>
      </c>
      <c r="DH51" s="137">
        <f>'бюджет округа (района)'!BE51</f>
        <v>0</v>
      </c>
      <c r="DI51" s="134"/>
      <c r="DJ51" s="134"/>
      <c r="DK51" s="135">
        <f t="shared" si="281"/>
        <v>1</v>
      </c>
      <c r="DL51" s="135">
        <f t="shared" si="281"/>
        <v>1</v>
      </c>
      <c r="DM51" s="134">
        <f>'бюджет округа (района)'!BH51+'бюджеты поселений'!BH51</f>
        <v>0</v>
      </c>
      <c r="DN51" s="137">
        <f>'бюджет округа (района)'!BH51</f>
        <v>0</v>
      </c>
      <c r="DO51" s="134">
        <f>'бюджет округа (района)'!BI51+'бюджеты поселений'!BI51</f>
        <v>0</v>
      </c>
      <c r="DP51" s="137">
        <f>'бюджет округа (района)'!BI51</f>
        <v>0</v>
      </c>
      <c r="DQ51" s="134">
        <f>'бюджет округа (района)'!BJ51+'бюджеты поселений'!BJ51</f>
        <v>0</v>
      </c>
      <c r="DR51" s="137">
        <f>'бюджет округа (района)'!BJ51</f>
        <v>0</v>
      </c>
      <c r="DS51" s="135">
        <f>IF($AY$51=0,1,DQ51/$AY$51-1)</f>
        <v>1</v>
      </c>
      <c r="DT51" s="135">
        <f>IF($AZ$51=0,1,DR51/$AZ$51-1)</f>
        <v>1</v>
      </c>
      <c r="DU51" s="135">
        <f t="shared" si="58"/>
        <v>1</v>
      </c>
      <c r="DV51" s="135">
        <f t="shared" si="59"/>
        <v>1</v>
      </c>
      <c r="DW51" s="167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  <c r="IW51" s="65"/>
      <c r="IX51" s="65"/>
      <c r="IY51" s="65"/>
      <c r="IZ51" s="65"/>
      <c r="JA51" s="65"/>
      <c r="JB51" s="65"/>
      <c r="JC51" s="65"/>
      <c r="JD51" s="65"/>
      <c r="JE51" s="65"/>
      <c r="JF51" s="65"/>
      <c r="JG51" s="65"/>
      <c r="JH51" s="65"/>
    </row>
    <row r="52" spans="1:268" s="66" customFormat="1" ht="18" customHeight="1">
      <c r="A52" s="290" t="s">
        <v>112</v>
      </c>
      <c r="B52" s="291"/>
      <c r="C52" s="134">
        <f>'бюджет округа (района)'!C52+'бюджеты поселений'!C52</f>
        <v>0</v>
      </c>
      <c r="D52" s="137">
        <f>'бюджет округа (района)'!C52</f>
        <v>0</v>
      </c>
      <c r="E52" s="134">
        <f t="shared" si="336"/>
        <v>0</v>
      </c>
      <c r="F52" s="137">
        <f t="shared" si="336"/>
        <v>0</v>
      </c>
      <c r="G52" s="134">
        <f>'бюджет округа (района)'!E52+'бюджеты поселений'!E52</f>
        <v>0</v>
      </c>
      <c r="H52" s="137">
        <f>'бюджет округа (района)'!E52</f>
        <v>0</v>
      </c>
      <c r="I52" s="134">
        <f>'бюджет округа (района)'!F52+'бюджеты поселений'!F52</f>
        <v>0</v>
      </c>
      <c r="J52" s="137">
        <f>'бюджет округа (района)'!F52</f>
        <v>0</v>
      </c>
      <c r="K52" s="134">
        <f t="shared" si="301"/>
        <v>0</v>
      </c>
      <c r="L52" s="134">
        <f t="shared" si="301"/>
        <v>0</v>
      </c>
      <c r="M52" s="134">
        <f>'бюджет округа (района)'!H52+'бюджеты поселений'!H52</f>
        <v>0</v>
      </c>
      <c r="N52" s="137">
        <f>'бюджет округа (района)'!H52</f>
        <v>0</v>
      </c>
      <c r="O52" s="134"/>
      <c r="P52" s="134"/>
      <c r="Q52" s="134">
        <f>'бюджет округа (района)'!J52+'бюджеты поселений'!J52</f>
        <v>0</v>
      </c>
      <c r="R52" s="137">
        <f>'бюджет округа (района)'!J52</f>
        <v>0</v>
      </c>
      <c r="S52" s="134"/>
      <c r="T52" s="134"/>
      <c r="U52" s="134">
        <f>'бюджет округа (района)'!L52+'бюджеты поселений'!L52</f>
        <v>0</v>
      </c>
      <c r="V52" s="137">
        <f>'бюджет округа (района)'!L52</f>
        <v>0</v>
      </c>
      <c r="W52" s="134"/>
      <c r="X52" s="134"/>
      <c r="Y52" s="134">
        <f>'бюджет округа (района)'!N52+'бюджеты поселений'!N52</f>
        <v>0</v>
      </c>
      <c r="Z52" s="137">
        <f>'бюджет округа (района)'!N52</f>
        <v>0</v>
      </c>
      <c r="AA52" s="134"/>
      <c r="AB52" s="134"/>
      <c r="AC52" s="134">
        <f>'бюджет округа (района)'!P52+'бюджеты поселений'!P52</f>
        <v>0</v>
      </c>
      <c r="AD52" s="137">
        <f>'бюджет округа (района)'!P52</f>
        <v>0</v>
      </c>
      <c r="AE52" s="134"/>
      <c r="AF52" s="134"/>
      <c r="AG52" s="134">
        <f>'бюджет округа (района)'!R52+'бюджеты поселений'!R52</f>
        <v>0</v>
      </c>
      <c r="AH52" s="137">
        <f>'бюджет округа (района)'!R52</f>
        <v>0</v>
      </c>
      <c r="AI52" s="134"/>
      <c r="AJ52" s="134"/>
      <c r="AK52" s="134">
        <f>'бюджет округа (района)'!T52+'бюджеты поселений'!T52</f>
        <v>0</v>
      </c>
      <c r="AL52" s="137">
        <f>'бюджет округа (района)'!T52</f>
        <v>0</v>
      </c>
      <c r="AM52" s="134"/>
      <c r="AN52" s="134"/>
      <c r="AO52" s="134">
        <f>'бюджет округа (района)'!V52+'бюджеты поселений'!V52</f>
        <v>0</v>
      </c>
      <c r="AP52" s="137">
        <f>'бюджет округа (района)'!V52</f>
        <v>0</v>
      </c>
      <c r="AQ52" s="134"/>
      <c r="AR52" s="134"/>
      <c r="AS52" s="134">
        <f>'бюджет округа (района)'!X52+'бюджеты поселений'!X52</f>
        <v>0</v>
      </c>
      <c r="AT52" s="137">
        <f>'бюджет округа (района)'!X52</f>
        <v>0</v>
      </c>
      <c r="AU52" s="134"/>
      <c r="AV52" s="134"/>
      <c r="AW52" s="134">
        <f>'бюджет округа (района)'!Z52+'бюджеты поселений'!Z52</f>
        <v>0</v>
      </c>
      <c r="AX52" s="137">
        <f>'бюджет округа (района)'!Z52</f>
        <v>0</v>
      </c>
      <c r="AY52" s="134">
        <f>'бюджет округа (района)'!AA52+'бюджеты поселений'!AA52</f>
        <v>0</v>
      </c>
      <c r="AZ52" s="137">
        <f>'бюджет округа (района)'!AA52</f>
        <v>0</v>
      </c>
      <c r="BA52" s="135">
        <f t="shared" si="300"/>
        <v>1</v>
      </c>
      <c r="BB52" s="135">
        <f t="shared" si="300"/>
        <v>1</v>
      </c>
      <c r="BC52" s="134">
        <f>'бюджет округа (района)'!AC52+'бюджеты поселений'!AC52</f>
        <v>0</v>
      </c>
      <c r="BD52" s="137">
        <f>'бюджет округа (района)'!AC52</f>
        <v>0</v>
      </c>
      <c r="BE52" s="134">
        <f>'бюджет округа (района)'!AD52+'бюджеты поселений'!AD52</f>
        <v>0</v>
      </c>
      <c r="BF52" s="137">
        <f>'бюджет округа (района)'!AD52</f>
        <v>0</v>
      </c>
      <c r="BG52" s="134">
        <f t="shared" si="302"/>
        <v>0</v>
      </c>
      <c r="BH52" s="134">
        <f t="shared" si="302"/>
        <v>0</v>
      </c>
      <c r="BI52" s="135">
        <f t="shared" si="272"/>
        <v>1</v>
      </c>
      <c r="BJ52" s="135">
        <f t="shared" si="272"/>
        <v>1</v>
      </c>
      <c r="BK52" s="134">
        <f>'бюджет округа (района)'!AG52+'бюджеты поселений'!AG52</f>
        <v>0</v>
      </c>
      <c r="BL52" s="137">
        <f>'бюджет округа (района)'!AG52</f>
        <v>0</v>
      </c>
      <c r="BM52" s="134"/>
      <c r="BN52" s="134"/>
      <c r="BO52" s="135">
        <f t="shared" si="273"/>
        <v>1</v>
      </c>
      <c r="BP52" s="135">
        <f t="shared" si="273"/>
        <v>1</v>
      </c>
      <c r="BQ52" s="134">
        <f>'бюджет округа (района)'!AJ52+'бюджеты поселений'!AJ52</f>
        <v>0</v>
      </c>
      <c r="BR52" s="137">
        <f>'бюджет округа (района)'!AJ52</f>
        <v>0</v>
      </c>
      <c r="BS52" s="134"/>
      <c r="BT52" s="134"/>
      <c r="BU52" s="135">
        <f t="shared" si="274"/>
        <v>1</v>
      </c>
      <c r="BV52" s="135">
        <f t="shared" si="274"/>
        <v>1</v>
      </c>
      <c r="BW52" s="134">
        <f>'бюджет округа (района)'!AM52+'бюджеты поселений'!AM52</f>
        <v>0</v>
      </c>
      <c r="BX52" s="137">
        <f>'бюджет округа (района)'!AM52</f>
        <v>0</v>
      </c>
      <c r="BY52" s="134"/>
      <c r="BZ52" s="134"/>
      <c r="CA52" s="135">
        <f t="shared" si="275"/>
        <v>1</v>
      </c>
      <c r="CB52" s="135">
        <f t="shared" si="275"/>
        <v>1</v>
      </c>
      <c r="CC52" s="134">
        <f>'бюджет округа (района)'!AP52+'бюджеты поселений'!AP52</f>
        <v>0</v>
      </c>
      <c r="CD52" s="137">
        <f>'бюджет округа (района)'!AP52</f>
        <v>0</v>
      </c>
      <c r="CE52" s="134"/>
      <c r="CF52" s="134"/>
      <c r="CG52" s="135">
        <f t="shared" si="276"/>
        <v>1</v>
      </c>
      <c r="CH52" s="135">
        <f t="shared" si="276"/>
        <v>1</v>
      </c>
      <c r="CI52" s="134">
        <f>'бюджет округа (района)'!AS52+'бюджеты поселений'!AS52</f>
        <v>0</v>
      </c>
      <c r="CJ52" s="137">
        <f>'бюджет округа (района)'!AS52</f>
        <v>0</v>
      </c>
      <c r="CK52" s="134"/>
      <c r="CL52" s="134"/>
      <c r="CM52" s="135">
        <f t="shared" si="277"/>
        <v>1</v>
      </c>
      <c r="CN52" s="135">
        <f t="shared" si="277"/>
        <v>1</v>
      </c>
      <c r="CO52" s="134">
        <f>'бюджет округа (района)'!AV52+'бюджеты поселений'!AV52</f>
        <v>0</v>
      </c>
      <c r="CP52" s="137">
        <f>'бюджет округа (района)'!AV52</f>
        <v>0</v>
      </c>
      <c r="CQ52" s="134"/>
      <c r="CR52" s="134"/>
      <c r="CS52" s="135">
        <f t="shared" si="278"/>
        <v>1</v>
      </c>
      <c r="CT52" s="135">
        <f t="shared" si="278"/>
        <v>1</v>
      </c>
      <c r="CU52" s="134">
        <f>'бюджет округа (района)'!AY52+'бюджеты поселений'!AY52</f>
        <v>0</v>
      </c>
      <c r="CV52" s="137">
        <f>'бюджет округа (района)'!AY52</f>
        <v>0</v>
      </c>
      <c r="CW52" s="134"/>
      <c r="CX52" s="134"/>
      <c r="CY52" s="135">
        <f t="shared" si="279"/>
        <v>1</v>
      </c>
      <c r="CZ52" s="135">
        <f t="shared" si="279"/>
        <v>1</v>
      </c>
      <c r="DA52" s="134">
        <f>'бюджет округа (района)'!BB52+'бюджеты поселений'!BB52</f>
        <v>0</v>
      </c>
      <c r="DB52" s="137">
        <f>'бюджет округа (района)'!BB52</f>
        <v>0</v>
      </c>
      <c r="DC52" s="134"/>
      <c r="DD52" s="134"/>
      <c r="DE52" s="135">
        <f t="shared" si="280"/>
        <v>1</v>
      </c>
      <c r="DF52" s="135">
        <f t="shared" si="280"/>
        <v>1</v>
      </c>
      <c r="DG52" s="134">
        <f>'бюджет округа (района)'!BE52+'бюджеты поселений'!BE52</f>
        <v>0</v>
      </c>
      <c r="DH52" s="137">
        <f>'бюджет округа (района)'!BE52</f>
        <v>0</v>
      </c>
      <c r="DI52" s="134"/>
      <c r="DJ52" s="134"/>
      <c r="DK52" s="135">
        <f t="shared" si="281"/>
        <v>1</v>
      </c>
      <c r="DL52" s="135">
        <f t="shared" si="281"/>
        <v>1</v>
      </c>
      <c r="DM52" s="134">
        <f>'бюджет округа (района)'!BH52+'бюджеты поселений'!BH52</f>
        <v>0</v>
      </c>
      <c r="DN52" s="137">
        <f>'бюджет округа (района)'!BH52</f>
        <v>0</v>
      </c>
      <c r="DO52" s="134">
        <f>'бюджет округа (района)'!BI52+'бюджеты поселений'!BI52</f>
        <v>0</v>
      </c>
      <c r="DP52" s="137">
        <f>'бюджет округа (района)'!BI52</f>
        <v>0</v>
      </c>
      <c r="DQ52" s="134">
        <f>'бюджет округа (района)'!BJ52+'бюджеты поселений'!BJ52</f>
        <v>0</v>
      </c>
      <c r="DR52" s="137">
        <f>'бюджет округа (района)'!BJ52</f>
        <v>0</v>
      </c>
      <c r="DS52" s="135">
        <f>IF($AY$52=0,1,DQ52/$AY$52-1)</f>
        <v>1</v>
      </c>
      <c r="DT52" s="135">
        <f>IF($AZ$52=0,1,DR52/$AZ$52-1)</f>
        <v>1</v>
      </c>
      <c r="DU52" s="135">
        <f t="shared" si="58"/>
        <v>1</v>
      </c>
      <c r="DV52" s="135">
        <f t="shared" si="59"/>
        <v>1</v>
      </c>
      <c r="DW52" s="167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  <c r="IZ52" s="65"/>
      <c r="JA52" s="65"/>
      <c r="JB52" s="65"/>
      <c r="JC52" s="65"/>
      <c r="JD52" s="65"/>
      <c r="JE52" s="65"/>
      <c r="JF52" s="65"/>
      <c r="JG52" s="65"/>
      <c r="JH52" s="65"/>
    </row>
    <row r="53" spans="1:268" s="66" customFormat="1" ht="18" customHeight="1">
      <c r="A53" s="290" t="s">
        <v>104</v>
      </c>
      <c r="B53" s="291"/>
      <c r="C53" s="134">
        <f>'бюджет округа (района)'!C53+'бюджеты поселений'!C53</f>
        <v>0</v>
      </c>
      <c r="D53" s="137">
        <f>'бюджет округа (района)'!C53</f>
        <v>0</v>
      </c>
      <c r="E53" s="134">
        <f t="shared" si="336"/>
        <v>0</v>
      </c>
      <c r="F53" s="137">
        <f t="shared" si="336"/>
        <v>0</v>
      </c>
      <c r="G53" s="134">
        <f>'бюджет округа (района)'!E53+'бюджеты поселений'!E53</f>
        <v>0</v>
      </c>
      <c r="H53" s="137">
        <f>'бюджет округа (района)'!E53</f>
        <v>0</v>
      </c>
      <c r="I53" s="134">
        <f>'бюджет округа (района)'!F53+'бюджеты поселений'!F53</f>
        <v>0</v>
      </c>
      <c r="J53" s="137">
        <f>'бюджет округа (района)'!F53</f>
        <v>0</v>
      </c>
      <c r="K53" s="134">
        <f t="shared" si="301"/>
        <v>0</v>
      </c>
      <c r="L53" s="134">
        <f t="shared" si="301"/>
        <v>0</v>
      </c>
      <c r="M53" s="134">
        <f>'бюджет округа (района)'!H53+'бюджеты поселений'!H53</f>
        <v>0</v>
      </c>
      <c r="N53" s="137">
        <f>'бюджет округа (района)'!H53</f>
        <v>0</v>
      </c>
      <c r="O53" s="134">
        <f>K53+M53</f>
        <v>0</v>
      </c>
      <c r="P53" s="134">
        <f>L53+N53</f>
        <v>0</v>
      </c>
      <c r="Q53" s="134">
        <f>'бюджет округа (района)'!J53+'бюджеты поселений'!J53</f>
        <v>0</v>
      </c>
      <c r="R53" s="137">
        <f>'бюджет округа (района)'!J53</f>
        <v>0</v>
      </c>
      <c r="S53" s="134">
        <f>O53+Q53</f>
        <v>0</v>
      </c>
      <c r="T53" s="134">
        <f>P53+R53</f>
        <v>0</v>
      </c>
      <c r="U53" s="134">
        <f>'бюджет округа (района)'!L53+'бюджеты поселений'!L53</f>
        <v>0</v>
      </c>
      <c r="V53" s="137">
        <f>'бюджет округа (района)'!L53</f>
        <v>0</v>
      </c>
      <c r="W53" s="134">
        <f>S53+U53</f>
        <v>0</v>
      </c>
      <c r="X53" s="134">
        <f>T53+V53</f>
        <v>0</v>
      </c>
      <c r="Y53" s="134">
        <f>'бюджет округа (района)'!N53+'бюджеты поселений'!N53</f>
        <v>0</v>
      </c>
      <c r="Z53" s="137">
        <f>'бюджет округа (района)'!N53</f>
        <v>0</v>
      </c>
      <c r="AA53" s="134">
        <f>W53+Y53</f>
        <v>0</v>
      </c>
      <c r="AB53" s="134">
        <f>X53+Z53</f>
        <v>0</v>
      </c>
      <c r="AC53" s="134">
        <f>'бюджет округа (района)'!P53+'бюджеты поселений'!P53</f>
        <v>0</v>
      </c>
      <c r="AD53" s="137">
        <f>'бюджет округа (района)'!P53</f>
        <v>0</v>
      </c>
      <c r="AE53" s="134">
        <f>AA53+AC53</f>
        <v>0</v>
      </c>
      <c r="AF53" s="134">
        <f>AB53+AD53</f>
        <v>0</v>
      </c>
      <c r="AG53" s="134">
        <f>'бюджет округа (района)'!R53+'бюджеты поселений'!R53</f>
        <v>0</v>
      </c>
      <c r="AH53" s="137">
        <f>'бюджет округа (района)'!R53</f>
        <v>0</v>
      </c>
      <c r="AI53" s="134">
        <f>AE53+AG53</f>
        <v>0</v>
      </c>
      <c r="AJ53" s="134">
        <f>AF53+AH53</f>
        <v>0</v>
      </c>
      <c r="AK53" s="134">
        <f>'бюджет округа (района)'!T53+'бюджеты поселений'!T53</f>
        <v>0</v>
      </c>
      <c r="AL53" s="137">
        <f>'бюджет округа (района)'!T53</f>
        <v>0</v>
      </c>
      <c r="AM53" s="134">
        <f>AI53+AK53</f>
        <v>0</v>
      </c>
      <c r="AN53" s="134">
        <f>AJ53+AL53</f>
        <v>0</v>
      </c>
      <c r="AO53" s="134">
        <f>'бюджет округа (района)'!V53+'бюджеты поселений'!V53</f>
        <v>0</v>
      </c>
      <c r="AP53" s="137">
        <f>'бюджет округа (района)'!V53</f>
        <v>0</v>
      </c>
      <c r="AQ53" s="134">
        <f>AM53+AO53</f>
        <v>0</v>
      </c>
      <c r="AR53" s="134">
        <f>AN53+AP53</f>
        <v>0</v>
      </c>
      <c r="AS53" s="134">
        <f>'бюджет округа (района)'!X53+'бюджеты поселений'!X53</f>
        <v>0</v>
      </c>
      <c r="AT53" s="137">
        <f>'бюджет округа (района)'!X53</f>
        <v>0</v>
      </c>
      <c r="AU53" s="134">
        <f>AQ53+AS53</f>
        <v>0</v>
      </c>
      <c r="AV53" s="134">
        <f>AR53+AT53</f>
        <v>0</v>
      </c>
      <c r="AW53" s="134">
        <f>'бюджет округа (района)'!Z53+'бюджеты поселений'!Z53</f>
        <v>0</v>
      </c>
      <c r="AX53" s="137">
        <f>'бюджет округа (района)'!Z53</f>
        <v>0</v>
      </c>
      <c r="AY53" s="134">
        <f>'бюджет округа (района)'!AA53+'бюджеты поселений'!AA53</f>
        <v>0</v>
      </c>
      <c r="AZ53" s="137">
        <f>'бюджет округа (района)'!AA53</f>
        <v>0</v>
      </c>
      <c r="BA53" s="135">
        <f t="shared" si="300"/>
        <v>1</v>
      </c>
      <c r="BB53" s="135">
        <f t="shared" si="300"/>
        <v>1</v>
      </c>
      <c r="BC53" s="134">
        <f>'бюджет округа (района)'!AC53+'бюджеты поселений'!AC53</f>
        <v>0</v>
      </c>
      <c r="BD53" s="137">
        <f>'бюджет округа (района)'!AC53</f>
        <v>0</v>
      </c>
      <c r="BE53" s="134">
        <f>'бюджет округа (района)'!AD53+'бюджеты поселений'!AD53</f>
        <v>0</v>
      </c>
      <c r="BF53" s="137">
        <f>'бюджет округа (района)'!AD53</f>
        <v>0</v>
      </c>
      <c r="BG53" s="134">
        <f t="shared" si="302"/>
        <v>0</v>
      </c>
      <c r="BH53" s="134">
        <f t="shared" si="302"/>
        <v>0</v>
      </c>
      <c r="BI53" s="135">
        <f t="shared" si="272"/>
        <v>1</v>
      </c>
      <c r="BJ53" s="135">
        <f t="shared" si="272"/>
        <v>1</v>
      </c>
      <c r="BK53" s="134">
        <f>'бюджет округа (района)'!AG53+'бюджеты поселений'!AG53</f>
        <v>0</v>
      </c>
      <c r="BL53" s="137">
        <f>'бюджет округа (района)'!AG53</f>
        <v>0</v>
      </c>
      <c r="BM53" s="134">
        <f>BG53+BK53</f>
        <v>0</v>
      </c>
      <c r="BN53" s="134">
        <f>BH53+BL53</f>
        <v>0</v>
      </c>
      <c r="BO53" s="135">
        <f t="shared" si="273"/>
        <v>1</v>
      </c>
      <c r="BP53" s="135">
        <f t="shared" si="273"/>
        <v>1</v>
      </c>
      <c r="BQ53" s="134">
        <f>'бюджет округа (района)'!AJ53+'бюджеты поселений'!AJ53</f>
        <v>0</v>
      </c>
      <c r="BR53" s="137">
        <f>'бюджет округа (района)'!AJ53</f>
        <v>0</v>
      </c>
      <c r="BS53" s="134">
        <f>BM53+BQ53</f>
        <v>0</v>
      </c>
      <c r="BT53" s="134">
        <f>BN53+BR53</f>
        <v>0</v>
      </c>
      <c r="BU53" s="135">
        <f t="shared" si="274"/>
        <v>1</v>
      </c>
      <c r="BV53" s="135">
        <f t="shared" si="274"/>
        <v>1</v>
      </c>
      <c r="BW53" s="134">
        <f>'бюджет округа (района)'!AM53+'бюджеты поселений'!AM53</f>
        <v>0</v>
      </c>
      <c r="BX53" s="137">
        <f>'бюджет округа (района)'!AM53</f>
        <v>0</v>
      </c>
      <c r="BY53" s="134">
        <f>BS53+BW53</f>
        <v>0</v>
      </c>
      <c r="BZ53" s="134">
        <f>BT53+BX53</f>
        <v>0</v>
      </c>
      <c r="CA53" s="135">
        <f t="shared" si="275"/>
        <v>1</v>
      </c>
      <c r="CB53" s="135">
        <f t="shared" si="275"/>
        <v>1</v>
      </c>
      <c r="CC53" s="134">
        <f>'бюджет округа (района)'!AP53+'бюджеты поселений'!AP53</f>
        <v>0</v>
      </c>
      <c r="CD53" s="137">
        <f>'бюджет округа (района)'!AP53</f>
        <v>0</v>
      </c>
      <c r="CE53" s="134">
        <f>BY53+CC53</f>
        <v>0</v>
      </c>
      <c r="CF53" s="134">
        <f>BZ53+CD53</f>
        <v>0</v>
      </c>
      <c r="CG53" s="135">
        <f t="shared" si="276"/>
        <v>1</v>
      </c>
      <c r="CH53" s="135">
        <f t="shared" si="276"/>
        <v>1</v>
      </c>
      <c r="CI53" s="134">
        <f>'бюджет округа (района)'!AS53+'бюджеты поселений'!AS53</f>
        <v>0</v>
      </c>
      <c r="CJ53" s="137">
        <f>'бюджет округа (района)'!AS53</f>
        <v>0</v>
      </c>
      <c r="CK53" s="134">
        <f>CE53+CI53</f>
        <v>0</v>
      </c>
      <c r="CL53" s="134">
        <f>CF53+CJ53</f>
        <v>0</v>
      </c>
      <c r="CM53" s="135">
        <f t="shared" si="277"/>
        <v>1</v>
      </c>
      <c r="CN53" s="135">
        <f t="shared" si="277"/>
        <v>1</v>
      </c>
      <c r="CO53" s="134">
        <f>'бюджет округа (района)'!AV53+'бюджеты поселений'!AV53</f>
        <v>0</v>
      </c>
      <c r="CP53" s="137">
        <f>'бюджет округа (района)'!AV53</f>
        <v>0</v>
      </c>
      <c r="CQ53" s="134">
        <f>CK53+CO53</f>
        <v>0</v>
      </c>
      <c r="CR53" s="134">
        <f>CL53+CP53</f>
        <v>0</v>
      </c>
      <c r="CS53" s="135">
        <f t="shared" si="278"/>
        <v>1</v>
      </c>
      <c r="CT53" s="135">
        <f t="shared" si="278"/>
        <v>1</v>
      </c>
      <c r="CU53" s="134">
        <f>'бюджет округа (района)'!AY53+'бюджеты поселений'!AY53</f>
        <v>0</v>
      </c>
      <c r="CV53" s="137">
        <f>'бюджет округа (района)'!AY53</f>
        <v>0</v>
      </c>
      <c r="CW53" s="134">
        <f>CQ53+CU53</f>
        <v>0</v>
      </c>
      <c r="CX53" s="134">
        <f>CR53+CV53</f>
        <v>0</v>
      </c>
      <c r="CY53" s="135">
        <f t="shared" si="279"/>
        <v>1</v>
      </c>
      <c r="CZ53" s="135">
        <f t="shared" si="279"/>
        <v>1</v>
      </c>
      <c r="DA53" s="134">
        <f>'бюджет округа (района)'!BB53+'бюджеты поселений'!BB53</f>
        <v>0</v>
      </c>
      <c r="DB53" s="137">
        <f>'бюджет округа (района)'!BB53</f>
        <v>0</v>
      </c>
      <c r="DC53" s="134">
        <f>CW53+DA53</f>
        <v>0</v>
      </c>
      <c r="DD53" s="134">
        <f>CX53+DB53</f>
        <v>0</v>
      </c>
      <c r="DE53" s="135">
        <f t="shared" si="280"/>
        <v>1</v>
      </c>
      <c r="DF53" s="135">
        <f t="shared" si="280"/>
        <v>1</v>
      </c>
      <c r="DG53" s="134">
        <f>'бюджет округа (района)'!BE53+'бюджеты поселений'!BE53</f>
        <v>0</v>
      </c>
      <c r="DH53" s="137">
        <f>'бюджет округа (района)'!BE53</f>
        <v>0</v>
      </c>
      <c r="DI53" s="134">
        <f>DC53+DG53</f>
        <v>0</v>
      </c>
      <c r="DJ53" s="134">
        <f>DD53+DH53</f>
        <v>0</v>
      </c>
      <c r="DK53" s="135">
        <f t="shared" si="281"/>
        <v>1</v>
      </c>
      <c r="DL53" s="135">
        <f t="shared" si="281"/>
        <v>1</v>
      </c>
      <c r="DM53" s="134">
        <f>'бюджет округа (района)'!BH53+'бюджеты поселений'!BH53</f>
        <v>0</v>
      </c>
      <c r="DN53" s="137">
        <f>'бюджет округа (района)'!BH53</f>
        <v>0</v>
      </c>
      <c r="DO53" s="134">
        <f>'бюджет округа (района)'!BI53+'бюджеты поселений'!BI53</f>
        <v>0</v>
      </c>
      <c r="DP53" s="137">
        <f>'бюджет округа (района)'!BI53</f>
        <v>0</v>
      </c>
      <c r="DQ53" s="134">
        <f>'бюджет округа (района)'!BJ53+'бюджеты поселений'!BJ53</f>
        <v>0</v>
      </c>
      <c r="DR53" s="137">
        <f>'бюджет округа (района)'!BJ53</f>
        <v>0</v>
      </c>
      <c r="DS53" s="135">
        <f>IF($AY$53=0,1,DQ53/$AY$53-1)</f>
        <v>1</v>
      </c>
      <c r="DT53" s="135">
        <f>IF($AZ$53=0,1,DR53/$AZ$53-1)</f>
        <v>1</v>
      </c>
      <c r="DU53" s="135">
        <f t="shared" si="58"/>
        <v>1</v>
      </c>
      <c r="DV53" s="135">
        <f t="shared" si="59"/>
        <v>1</v>
      </c>
      <c r="DW53" s="167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65"/>
      <c r="IZ53" s="65"/>
      <c r="JA53" s="65"/>
      <c r="JB53" s="65"/>
      <c r="JC53" s="65"/>
      <c r="JD53" s="65"/>
      <c r="JE53" s="65"/>
      <c r="JF53" s="65"/>
      <c r="JG53" s="65"/>
      <c r="JH53" s="65"/>
    </row>
    <row r="54" spans="1:268" s="66" customFormat="1" ht="18" customHeight="1">
      <c r="A54" s="290" t="s">
        <v>107</v>
      </c>
      <c r="B54" s="291"/>
      <c r="C54" s="134">
        <f>'бюджет округа (района)'!C54+'бюджеты поселений'!C54</f>
        <v>0</v>
      </c>
      <c r="D54" s="137">
        <f>'бюджет округа (района)'!C54</f>
        <v>0</v>
      </c>
      <c r="E54" s="134">
        <f t="shared" si="336"/>
        <v>0</v>
      </c>
      <c r="F54" s="137">
        <f t="shared" si="336"/>
        <v>0</v>
      </c>
      <c r="G54" s="134">
        <f>'бюджет округа (района)'!E54+'бюджеты поселений'!E54</f>
        <v>0</v>
      </c>
      <c r="H54" s="137">
        <f>'бюджет округа (района)'!E54</f>
        <v>0</v>
      </c>
      <c r="I54" s="134">
        <f>'бюджет округа (района)'!F54+'бюджеты поселений'!F54</f>
        <v>0</v>
      </c>
      <c r="J54" s="137">
        <f>'бюджет округа (района)'!F54</f>
        <v>0</v>
      </c>
      <c r="K54" s="134">
        <f t="shared" si="301"/>
        <v>0</v>
      </c>
      <c r="L54" s="134">
        <f t="shared" si="301"/>
        <v>0</v>
      </c>
      <c r="M54" s="134">
        <f>'бюджет округа (района)'!H54+'бюджеты поселений'!H54</f>
        <v>0</v>
      </c>
      <c r="N54" s="137">
        <f>'бюджет округа (района)'!H54</f>
        <v>0</v>
      </c>
      <c r="O54" s="134"/>
      <c r="P54" s="134"/>
      <c r="Q54" s="134">
        <f>'бюджет округа (района)'!J54+'бюджеты поселений'!J54</f>
        <v>0</v>
      </c>
      <c r="R54" s="137">
        <f>'бюджет округа (района)'!J54</f>
        <v>0</v>
      </c>
      <c r="S54" s="134"/>
      <c r="T54" s="134"/>
      <c r="U54" s="134">
        <f>'бюджет округа (района)'!L54+'бюджеты поселений'!L54</f>
        <v>0</v>
      </c>
      <c r="V54" s="137">
        <f>'бюджет округа (района)'!L54</f>
        <v>0</v>
      </c>
      <c r="W54" s="134"/>
      <c r="X54" s="134"/>
      <c r="Y54" s="134">
        <f>'бюджет округа (района)'!N54+'бюджеты поселений'!N54</f>
        <v>0</v>
      </c>
      <c r="Z54" s="137">
        <f>'бюджет округа (района)'!N54</f>
        <v>0</v>
      </c>
      <c r="AA54" s="134"/>
      <c r="AB54" s="134"/>
      <c r="AC54" s="134">
        <f>'бюджет округа (района)'!P54+'бюджеты поселений'!P54</f>
        <v>0</v>
      </c>
      <c r="AD54" s="137">
        <f>'бюджет округа (района)'!P54</f>
        <v>0</v>
      </c>
      <c r="AE54" s="134"/>
      <c r="AF54" s="134"/>
      <c r="AG54" s="134">
        <f>'бюджет округа (района)'!R54+'бюджеты поселений'!R54</f>
        <v>0</v>
      </c>
      <c r="AH54" s="137">
        <f>'бюджет округа (района)'!R54</f>
        <v>0</v>
      </c>
      <c r="AI54" s="134"/>
      <c r="AJ54" s="134"/>
      <c r="AK54" s="134">
        <f>'бюджет округа (района)'!T54+'бюджеты поселений'!T54</f>
        <v>0</v>
      </c>
      <c r="AL54" s="137">
        <f>'бюджет округа (района)'!T54</f>
        <v>0</v>
      </c>
      <c r="AM54" s="134"/>
      <c r="AN54" s="134"/>
      <c r="AO54" s="134">
        <f>'бюджет округа (района)'!V54+'бюджеты поселений'!V54</f>
        <v>0</v>
      </c>
      <c r="AP54" s="137">
        <f>'бюджет округа (района)'!V54</f>
        <v>0</v>
      </c>
      <c r="AQ54" s="134"/>
      <c r="AR54" s="134"/>
      <c r="AS54" s="134">
        <f>'бюджет округа (района)'!X54+'бюджеты поселений'!X54</f>
        <v>0</v>
      </c>
      <c r="AT54" s="137">
        <f>'бюджет округа (района)'!X54</f>
        <v>0</v>
      </c>
      <c r="AU54" s="134"/>
      <c r="AV54" s="134"/>
      <c r="AW54" s="134">
        <f>'бюджет округа (района)'!Z54+'бюджеты поселений'!Z54</f>
        <v>0</v>
      </c>
      <c r="AX54" s="137">
        <f>'бюджет округа (района)'!Z54</f>
        <v>0</v>
      </c>
      <c r="AY54" s="134">
        <f>'бюджет округа (района)'!AA54+'бюджеты поселений'!AA54</f>
        <v>0</v>
      </c>
      <c r="AZ54" s="137">
        <f>'бюджет округа (района)'!AA54</f>
        <v>0</v>
      </c>
      <c r="BA54" s="135">
        <f t="shared" si="300"/>
        <v>1</v>
      </c>
      <c r="BB54" s="135">
        <f t="shared" si="300"/>
        <v>1</v>
      </c>
      <c r="BC54" s="134">
        <f>'бюджет округа (района)'!AC54+'бюджеты поселений'!AC54</f>
        <v>0</v>
      </c>
      <c r="BD54" s="137">
        <f>'бюджет округа (района)'!AC54</f>
        <v>0</v>
      </c>
      <c r="BE54" s="134">
        <f>'бюджет округа (района)'!AD54+'бюджеты поселений'!AD54</f>
        <v>0</v>
      </c>
      <c r="BF54" s="137">
        <f>'бюджет округа (района)'!AD54</f>
        <v>0</v>
      </c>
      <c r="BG54" s="134">
        <f t="shared" si="302"/>
        <v>0</v>
      </c>
      <c r="BH54" s="134">
        <f t="shared" si="302"/>
        <v>0</v>
      </c>
      <c r="BI54" s="135">
        <f t="shared" si="272"/>
        <v>1</v>
      </c>
      <c r="BJ54" s="135">
        <f t="shared" si="272"/>
        <v>1</v>
      </c>
      <c r="BK54" s="134">
        <f>'бюджет округа (района)'!AG54+'бюджеты поселений'!AG54</f>
        <v>0</v>
      </c>
      <c r="BL54" s="137">
        <f>'бюджет округа (района)'!AG54</f>
        <v>0</v>
      </c>
      <c r="BM54" s="134"/>
      <c r="BN54" s="134"/>
      <c r="BO54" s="135">
        <f t="shared" si="273"/>
        <v>1</v>
      </c>
      <c r="BP54" s="135">
        <f t="shared" si="273"/>
        <v>1</v>
      </c>
      <c r="BQ54" s="134">
        <f>'бюджет округа (района)'!AJ54+'бюджеты поселений'!AJ54</f>
        <v>0</v>
      </c>
      <c r="BR54" s="137">
        <f>'бюджет округа (района)'!AJ54</f>
        <v>0</v>
      </c>
      <c r="BS54" s="134"/>
      <c r="BT54" s="134"/>
      <c r="BU54" s="135">
        <f t="shared" si="274"/>
        <v>1</v>
      </c>
      <c r="BV54" s="135">
        <f t="shared" si="274"/>
        <v>1</v>
      </c>
      <c r="BW54" s="134">
        <f>'бюджет округа (района)'!AM54+'бюджеты поселений'!AM54</f>
        <v>0</v>
      </c>
      <c r="BX54" s="137">
        <f>'бюджет округа (района)'!AM54</f>
        <v>0</v>
      </c>
      <c r="BY54" s="134"/>
      <c r="BZ54" s="134"/>
      <c r="CA54" s="135">
        <f t="shared" si="275"/>
        <v>1</v>
      </c>
      <c r="CB54" s="135">
        <f t="shared" si="275"/>
        <v>1</v>
      </c>
      <c r="CC54" s="134">
        <f>'бюджет округа (района)'!AP54+'бюджеты поселений'!AP54</f>
        <v>0</v>
      </c>
      <c r="CD54" s="137">
        <f>'бюджет округа (района)'!AP54</f>
        <v>0</v>
      </c>
      <c r="CE54" s="134"/>
      <c r="CF54" s="134"/>
      <c r="CG54" s="135">
        <f t="shared" si="276"/>
        <v>1</v>
      </c>
      <c r="CH54" s="135">
        <f t="shared" si="276"/>
        <v>1</v>
      </c>
      <c r="CI54" s="134">
        <f>'бюджет округа (района)'!AS54+'бюджеты поселений'!AS54</f>
        <v>0</v>
      </c>
      <c r="CJ54" s="137">
        <f>'бюджет округа (района)'!AS54</f>
        <v>0</v>
      </c>
      <c r="CK54" s="134"/>
      <c r="CL54" s="134"/>
      <c r="CM54" s="135">
        <f t="shared" si="277"/>
        <v>1</v>
      </c>
      <c r="CN54" s="135">
        <f t="shared" si="277"/>
        <v>1</v>
      </c>
      <c r="CO54" s="134">
        <f>'бюджет округа (района)'!AV54+'бюджеты поселений'!AV54</f>
        <v>0</v>
      </c>
      <c r="CP54" s="137">
        <f>'бюджет округа (района)'!AV54</f>
        <v>0</v>
      </c>
      <c r="CQ54" s="134"/>
      <c r="CR54" s="134"/>
      <c r="CS54" s="135">
        <f t="shared" si="278"/>
        <v>1</v>
      </c>
      <c r="CT54" s="135">
        <f t="shared" si="278"/>
        <v>1</v>
      </c>
      <c r="CU54" s="134">
        <f>'бюджет округа (района)'!AY54+'бюджеты поселений'!AY54</f>
        <v>0</v>
      </c>
      <c r="CV54" s="137">
        <f>'бюджет округа (района)'!AY54</f>
        <v>0</v>
      </c>
      <c r="CW54" s="134"/>
      <c r="CX54" s="134"/>
      <c r="CY54" s="135">
        <f t="shared" si="279"/>
        <v>1</v>
      </c>
      <c r="CZ54" s="135">
        <f t="shared" si="279"/>
        <v>1</v>
      </c>
      <c r="DA54" s="134">
        <f>'бюджет округа (района)'!BB54+'бюджеты поселений'!BB54</f>
        <v>0</v>
      </c>
      <c r="DB54" s="137">
        <f>'бюджет округа (района)'!BB54</f>
        <v>0</v>
      </c>
      <c r="DC54" s="134"/>
      <c r="DD54" s="134"/>
      <c r="DE54" s="135">
        <f t="shared" si="280"/>
        <v>1</v>
      </c>
      <c r="DF54" s="135">
        <f t="shared" si="280"/>
        <v>1</v>
      </c>
      <c r="DG54" s="134">
        <f>'бюджет округа (района)'!BE54+'бюджеты поселений'!BE54</f>
        <v>0</v>
      </c>
      <c r="DH54" s="137">
        <f>'бюджет округа (района)'!BE54</f>
        <v>0</v>
      </c>
      <c r="DI54" s="134"/>
      <c r="DJ54" s="134"/>
      <c r="DK54" s="135">
        <f t="shared" si="281"/>
        <v>1</v>
      </c>
      <c r="DL54" s="135">
        <f t="shared" si="281"/>
        <v>1</v>
      </c>
      <c r="DM54" s="134">
        <f>'бюджет округа (района)'!BH54+'бюджеты поселений'!BH54</f>
        <v>0</v>
      </c>
      <c r="DN54" s="137">
        <f>'бюджет округа (района)'!BH54</f>
        <v>0</v>
      </c>
      <c r="DO54" s="134">
        <f>'бюджет округа (района)'!BI54+'бюджеты поселений'!BI54</f>
        <v>0</v>
      </c>
      <c r="DP54" s="137">
        <f>'бюджет округа (района)'!BI54</f>
        <v>0</v>
      </c>
      <c r="DQ54" s="134">
        <f>'бюджет округа (района)'!BJ54+'бюджеты поселений'!BJ54</f>
        <v>0</v>
      </c>
      <c r="DR54" s="137">
        <f>'бюджет округа (района)'!BJ54</f>
        <v>0</v>
      </c>
      <c r="DS54" s="135">
        <f>IF($AY$54=0,1,DQ54/$AY$54-1)</f>
        <v>1</v>
      </c>
      <c r="DT54" s="135">
        <f>IF($AZ$54=0,1,DR54/$AZ$54-1)</f>
        <v>1</v>
      </c>
      <c r="DU54" s="135">
        <f t="shared" si="58"/>
        <v>1</v>
      </c>
      <c r="DV54" s="135">
        <f t="shared" si="59"/>
        <v>1</v>
      </c>
      <c r="DW54" s="167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  <c r="IW54" s="65"/>
      <c r="IX54" s="65"/>
      <c r="IY54" s="65"/>
      <c r="IZ54" s="65"/>
      <c r="JA54" s="65"/>
      <c r="JB54" s="65"/>
      <c r="JC54" s="65"/>
      <c r="JD54" s="65"/>
      <c r="JE54" s="65"/>
      <c r="JF54" s="65"/>
      <c r="JG54" s="65"/>
      <c r="JH54" s="65"/>
    </row>
    <row r="55" spans="1:268" s="64" customFormat="1" ht="18" customHeight="1">
      <c r="A55" s="290" t="s">
        <v>131</v>
      </c>
      <c r="B55" s="291"/>
      <c r="C55" s="134">
        <f>'бюджет округа (района)'!C55+'бюджеты поселений'!C55</f>
        <v>0</v>
      </c>
      <c r="D55" s="137">
        <f>'бюджет округа (района)'!C55</f>
        <v>0</v>
      </c>
      <c r="E55" s="134">
        <f t="shared" si="336"/>
        <v>0</v>
      </c>
      <c r="F55" s="137">
        <f t="shared" si="336"/>
        <v>0</v>
      </c>
      <c r="G55" s="134">
        <f>'бюджет округа (района)'!E55+'бюджеты поселений'!E55</f>
        <v>0</v>
      </c>
      <c r="H55" s="137">
        <f>'бюджет округа (района)'!E55</f>
        <v>0</v>
      </c>
      <c r="I55" s="134">
        <f>'бюджет округа (района)'!F55+'бюджеты поселений'!F55</f>
        <v>0</v>
      </c>
      <c r="J55" s="137">
        <f>'бюджет округа (района)'!F55</f>
        <v>0</v>
      </c>
      <c r="K55" s="134">
        <f t="shared" si="301"/>
        <v>0</v>
      </c>
      <c r="L55" s="134">
        <f t="shared" si="301"/>
        <v>0</v>
      </c>
      <c r="M55" s="134">
        <f>'бюджет округа (района)'!H55+'бюджеты поселений'!H55</f>
        <v>0</v>
      </c>
      <c r="N55" s="137">
        <f>'бюджет округа (района)'!H55</f>
        <v>0</v>
      </c>
      <c r="O55" s="134">
        <f t="shared" ref="O55:P56" si="337">K55+M55</f>
        <v>0</v>
      </c>
      <c r="P55" s="134">
        <f t="shared" si="337"/>
        <v>0</v>
      </c>
      <c r="Q55" s="134">
        <f>'бюджет округа (района)'!J55+'бюджеты поселений'!J55</f>
        <v>0</v>
      </c>
      <c r="R55" s="137">
        <f>'бюджет округа (района)'!J55</f>
        <v>0</v>
      </c>
      <c r="S55" s="134">
        <f t="shared" ref="S55:T56" si="338">O55+Q55</f>
        <v>0</v>
      </c>
      <c r="T55" s="134">
        <f t="shared" si="338"/>
        <v>0</v>
      </c>
      <c r="U55" s="134">
        <f>'бюджет округа (района)'!L55+'бюджеты поселений'!L55</f>
        <v>0</v>
      </c>
      <c r="V55" s="137">
        <f>'бюджет округа (района)'!L55</f>
        <v>0</v>
      </c>
      <c r="W55" s="134">
        <f t="shared" ref="W55:X56" si="339">S55+U55</f>
        <v>0</v>
      </c>
      <c r="X55" s="134">
        <f t="shared" si="339"/>
        <v>0</v>
      </c>
      <c r="Y55" s="134">
        <f>'бюджет округа (района)'!N55+'бюджеты поселений'!N55</f>
        <v>0</v>
      </c>
      <c r="Z55" s="137">
        <f>'бюджет округа (района)'!N55</f>
        <v>0</v>
      </c>
      <c r="AA55" s="134">
        <f t="shared" ref="AA55:AB56" si="340">W55+Y55</f>
        <v>0</v>
      </c>
      <c r="AB55" s="134">
        <f t="shared" si="340"/>
        <v>0</v>
      </c>
      <c r="AC55" s="134">
        <f>'бюджет округа (района)'!P55+'бюджеты поселений'!P55</f>
        <v>0</v>
      </c>
      <c r="AD55" s="137">
        <f>'бюджет округа (района)'!P55</f>
        <v>0</v>
      </c>
      <c r="AE55" s="134">
        <f t="shared" ref="AE55:AF56" si="341">AA55+AC55</f>
        <v>0</v>
      </c>
      <c r="AF55" s="134">
        <f t="shared" si="341"/>
        <v>0</v>
      </c>
      <c r="AG55" s="134">
        <f>'бюджет округа (района)'!R55+'бюджеты поселений'!R55</f>
        <v>0</v>
      </c>
      <c r="AH55" s="137">
        <f>'бюджет округа (района)'!R55</f>
        <v>0</v>
      </c>
      <c r="AI55" s="134">
        <f t="shared" ref="AI55:AJ56" si="342">AE55+AG55</f>
        <v>0</v>
      </c>
      <c r="AJ55" s="134">
        <f t="shared" si="342"/>
        <v>0</v>
      </c>
      <c r="AK55" s="134">
        <f>'бюджет округа (района)'!T55+'бюджеты поселений'!T55</f>
        <v>0</v>
      </c>
      <c r="AL55" s="137">
        <f>'бюджет округа (района)'!T55</f>
        <v>0</v>
      </c>
      <c r="AM55" s="134">
        <f t="shared" ref="AM55:AN56" si="343">AI55+AK55</f>
        <v>0</v>
      </c>
      <c r="AN55" s="134">
        <f t="shared" si="343"/>
        <v>0</v>
      </c>
      <c r="AO55" s="134">
        <f>'бюджет округа (района)'!V55+'бюджеты поселений'!V55</f>
        <v>0</v>
      </c>
      <c r="AP55" s="137">
        <f>'бюджет округа (района)'!V55</f>
        <v>0</v>
      </c>
      <c r="AQ55" s="134">
        <f t="shared" ref="AQ55:AR56" si="344">AM55+AO55</f>
        <v>0</v>
      </c>
      <c r="AR55" s="134">
        <f t="shared" si="344"/>
        <v>0</v>
      </c>
      <c r="AS55" s="134">
        <f>'бюджет округа (района)'!X55+'бюджеты поселений'!X55</f>
        <v>0</v>
      </c>
      <c r="AT55" s="137">
        <f>'бюджет округа (района)'!X55</f>
        <v>0</v>
      </c>
      <c r="AU55" s="134">
        <f t="shared" ref="AU55:AV56" si="345">AQ55+AS55</f>
        <v>0</v>
      </c>
      <c r="AV55" s="134">
        <f t="shared" si="345"/>
        <v>0</v>
      </c>
      <c r="AW55" s="134">
        <f>'бюджет округа (района)'!Z55+'бюджеты поселений'!Z55</f>
        <v>0</v>
      </c>
      <c r="AX55" s="137">
        <f>'бюджет округа (района)'!Z55</f>
        <v>0</v>
      </c>
      <c r="AY55" s="134">
        <f>'бюджет округа (района)'!AA55+'бюджеты поселений'!AA55</f>
        <v>0</v>
      </c>
      <c r="AZ55" s="137">
        <f>'бюджет округа (района)'!AA55</f>
        <v>0</v>
      </c>
      <c r="BA55" s="135">
        <f t="shared" si="300"/>
        <v>1</v>
      </c>
      <c r="BB55" s="135">
        <f t="shared" si="300"/>
        <v>1</v>
      </c>
      <c r="BC55" s="134">
        <f>'бюджет округа (района)'!AC55+'бюджеты поселений'!AC55</f>
        <v>0</v>
      </c>
      <c r="BD55" s="137">
        <f>'бюджет округа (района)'!AC55</f>
        <v>0</v>
      </c>
      <c r="BE55" s="134">
        <f>'бюджет округа (района)'!AD55+'бюджеты поселений'!AD55</f>
        <v>0</v>
      </c>
      <c r="BF55" s="137">
        <f>'бюджет округа (района)'!AD55</f>
        <v>0</v>
      </c>
      <c r="BG55" s="134">
        <f t="shared" si="302"/>
        <v>0</v>
      </c>
      <c r="BH55" s="134">
        <f t="shared" si="302"/>
        <v>0</v>
      </c>
      <c r="BI55" s="135">
        <f t="shared" si="272"/>
        <v>1</v>
      </c>
      <c r="BJ55" s="135">
        <f t="shared" si="272"/>
        <v>1</v>
      </c>
      <c r="BK55" s="134">
        <f>'бюджет округа (района)'!AG55+'бюджеты поселений'!AG55</f>
        <v>0</v>
      </c>
      <c r="BL55" s="137">
        <f>'бюджет округа (района)'!AG55</f>
        <v>0</v>
      </c>
      <c r="BM55" s="134">
        <f t="shared" ref="BM55:BN56" si="346">BG55+BK55</f>
        <v>0</v>
      </c>
      <c r="BN55" s="134">
        <f t="shared" si="346"/>
        <v>0</v>
      </c>
      <c r="BO55" s="135">
        <f t="shared" si="273"/>
        <v>1</v>
      </c>
      <c r="BP55" s="135">
        <f t="shared" si="273"/>
        <v>1</v>
      </c>
      <c r="BQ55" s="134">
        <f>'бюджет округа (района)'!AJ55+'бюджеты поселений'!AJ55</f>
        <v>0</v>
      </c>
      <c r="BR55" s="137">
        <f>'бюджет округа (района)'!AJ55</f>
        <v>0</v>
      </c>
      <c r="BS55" s="134">
        <f t="shared" ref="BS55:BT56" si="347">BM55+BQ55</f>
        <v>0</v>
      </c>
      <c r="BT55" s="134">
        <f t="shared" si="347"/>
        <v>0</v>
      </c>
      <c r="BU55" s="135">
        <f t="shared" si="274"/>
        <v>1</v>
      </c>
      <c r="BV55" s="135">
        <f t="shared" si="274"/>
        <v>1</v>
      </c>
      <c r="BW55" s="134">
        <f>'бюджет округа (района)'!AM55+'бюджеты поселений'!AM55</f>
        <v>0</v>
      </c>
      <c r="BX55" s="137">
        <f>'бюджет округа (района)'!AM55</f>
        <v>0</v>
      </c>
      <c r="BY55" s="134">
        <f t="shared" ref="BY55:BZ56" si="348">BS55+BW55</f>
        <v>0</v>
      </c>
      <c r="BZ55" s="134">
        <f t="shared" si="348"/>
        <v>0</v>
      </c>
      <c r="CA55" s="135">
        <f t="shared" si="275"/>
        <v>1</v>
      </c>
      <c r="CB55" s="135">
        <f t="shared" si="275"/>
        <v>1</v>
      </c>
      <c r="CC55" s="134">
        <f>'бюджет округа (района)'!AP55+'бюджеты поселений'!AP55</f>
        <v>0</v>
      </c>
      <c r="CD55" s="137">
        <f>'бюджет округа (района)'!AP55</f>
        <v>0</v>
      </c>
      <c r="CE55" s="134">
        <f t="shared" ref="CE55:CF56" si="349">BY55+CC55</f>
        <v>0</v>
      </c>
      <c r="CF55" s="134">
        <f t="shared" si="349"/>
        <v>0</v>
      </c>
      <c r="CG55" s="135">
        <f t="shared" si="276"/>
        <v>1</v>
      </c>
      <c r="CH55" s="135">
        <f t="shared" si="276"/>
        <v>1</v>
      </c>
      <c r="CI55" s="134">
        <f>'бюджет округа (района)'!AS55+'бюджеты поселений'!AS55</f>
        <v>0</v>
      </c>
      <c r="CJ55" s="137">
        <f>'бюджет округа (района)'!AS55</f>
        <v>0</v>
      </c>
      <c r="CK55" s="134">
        <f t="shared" ref="CK55:CL56" si="350">CE55+CI55</f>
        <v>0</v>
      </c>
      <c r="CL55" s="134">
        <f t="shared" si="350"/>
        <v>0</v>
      </c>
      <c r="CM55" s="135">
        <f t="shared" si="277"/>
        <v>1</v>
      </c>
      <c r="CN55" s="135">
        <f t="shared" si="277"/>
        <v>1</v>
      </c>
      <c r="CO55" s="134">
        <f>'бюджет округа (района)'!AV55+'бюджеты поселений'!AV55</f>
        <v>0</v>
      </c>
      <c r="CP55" s="137">
        <f>'бюджет округа (района)'!AV55</f>
        <v>0</v>
      </c>
      <c r="CQ55" s="134">
        <f t="shared" ref="CQ55:CR56" si="351">CK55+CO55</f>
        <v>0</v>
      </c>
      <c r="CR55" s="134">
        <f t="shared" si="351"/>
        <v>0</v>
      </c>
      <c r="CS55" s="135">
        <f t="shared" si="278"/>
        <v>1</v>
      </c>
      <c r="CT55" s="135">
        <f t="shared" si="278"/>
        <v>1</v>
      </c>
      <c r="CU55" s="134">
        <f>'бюджет округа (района)'!AY55+'бюджеты поселений'!AY55</f>
        <v>0</v>
      </c>
      <c r="CV55" s="137">
        <f>'бюджет округа (района)'!AY55</f>
        <v>0</v>
      </c>
      <c r="CW55" s="134">
        <f t="shared" ref="CW55:CX56" si="352">CQ55+CU55</f>
        <v>0</v>
      </c>
      <c r="CX55" s="134">
        <f t="shared" si="352"/>
        <v>0</v>
      </c>
      <c r="CY55" s="135">
        <f t="shared" si="279"/>
        <v>1</v>
      </c>
      <c r="CZ55" s="135">
        <f t="shared" si="279"/>
        <v>1</v>
      </c>
      <c r="DA55" s="134">
        <f>'бюджет округа (района)'!BB55+'бюджеты поселений'!BB55</f>
        <v>0</v>
      </c>
      <c r="DB55" s="137">
        <f>'бюджет округа (района)'!BB55</f>
        <v>0</v>
      </c>
      <c r="DC55" s="134">
        <f t="shared" ref="DC55:DD56" si="353">CW55+DA55</f>
        <v>0</v>
      </c>
      <c r="DD55" s="134">
        <f t="shared" si="353"/>
        <v>0</v>
      </c>
      <c r="DE55" s="135">
        <f t="shared" si="280"/>
        <v>1</v>
      </c>
      <c r="DF55" s="135">
        <f t="shared" si="280"/>
        <v>1</v>
      </c>
      <c r="DG55" s="134">
        <f>'бюджет округа (района)'!BE55+'бюджеты поселений'!BE55</f>
        <v>0</v>
      </c>
      <c r="DH55" s="137">
        <f>'бюджет округа (района)'!BE55</f>
        <v>0</v>
      </c>
      <c r="DI55" s="134">
        <f t="shared" ref="DI55:DJ56" si="354">DC55+DG55</f>
        <v>0</v>
      </c>
      <c r="DJ55" s="134">
        <f t="shared" si="354"/>
        <v>0</v>
      </c>
      <c r="DK55" s="135">
        <f t="shared" si="281"/>
        <v>1</v>
      </c>
      <c r="DL55" s="135">
        <f t="shared" si="281"/>
        <v>1</v>
      </c>
      <c r="DM55" s="134">
        <f>'бюджет округа (района)'!BH55+'бюджеты поселений'!BH55</f>
        <v>0</v>
      </c>
      <c r="DN55" s="137">
        <f>'бюджет округа (района)'!BH55</f>
        <v>0</v>
      </c>
      <c r="DO55" s="134">
        <f>'бюджет округа (района)'!BI55+'бюджеты поселений'!BI55</f>
        <v>0</v>
      </c>
      <c r="DP55" s="137">
        <f>'бюджет округа (района)'!BI55</f>
        <v>0</v>
      </c>
      <c r="DQ55" s="134">
        <f>'бюджет округа (района)'!BJ55+'бюджеты поселений'!BJ55</f>
        <v>0</v>
      </c>
      <c r="DR55" s="137">
        <f>'бюджет округа (района)'!BJ55</f>
        <v>0</v>
      </c>
      <c r="DS55" s="135">
        <f>IF($AY$55=0,1,DQ55/$AY$55-1)</f>
        <v>1</v>
      </c>
      <c r="DT55" s="135">
        <f>IF($AZ$55=0,1,DR55/$AZ$55-1)</f>
        <v>1</v>
      </c>
      <c r="DU55" s="135">
        <f t="shared" si="58"/>
        <v>1</v>
      </c>
      <c r="DV55" s="135">
        <f t="shared" si="59"/>
        <v>1</v>
      </c>
      <c r="DW55" s="167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</row>
    <row r="56" spans="1:268" s="64" customFormat="1" ht="18" customHeight="1">
      <c r="A56" s="290" t="s">
        <v>109</v>
      </c>
      <c r="B56" s="291"/>
      <c r="C56" s="134">
        <f>'бюджет округа (района)'!C56+'бюджеты поселений'!C56</f>
        <v>0</v>
      </c>
      <c r="D56" s="137">
        <f>'бюджет округа (района)'!C56</f>
        <v>0</v>
      </c>
      <c r="E56" s="134">
        <f t="shared" si="336"/>
        <v>0</v>
      </c>
      <c r="F56" s="137">
        <f t="shared" si="336"/>
        <v>0</v>
      </c>
      <c r="G56" s="134">
        <f>'бюджет округа (района)'!E56+'бюджеты поселений'!E56</f>
        <v>0</v>
      </c>
      <c r="H56" s="137">
        <f>'бюджет округа (района)'!E56</f>
        <v>0</v>
      </c>
      <c r="I56" s="134">
        <f>'бюджет округа (района)'!F56+'бюджеты поселений'!F56</f>
        <v>0</v>
      </c>
      <c r="J56" s="137">
        <f>'бюджет округа (района)'!F56</f>
        <v>0</v>
      </c>
      <c r="K56" s="134">
        <f t="shared" si="301"/>
        <v>0</v>
      </c>
      <c r="L56" s="134">
        <f t="shared" si="301"/>
        <v>0</v>
      </c>
      <c r="M56" s="134">
        <f>'бюджет округа (района)'!H56+'бюджеты поселений'!H56</f>
        <v>0</v>
      </c>
      <c r="N56" s="137">
        <f>'бюджет округа (района)'!H56</f>
        <v>0</v>
      </c>
      <c r="O56" s="134">
        <f t="shared" si="337"/>
        <v>0</v>
      </c>
      <c r="P56" s="134">
        <f t="shared" si="337"/>
        <v>0</v>
      </c>
      <c r="Q56" s="134">
        <f>'бюджет округа (района)'!J56+'бюджеты поселений'!J56</f>
        <v>0</v>
      </c>
      <c r="R56" s="137">
        <f>'бюджет округа (района)'!J56</f>
        <v>0</v>
      </c>
      <c r="S56" s="134">
        <f t="shared" si="338"/>
        <v>0</v>
      </c>
      <c r="T56" s="134">
        <f t="shared" si="338"/>
        <v>0</v>
      </c>
      <c r="U56" s="134">
        <f>'бюджет округа (района)'!L56+'бюджеты поселений'!L56</f>
        <v>0</v>
      </c>
      <c r="V56" s="137">
        <f>'бюджет округа (района)'!L56</f>
        <v>0</v>
      </c>
      <c r="W56" s="134">
        <f t="shared" si="339"/>
        <v>0</v>
      </c>
      <c r="X56" s="134">
        <f t="shared" si="339"/>
        <v>0</v>
      </c>
      <c r="Y56" s="134">
        <f>'бюджет округа (района)'!N56+'бюджеты поселений'!N56</f>
        <v>0</v>
      </c>
      <c r="Z56" s="137">
        <f>'бюджет округа (района)'!N56</f>
        <v>0</v>
      </c>
      <c r="AA56" s="134">
        <f t="shared" si="340"/>
        <v>0</v>
      </c>
      <c r="AB56" s="134">
        <f t="shared" si="340"/>
        <v>0</v>
      </c>
      <c r="AC56" s="134">
        <f>'бюджет округа (района)'!P56+'бюджеты поселений'!P56</f>
        <v>0</v>
      </c>
      <c r="AD56" s="137">
        <f>'бюджет округа (района)'!P56</f>
        <v>0</v>
      </c>
      <c r="AE56" s="134">
        <f t="shared" si="341"/>
        <v>0</v>
      </c>
      <c r="AF56" s="134">
        <f t="shared" si="341"/>
        <v>0</v>
      </c>
      <c r="AG56" s="134">
        <f>'бюджет округа (района)'!R56+'бюджеты поселений'!R56</f>
        <v>0</v>
      </c>
      <c r="AH56" s="137">
        <f>'бюджет округа (района)'!R56</f>
        <v>0</v>
      </c>
      <c r="AI56" s="134">
        <f t="shared" si="342"/>
        <v>0</v>
      </c>
      <c r="AJ56" s="134">
        <f t="shared" si="342"/>
        <v>0</v>
      </c>
      <c r="AK56" s="134">
        <f>'бюджет округа (района)'!T56+'бюджеты поселений'!T56</f>
        <v>0</v>
      </c>
      <c r="AL56" s="137">
        <f>'бюджет округа (района)'!T56</f>
        <v>0</v>
      </c>
      <c r="AM56" s="134">
        <f t="shared" si="343"/>
        <v>0</v>
      </c>
      <c r="AN56" s="134">
        <f t="shared" si="343"/>
        <v>0</v>
      </c>
      <c r="AO56" s="134">
        <f>'бюджет округа (района)'!V56+'бюджеты поселений'!V56</f>
        <v>0</v>
      </c>
      <c r="AP56" s="137">
        <f>'бюджет округа (района)'!V56</f>
        <v>0</v>
      </c>
      <c r="AQ56" s="134">
        <f t="shared" si="344"/>
        <v>0</v>
      </c>
      <c r="AR56" s="134">
        <f t="shared" si="344"/>
        <v>0</v>
      </c>
      <c r="AS56" s="134">
        <f>'бюджет округа (района)'!X56+'бюджеты поселений'!X56</f>
        <v>0</v>
      </c>
      <c r="AT56" s="137">
        <f>'бюджет округа (района)'!X56</f>
        <v>0</v>
      </c>
      <c r="AU56" s="134">
        <f t="shared" si="345"/>
        <v>0</v>
      </c>
      <c r="AV56" s="134">
        <f t="shared" si="345"/>
        <v>0</v>
      </c>
      <c r="AW56" s="134">
        <f>'бюджет округа (района)'!Z56+'бюджеты поселений'!Z56</f>
        <v>0</v>
      </c>
      <c r="AX56" s="137">
        <f>'бюджет округа (района)'!Z56</f>
        <v>0</v>
      </c>
      <c r="AY56" s="134">
        <f>'бюджет округа (района)'!AA56+'бюджеты поселений'!AA56</f>
        <v>0</v>
      </c>
      <c r="AZ56" s="137">
        <f>'бюджет округа (района)'!AA56</f>
        <v>0</v>
      </c>
      <c r="BA56" s="135">
        <f t="shared" si="300"/>
        <v>1</v>
      </c>
      <c r="BB56" s="135">
        <f t="shared" si="300"/>
        <v>1</v>
      </c>
      <c r="BC56" s="134">
        <f>'бюджет округа (района)'!AC56+'бюджеты поселений'!AC56</f>
        <v>0</v>
      </c>
      <c r="BD56" s="137">
        <f>'бюджет округа (района)'!AC56</f>
        <v>0</v>
      </c>
      <c r="BE56" s="134">
        <f>'бюджет округа (района)'!AD56+'бюджеты поселений'!AD56</f>
        <v>0</v>
      </c>
      <c r="BF56" s="137">
        <f>'бюджет округа (района)'!AD56</f>
        <v>0</v>
      </c>
      <c r="BG56" s="134">
        <f t="shared" si="302"/>
        <v>0</v>
      </c>
      <c r="BH56" s="134">
        <f t="shared" si="302"/>
        <v>0</v>
      </c>
      <c r="BI56" s="135">
        <f t="shared" si="272"/>
        <v>1</v>
      </c>
      <c r="BJ56" s="135">
        <f t="shared" si="272"/>
        <v>1</v>
      </c>
      <c r="BK56" s="134">
        <f>'бюджет округа (района)'!AG56+'бюджеты поселений'!AG56</f>
        <v>0</v>
      </c>
      <c r="BL56" s="137">
        <f>'бюджет округа (района)'!AG56</f>
        <v>0</v>
      </c>
      <c r="BM56" s="134">
        <f t="shared" si="346"/>
        <v>0</v>
      </c>
      <c r="BN56" s="134">
        <f t="shared" si="346"/>
        <v>0</v>
      </c>
      <c r="BO56" s="135">
        <f t="shared" si="273"/>
        <v>1</v>
      </c>
      <c r="BP56" s="135">
        <f t="shared" si="273"/>
        <v>1</v>
      </c>
      <c r="BQ56" s="134">
        <f>'бюджет округа (района)'!AJ56+'бюджеты поселений'!AJ56</f>
        <v>0</v>
      </c>
      <c r="BR56" s="137">
        <f>'бюджет округа (района)'!AJ56</f>
        <v>0</v>
      </c>
      <c r="BS56" s="134">
        <f t="shared" si="347"/>
        <v>0</v>
      </c>
      <c r="BT56" s="134">
        <f t="shared" si="347"/>
        <v>0</v>
      </c>
      <c r="BU56" s="135">
        <f t="shared" si="274"/>
        <v>1</v>
      </c>
      <c r="BV56" s="135">
        <f t="shared" si="274"/>
        <v>1</v>
      </c>
      <c r="BW56" s="134">
        <f>'бюджет округа (района)'!AM56+'бюджеты поселений'!AM56</f>
        <v>0</v>
      </c>
      <c r="BX56" s="137">
        <f>'бюджет округа (района)'!AM56</f>
        <v>0</v>
      </c>
      <c r="BY56" s="134">
        <f t="shared" si="348"/>
        <v>0</v>
      </c>
      <c r="BZ56" s="134">
        <f t="shared" si="348"/>
        <v>0</v>
      </c>
      <c r="CA56" s="135">
        <f t="shared" si="275"/>
        <v>1</v>
      </c>
      <c r="CB56" s="135">
        <f t="shared" si="275"/>
        <v>1</v>
      </c>
      <c r="CC56" s="134">
        <f>'бюджет округа (района)'!AP56+'бюджеты поселений'!AP56</f>
        <v>0</v>
      </c>
      <c r="CD56" s="137">
        <f>'бюджет округа (района)'!AP56</f>
        <v>0</v>
      </c>
      <c r="CE56" s="134">
        <f t="shared" si="349"/>
        <v>0</v>
      </c>
      <c r="CF56" s="134">
        <f t="shared" si="349"/>
        <v>0</v>
      </c>
      <c r="CG56" s="135">
        <f t="shared" si="276"/>
        <v>1</v>
      </c>
      <c r="CH56" s="135">
        <f t="shared" si="276"/>
        <v>1</v>
      </c>
      <c r="CI56" s="134">
        <f>'бюджет округа (района)'!AS56+'бюджеты поселений'!AS56</f>
        <v>0</v>
      </c>
      <c r="CJ56" s="137">
        <f>'бюджет округа (района)'!AS56</f>
        <v>0</v>
      </c>
      <c r="CK56" s="134">
        <f t="shared" si="350"/>
        <v>0</v>
      </c>
      <c r="CL56" s="134">
        <f t="shared" si="350"/>
        <v>0</v>
      </c>
      <c r="CM56" s="135">
        <f t="shared" si="277"/>
        <v>1</v>
      </c>
      <c r="CN56" s="135">
        <f t="shared" si="277"/>
        <v>1</v>
      </c>
      <c r="CO56" s="134">
        <f>'бюджет округа (района)'!AV56+'бюджеты поселений'!AV56</f>
        <v>0</v>
      </c>
      <c r="CP56" s="137">
        <f>'бюджет округа (района)'!AV56</f>
        <v>0</v>
      </c>
      <c r="CQ56" s="134">
        <f t="shared" si="351"/>
        <v>0</v>
      </c>
      <c r="CR56" s="134">
        <f t="shared" si="351"/>
        <v>0</v>
      </c>
      <c r="CS56" s="135">
        <f t="shared" si="278"/>
        <v>1</v>
      </c>
      <c r="CT56" s="135">
        <f t="shared" si="278"/>
        <v>1</v>
      </c>
      <c r="CU56" s="134">
        <f>'бюджет округа (района)'!AY56+'бюджеты поселений'!AY56</f>
        <v>0</v>
      </c>
      <c r="CV56" s="137">
        <f>'бюджет округа (района)'!AY56</f>
        <v>0</v>
      </c>
      <c r="CW56" s="134">
        <f t="shared" si="352"/>
        <v>0</v>
      </c>
      <c r="CX56" s="134">
        <f t="shared" si="352"/>
        <v>0</v>
      </c>
      <c r="CY56" s="135">
        <f t="shared" si="279"/>
        <v>1</v>
      </c>
      <c r="CZ56" s="135">
        <f t="shared" si="279"/>
        <v>1</v>
      </c>
      <c r="DA56" s="134">
        <f>'бюджет округа (района)'!BB56+'бюджеты поселений'!BB56</f>
        <v>0</v>
      </c>
      <c r="DB56" s="137">
        <f>'бюджет округа (района)'!BB56</f>
        <v>0</v>
      </c>
      <c r="DC56" s="134">
        <f t="shared" si="353"/>
        <v>0</v>
      </c>
      <c r="DD56" s="134">
        <f t="shared" si="353"/>
        <v>0</v>
      </c>
      <c r="DE56" s="135">
        <f t="shared" si="280"/>
        <v>1</v>
      </c>
      <c r="DF56" s="135">
        <f t="shared" si="280"/>
        <v>1</v>
      </c>
      <c r="DG56" s="134">
        <f>'бюджет округа (района)'!BE56+'бюджеты поселений'!BE56</f>
        <v>0</v>
      </c>
      <c r="DH56" s="137">
        <f>'бюджет округа (района)'!BE56</f>
        <v>0</v>
      </c>
      <c r="DI56" s="134">
        <f t="shared" si="354"/>
        <v>0</v>
      </c>
      <c r="DJ56" s="134">
        <f t="shared" si="354"/>
        <v>0</v>
      </c>
      <c r="DK56" s="135">
        <f t="shared" si="281"/>
        <v>1</v>
      </c>
      <c r="DL56" s="135">
        <f t="shared" si="281"/>
        <v>1</v>
      </c>
      <c r="DM56" s="134">
        <f>'бюджет округа (района)'!BH56+'бюджеты поселений'!BH56</f>
        <v>0</v>
      </c>
      <c r="DN56" s="137">
        <f>'бюджет округа (района)'!BH56</f>
        <v>0</v>
      </c>
      <c r="DO56" s="134">
        <f>'бюджет округа (района)'!BI56+'бюджеты поселений'!BI56</f>
        <v>0</v>
      </c>
      <c r="DP56" s="137">
        <f>'бюджет округа (района)'!BI56</f>
        <v>0</v>
      </c>
      <c r="DQ56" s="134">
        <f>'бюджет округа (района)'!BJ56+'бюджеты поселений'!BJ56</f>
        <v>0</v>
      </c>
      <c r="DR56" s="137">
        <f>'бюджет округа (района)'!BJ56</f>
        <v>0</v>
      </c>
      <c r="DS56" s="135">
        <f>IF($AY$56=0,1,DQ56/$AY$56-1)</f>
        <v>1</v>
      </c>
      <c r="DT56" s="135">
        <f>IF($AZ$56=0,1,DR56/$AZ$56-1)</f>
        <v>1</v>
      </c>
      <c r="DU56" s="135">
        <f t="shared" si="58"/>
        <v>1</v>
      </c>
      <c r="DV56" s="135">
        <f t="shared" si="59"/>
        <v>1</v>
      </c>
      <c r="DW56" s="167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</row>
    <row r="57" spans="1:268" s="64" customFormat="1" ht="18" customHeight="1">
      <c r="A57" s="290" t="s">
        <v>119</v>
      </c>
      <c r="B57" s="291"/>
      <c r="C57" s="134">
        <f>'бюджет округа (района)'!C57+'бюджеты поселений'!C57</f>
        <v>0</v>
      </c>
      <c r="D57" s="137">
        <f>'бюджет округа (района)'!C57</f>
        <v>0</v>
      </c>
      <c r="E57" s="134">
        <f t="shared" si="336"/>
        <v>0</v>
      </c>
      <c r="F57" s="137">
        <f t="shared" si="336"/>
        <v>0</v>
      </c>
      <c r="G57" s="134">
        <f>'бюджет округа (района)'!E57+'бюджеты поселений'!E57</f>
        <v>0</v>
      </c>
      <c r="H57" s="137">
        <f>'бюджет округа (района)'!E57</f>
        <v>0</v>
      </c>
      <c r="I57" s="134">
        <f>'бюджет округа (района)'!F57+'бюджеты поселений'!F57</f>
        <v>0</v>
      </c>
      <c r="J57" s="137">
        <f>'бюджет округа (района)'!F57</f>
        <v>0</v>
      </c>
      <c r="K57" s="134">
        <f t="shared" si="301"/>
        <v>0</v>
      </c>
      <c r="L57" s="134">
        <f t="shared" si="301"/>
        <v>0</v>
      </c>
      <c r="M57" s="134">
        <f>'бюджет округа (района)'!H57+'бюджеты поселений'!H57</f>
        <v>0</v>
      </c>
      <c r="N57" s="137">
        <f>'бюджет округа (района)'!H57</f>
        <v>0</v>
      </c>
      <c r="O57" s="134"/>
      <c r="P57" s="134"/>
      <c r="Q57" s="134">
        <f>'бюджет округа (района)'!J57+'бюджеты поселений'!J57</f>
        <v>0</v>
      </c>
      <c r="R57" s="137">
        <f>'бюджет округа (района)'!J57</f>
        <v>0</v>
      </c>
      <c r="S57" s="134"/>
      <c r="T57" s="134"/>
      <c r="U57" s="134">
        <f>'бюджет округа (района)'!L57+'бюджеты поселений'!L57</f>
        <v>0</v>
      </c>
      <c r="V57" s="137">
        <f>'бюджет округа (района)'!L57</f>
        <v>0</v>
      </c>
      <c r="W57" s="134"/>
      <c r="X57" s="134"/>
      <c r="Y57" s="134">
        <f>'бюджет округа (района)'!N57+'бюджеты поселений'!N57</f>
        <v>0</v>
      </c>
      <c r="Z57" s="137">
        <f>'бюджет округа (района)'!N57</f>
        <v>0</v>
      </c>
      <c r="AA57" s="134"/>
      <c r="AB57" s="134"/>
      <c r="AC57" s="134">
        <f>'бюджет округа (района)'!P57+'бюджеты поселений'!P57</f>
        <v>0</v>
      </c>
      <c r="AD57" s="137">
        <f>'бюджет округа (района)'!P57</f>
        <v>0</v>
      </c>
      <c r="AE57" s="134"/>
      <c r="AF57" s="134"/>
      <c r="AG57" s="134">
        <f>'бюджет округа (района)'!R57+'бюджеты поселений'!R57</f>
        <v>0</v>
      </c>
      <c r="AH57" s="137">
        <f>'бюджет округа (района)'!R57</f>
        <v>0</v>
      </c>
      <c r="AI57" s="134"/>
      <c r="AJ57" s="134"/>
      <c r="AK57" s="134">
        <f>'бюджет округа (района)'!T57+'бюджеты поселений'!T57</f>
        <v>0</v>
      </c>
      <c r="AL57" s="137">
        <f>'бюджет округа (района)'!T57</f>
        <v>0</v>
      </c>
      <c r="AM57" s="134"/>
      <c r="AN57" s="134"/>
      <c r="AO57" s="134">
        <f>'бюджет округа (района)'!V57+'бюджеты поселений'!V57</f>
        <v>0</v>
      </c>
      <c r="AP57" s="137">
        <f>'бюджет округа (района)'!V57</f>
        <v>0</v>
      </c>
      <c r="AQ57" s="134"/>
      <c r="AR57" s="134"/>
      <c r="AS57" s="134">
        <f>'бюджет округа (района)'!X57+'бюджеты поселений'!X57</f>
        <v>0</v>
      </c>
      <c r="AT57" s="137">
        <f>'бюджет округа (района)'!X57</f>
        <v>0</v>
      </c>
      <c r="AU57" s="134"/>
      <c r="AV57" s="134"/>
      <c r="AW57" s="134">
        <f>'бюджет округа (района)'!Z57+'бюджеты поселений'!Z57</f>
        <v>0</v>
      </c>
      <c r="AX57" s="137">
        <f>'бюджет округа (района)'!Z57</f>
        <v>0</v>
      </c>
      <c r="AY57" s="134">
        <f>'бюджет округа (района)'!AA57+'бюджеты поселений'!AA57</f>
        <v>0</v>
      </c>
      <c r="AZ57" s="137">
        <f>'бюджет округа (района)'!AA57</f>
        <v>0</v>
      </c>
      <c r="BA57" s="135">
        <f t="shared" si="300"/>
        <v>1</v>
      </c>
      <c r="BB57" s="135">
        <f t="shared" si="300"/>
        <v>1</v>
      </c>
      <c r="BC57" s="134">
        <f>'бюджет округа (района)'!AC57+'бюджеты поселений'!AC57</f>
        <v>0</v>
      </c>
      <c r="BD57" s="137">
        <f>'бюджет округа (района)'!AC57</f>
        <v>0</v>
      </c>
      <c r="BE57" s="134">
        <f>'бюджет округа (района)'!AD57+'бюджеты поселений'!AD57</f>
        <v>0</v>
      </c>
      <c r="BF57" s="137">
        <f>'бюджет округа (района)'!AD57</f>
        <v>0</v>
      </c>
      <c r="BG57" s="134">
        <f t="shared" si="302"/>
        <v>0</v>
      </c>
      <c r="BH57" s="134">
        <f t="shared" si="302"/>
        <v>0</v>
      </c>
      <c r="BI57" s="135">
        <f t="shared" si="272"/>
        <v>1</v>
      </c>
      <c r="BJ57" s="135">
        <f t="shared" si="272"/>
        <v>1</v>
      </c>
      <c r="BK57" s="134">
        <f>'бюджет округа (района)'!AG57+'бюджеты поселений'!AG57</f>
        <v>0</v>
      </c>
      <c r="BL57" s="137">
        <f>'бюджет округа (района)'!AG57</f>
        <v>0</v>
      </c>
      <c r="BM57" s="134"/>
      <c r="BN57" s="134"/>
      <c r="BO57" s="135">
        <f t="shared" si="273"/>
        <v>1</v>
      </c>
      <c r="BP57" s="135">
        <f t="shared" si="273"/>
        <v>1</v>
      </c>
      <c r="BQ57" s="134">
        <f>'бюджет округа (района)'!AJ57+'бюджеты поселений'!AJ57</f>
        <v>0</v>
      </c>
      <c r="BR57" s="137">
        <f>'бюджет округа (района)'!AJ57</f>
        <v>0</v>
      </c>
      <c r="BS57" s="134"/>
      <c r="BT57" s="134"/>
      <c r="BU57" s="135">
        <f t="shared" si="274"/>
        <v>1</v>
      </c>
      <c r="BV57" s="135">
        <f t="shared" si="274"/>
        <v>1</v>
      </c>
      <c r="BW57" s="134">
        <f>'бюджет округа (района)'!AM57+'бюджеты поселений'!AM57</f>
        <v>0</v>
      </c>
      <c r="BX57" s="137">
        <f>'бюджет округа (района)'!AM57</f>
        <v>0</v>
      </c>
      <c r="BY57" s="134"/>
      <c r="BZ57" s="134"/>
      <c r="CA57" s="135">
        <f t="shared" si="275"/>
        <v>1</v>
      </c>
      <c r="CB57" s="135">
        <f t="shared" si="275"/>
        <v>1</v>
      </c>
      <c r="CC57" s="134">
        <f>'бюджет округа (района)'!AP57+'бюджеты поселений'!AP57</f>
        <v>0</v>
      </c>
      <c r="CD57" s="137">
        <f>'бюджет округа (района)'!AP57</f>
        <v>0</v>
      </c>
      <c r="CE57" s="134"/>
      <c r="CF57" s="134"/>
      <c r="CG57" s="135">
        <f t="shared" si="276"/>
        <v>1</v>
      </c>
      <c r="CH57" s="135">
        <f t="shared" si="276"/>
        <v>1</v>
      </c>
      <c r="CI57" s="134">
        <f>'бюджет округа (района)'!AS57+'бюджеты поселений'!AS57</f>
        <v>0</v>
      </c>
      <c r="CJ57" s="137">
        <f>'бюджет округа (района)'!AS57</f>
        <v>0</v>
      </c>
      <c r="CK57" s="134"/>
      <c r="CL57" s="134"/>
      <c r="CM57" s="135">
        <f t="shared" si="277"/>
        <v>1</v>
      </c>
      <c r="CN57" s="135">
        <f t="shared" si="277"/>
        <v>1</v>
      </c>
      <c r="CO57" s="134">
        <f>'бюджет округа (района)'!AV57+'бюджеты поселений'!AV57</f>
        <v>0</v>
      </c>
      <c r="CP57" s="137">
        <f>'бюджет округа (района)'!AV57</f>
        <v>0</v>
      </c>
      <c r="CQ57" s="134"/>
      <c r="CR57" s="134"/>
      <c r="CS57" s="135">
        <f t="shared" si="278"/>
        <v>1</v>
      </c>
      <c r="CT57" s="135">
        <f t="shared" si="278"/>
        <v>1</v>
      </c>
      <c r="CU57" s="134">
        <f>'бюджет округа (района)'!AY57+'бюджеты поселений'!AY57</f>
        <v>0</v>
      </c>
      <c r="CV57" s="137">
        <f>'бюджет округа (района)'!AY57</f>
        <v>0</v>
      </c>
      <c r="CW57" s="134"/>
      <c r="CX57" s="134"/>
      <c r="CY57" s="135">
        <f t="shared" si="279"/>
        <v>1</v>
      </c>
      <c r="CZ57" s="135">
        <f t="shared" si="279"/>
        <v>1</v>
      </c>
      <c r="DA57" s="134">
        <f>'бюджет округа (района)'!BB57+'бюджеты поселений'!BB57</f>
        <v>0</v>
      </c>
      <c r="DB57" s="137">
        <f>'бюджет округа (района)'!BB57</f>
        <v>0</v>
      </c>
      <c r="DC57" s="134"/>
      <c r="DD57" s="134"/>
      <c r="DE57" s="135">
        <f t="shared" si="280"/>
        <v>1</v>
      </c>
      <c r="DF57" s="135">
        <f t="shared" si="280"/>
        <v>1</v>
      </c>
      <c r="DG57" s="134">
        <f>'бюджет округа (района)'!BE57+'бюджеты поселений'!BE57</f>
        <v>0</v>
      </c>
      <c r="DH57" s="137">
        <f>'бюджет округа (района)'!BE57</f>
        <v>0</v>
      </c>
      <c r="DI57" s="134"/>
      <c r="DJ57" s="134"/>
      <c r="DK57" s="135">
        <f t="shared" si="281"/>
        <v>1</v>
      </c>
      <c r="DL57" s="135">
        <f t="shared" si="281"/>
        <v>1</v>
      </c>
      <c r="DM57" s="134">
        <f>'бюджет округа (района)'!BH57+'бюджеты поселений'!BH57</f>
        <v>0</v>
      </c>
      <c r="DN57" s="137">
        <f>'бюджет округа (района)'!BH57</f>
        <v>0</v>
      </c>
      <c r="DO57" s="134">
        <f>'бюджет округа (района)'!BI57+'бюджеты поселений'!BI57</f>
        <v>0</v>
      </c>
      <c r="DP57" s="137">
        <f>'бюджет округа (района)'!BI57</f>
        <v>0</v>
      </c>
      <c r="DQ57" s="134">
        <f>'бюджет округа (района)'!BJ57+'бюджеты поселений'!BJ57</f>
        <v>0</v>
      </c>
      <c r="DR57" s="137">
        <f>'бюджет округа (района)'!BJ57</f>
        <v>0</v>
      </c>
      <c r="DS57" s="135">
        <f>IF($AY$57=0,1,DQ57/$AY$57-1)</f>
        <v>1</v>
      </c>
      <c r="DT57" s="135">
        <f>IF($AZ$57=0,1,DR57/$AZ$57-1)</f>
        <v>1</v>
      </c>
      <c r="DU57" s="135">
        <f t="shared" si="58"/>
        <v>1</v>
      </c>
      <c r="DV57" s="135">
        <f t="shared" si="59"/>
        <v>1</v>
      </c>
      <c r="DW57" s="167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</row>
    <row r="58" spans="1:268" s="64" customFormat="1" ht="18" customHeight="1">
      <c r="A58" s="290" t="s">
        <v>120</v>
      </c>
      <c r="B58" s="291"/>
      <c r="C58" s="134">
        <f>'бюджет округа (района)'!C58+'бюджеты поселений'!C58</f>
        <v>0</v>
      </c>
      <c r="D58" s="137">
        <f>'бюджет округа (района)'!C58</f>
        <v>0</v>
      </c>
      <c r="E58" s="134">
        <f t="shared" si="336"/>
        <v>0</v>
      </c>
      <c r="F58" s="137">
        <f t="shared" si="336"/>
        <v>0</v>
      </c>
      <c r="G58" s="134">
        <f>'бюджет округа (района)'!E58+'бюджеты поселений'!E58</f>
        <v>0</v>
      </c>
      <c r="H58" s="137">
        <f>'бюджет округа (района)'!E58</f>
        <v>0</v>
      </c>
      <c r="I58" s="134">
        <f>'бюджет округа (района)'!F58+'бюджеты поселений'!F58</f>
        <v>0</v>
      </c>
      <c r="J58" s="137">
        <f>'бюджет округа (района)'!F58</f>
        <v>0</v>
      </c>
      <c r="K58" s="134">
        <f t="shared" si="301"/>
        <v>0</v>
      </c>
      <c r="L58" s="134">
        <f t="shared" si="301"/>
        <v>0</v>
      </c>
      <c r="M58" s="134">
        <f>'бюджет округа (района)'!H58+'бюджеты поселений'!H58</f>
        <v>0</v>
      </c>
      <c r="N58" s="137">
        <f>'бюджет округа (района)'!H58</f>
        <v>0</v>
      </c>
      <c r="O58" s="134">
        <f>K58+M58</f>
        <v>0</v>
      </c>
      <c r="P58" s="134">
        <f>L58+N58</f>
        <v>0</v>
      </c>
      <c r="Q58" s="134">
        <f>'бюджет округа (района)'!J58+'бюджеты поселений'!J58</f>
        <v>0</v>
      </c>
      <c r="R58" s="137">
        <f>'бюджет округа (района)'!J58</f>
        <v>0</v>
      </c>
      <c r="S58" s="134">
        <f>O58+Q58</f>
        <v>0</v>
      </c>
      <c r="T58" s="134">
        <f>P58+R58</f>
        <v>0</v>
      </c>
      <c r="U58" s="134">
        <f>'бюджет округа (района)'!L58+'бюджеты поселений'!L58</f>
        <v>0</v>
      </c>
      <c r="V58" s="137">
        <f>'бюджет округа (района)'!L58</f>
        <v>0</v>
      </c>
      <c r="W58" s="134">
        <f>S58+U58</f>
        <v>0</v>
      </c>
      <c r="X58" s="134">
        <f>T58+V58</f>
        <v>0</v>
      </c>
      <c r="Y58" s="134">
        <f>'бюджет округа (района)'!N58+'бюджеты поселений'!N58</f>
        <v>0</v>
      </c>
      <c r="Z58" s="137">
        <f>'бюджет округа (района)'!N58</f>
        <v>0</v>
      </c>
      <c r="AA58" s="134">
        <f>W58+Y58</f>
        <v>0</v>
      </c>
      <c r="AB58" s="134">
        <f>X58+Z58</f>
        <v>0</v>
      </c>
      <c r="AC58" s="134">
        <f>'бюджет округа (района)'!P58+'бюджеты поселений'!P58</f>
        <v>0</v>
      </c>
      <c r="AD58" s="137">
        <f>'бюджет округа (района)'!P58</f>
        <v>0</v>
      </c>
      <c r="AE58" s="134">
        <f>AA58+AC58</f>
        <v>0</v>
      </c>
      <c r="AF58" s="134">
        <f>AB58+AD58</f>
        <v>0</v>
      </c>
      <c r="AG58" s="134">
        <f>'бюджет округа (района)'!R58+'бюджеты поселений'!R58</f>
        <v>0</v>
      </c>
      <c r="AH58" s="137">
        <f>'бюджет округа (района)'!R58</f>
        <v>0</v>
      </c>
      <c r="AI58" s="134">
        <f>AE58+AG58</f>
        <v>0</v>
      </c>
      <c r="AJ58" s="134">
        <f>AF58+AH58</f>
        <v>0</v>
      </c>
      <c r="AK58" s="134">
        <f>'бюджет округа (района)'!T58+'бюджеты поселений'!T58</f>
        <v>0</v>
      </c>
      <c r="AL58" s="137">
        <f>'бюджет округа (района)'!T58</f>
        <v>0</v>
      </c>
      <c r="AM58" s="134">
        <f>AI58+AK58</f>
        <v>0</v>
      </c>
      <c r="AN58" s="134">
        <f>AJ58+AL58</f>
        <v>0</v>
      </c>
      <c r="AO58" s="134">
        <f>'бюджет округа (района)'!V58+'бюджеты поселений'!V58</f>
        <v>0</v>
      </c>
      <c r="AP58" s="137">
        <f>'бюджет округа (района)'!V58</f>
        <v>0</v>
      </c>
      <c r="AQ58" s="134">
        <f>AM58+AO58</f>
        <v>0</v>
      </c>
      <c r="AR58" s="134">
        <f>AN58+AP58</f>
        <v>0</v>
      </c>
      <c r="AS58" s="134">
        <f>'бюджет округа (района)'!X58+'бюджеты поселений'!X58</f>
        <v>0</v>
      </c>
      <c r="AT58" s="137">
        <f>'бюджет округа (района)'!X58</f>
        <v>0</v>
      </c>
      <c r="AU58" s="134">
        <f>AQ58+AS58</f>
        <v>0</v>
      </c>
      <c r="AV58" s="134">
        <f>AR58+AT58</f>
        <v>0</v>
      </c>
      <c r="AW58" s="134">
        <f>'бюджет округа (района)'!Z58+'бюджеты поселений'!Z58</f>
        <v>0</v>
      </c>
      <c r="AX58" s="137">
        <f>'бюджет округа (района)'!Z58</f>
        <v>0</v>
      </c>
      <c r="AY58" s="134">
        <f>'бюджет округа (района)'!AA58+'бюджеты поселений'!AA58</f>
        <v>0</v>
      </c>
      <c r="AZ58" s="137">
        <f>'бюджет округа (района)'!AA58</f>
        <v>0</v>
      </c>
      <c r="BA58" s="135">
        <f t="shared" si="300"/>
        <v>1</v>
      </c>
      <c r="BB58" s="135">
        <f t="shared" si="300"/>
        <v>1</v>
      </c>
      <c r="BC58" s="134">
        <f>'бюджет округа (района)'!AC58+'бюджеты поселений'!AC58</f>
        <v>0</v>
      </c>
      <c r="BD58" s="137">
        <f>'бюджет округа (района)'!AC58</f>
        <v>0</v>
      </c>
      <c r="BE58" s="134">
        <f>'бюджет округа (района)'!AD58+'бюджеты поселений'!AD58</f>
        <v>0</v>
      </c>
      <c r="BF58" s="137">
        <f>'бюджет округа (района)'!AD58</f>
        <v>0</v>
      </c>
      <c r="BG58" s="134">
        <f t="shared" si="302"/>
        <v>0</v>
      </c>
      <c r="BH58" s="134">
        <f t="shared" si="302"/>
        <v>0</v>
      </c>
      <c r="BI58" s="135">
        <f t="shared" si="272"/>
        <v>1</v>
      </c>
      <c r="BJ58" s="135">
        <f t="shared" si="272"/>
        <v>1</v>
      </c>
      <c r="BK58" s="134">
        <f>'бюджет округа (района)'!AG58+'бюджеты поселений'!AG58</f>
        <v>0</v>
      </c>
      <c r="BL58" s="137">
        <f>'бюджет округа (района)'!AG58</f>
        <v>0</v>
      </c>
      <c r="BM58" s="134">
        <f>BG58+BK58</f>
        <v>0</v>
      </c>
      <c r="BN58" s="134">
        <f>BH58+BL58</f>
        <v>0</v>
      </c>
      <c r="BO58" s="135">
        <f t="shared" si="273"/>
        <v>1</v>
      </c>
      <c r="BP58" s="135">
        <f t="shared" si="273"/>
        <v>1</v>
      </c>
      <c r="BQ58" s="134">
        <f>'бюджет округа (района)'!AJ58+'бюджеты поселений'!AJ58</f>
        <v>0</v>
      </c>
      <c r="BR58" s="137">
        <f>'бюджет округа (района)'!AJ58</f>
        <v>0</v>
      </c>
      <c r="BS58" s="134">
        <f>BM58+BQ58</f>
        <v>0</v>
      </c>
      <c r="BT58" s="134">
        <f>BN58+BR58</f>
        <v>0</v>
      </c>
      <c r="BU58" s="135">
        <f t="shared" si="274"/>
        <v>1</v>
      </c>
      <c r="BV58" s="135">
        <f t="shared" si="274"/>
        <v>1</v>
      </c>
      <c r="BW58" s="134">
        <f>'бюджет округа (района)'!AM58+'бюджеты поселений'!AM58</f>
        <v>0</v>
      </c>
      <c r="BX58" s="137">
        <f>'бюджет округа (района)'!AM58</f>
        <v>0</v>
      </c>
      <c r="BY58" s="134">
        <f>BS58+BW58</f>
        <v>0</v>
      </c>
      <c r="BZ58" s="134">
        <f>BT58+BX58</f>
        <v>0</v>
      </c>
      <c r="CA58" s="135">
        <f t="shared" si="275"/>
        <v>1</v>
      </c>
      <c r="CB58" s="135">
        <f t="shared" si="275"/>
        <v>1</v>
      </c>
      <c r="CC58" s="134">
        <f>'бюджет округа (района)'!AP58+'бюджеты поселений'!AP58</f>
        <v>0</v>
      </c>
      <c r="CD58" s="137">
        <f>'бюджет округа (района)'!AP58</f>
        <v>0</v>
      </c>
      <c r="CE58" s="134">
        <f>BY58+CC58</f>
        <v>0</v>
      </c>
      <c r="CF58" s="134">
        <f>BZ58+CD58</f>
        <v>0</v>
      </c>
      <c r="CG58" s="135">
        <f t="shared" si="276"/>
        <v>1</v>
      </c>
      <c r="CH58" s="135">
        <f t="shared" si="276"/>
        <v>1</v>
      </c>
      <c r="CI58" s="134">
        <f>'бюджет округа (района)'!AS58+'бюджеты поселений'!AS58</f>
        <v>0</v>
      </c>
      <c r="CJ58" s="137">
        <f>'бюджет округа (района)'!AS58</f>
        <v>0</v>
      </c>
      <c r="CK58" s="134">
        <f>CE58+CI58</f>
        <v>0</v>
      </c>
      <c r="CL58" s="134">
        <f>CF58+CJ58</f>
        <v>0</v>
      </c>
      <c r="CM58" s="135">
        <f t="shared" si="277"/>
        <v>1</v>
      </c>
      <c r="CN58" s="135">
        <f t="shared" si="277"/>
        <v>1</v>
      </c>
      <c r="CO58" s="134">
        <f>'бюджет округа (района)'!AV58+'бюджеты поселений'!AV58</f>
        <v>0</v>
      </c>
      <c r="CP58" s="137">
        <f>'бюджет округа (района)'!AV58</f>
        <v>0</v>
      </c>
      <c r="CQ58" s="134">
        <f>CK58+CO58</f>
        <v>0</v>
      </c>
      <c r="CR58" s="134">
        <f>CL58+CP58</f>
        <v>0</v>
      </c>
      <c r="CS58" s="135">
        <f t="shared" si="278"/>
        <v>1</v>
      </c>
      <c r="CT58" s="135">
        <f t="shared" si="278"/>
        <v>1</v>
      </c>
      <c r="CU58" s="134">
        <f>'бюджет округа (района)'!AY58+'бюджеты поселений'!AY58</f>
        <v>0</v>
      </c>
      <c r="CV58" s="137">
        <f>'бюджет округа (района)'!AY58</f>
        <v>0</v>
      </c>
      <c r="CW58" s="134">
        <f>CQ58+CU58</f>
        <v>0</v>
      </c>
      <c r="CX58" s="134">
        <f>CR58+CV58</f>
        <v>0</v>
      </c>
      <c r="CY58" s="135">
        <f t="shared" si="279"/>
        <v>1</v>
      </c>
      <c r="CZ58" s="135">
        <f t="shared" si="279"/>
        <v>1</v>
      </c>
      <c r="DA58" s="134">
        <f>'бюджет округа (района)'!BB58+'бюджеты поселений'!BB58</f>
        <v>0</v>
      </c>
      <c r="DB58" s="137">
        <f>'бюджет округа (района)'!BB58</f>
        <v>0</v>
      </c>
      <c r="DC58" s="134">
        <f>CW58+DA58</f>
        <v>0</v>
      </c>
      <c r="DD58" s="134">
        <f>CX58+DB58</f>
        <v>0</v>
      </c>
      <c r="DE58" s="135">
        <f t="shared" si="280"/>
        <v>1</v>
      </c>
      <c r="DF58" s="135">
        <f t="shared" si="280"/>
        <v>1</v>
      </c>
      <c r="DG58" s="134">
        <f>'бюджет округа (района)'!BE58+'бюджеты поселений'!BE58</f>
        <v>0</v>
      </c>
      <c r="DH58" s="137">
        <f>'бюджет округа (района)'!BE58</f>
        <v>0</v>
      </c>
      <c r="DI58" s="134">
        <f>DC58+DG58</f>
        <v>0</v>
      </c>
      <c r="DJ58" s="134">
        <f>DD58+DH58</f>
        <v>0</v>
      </c>
      <c r="DK58" s="135">
        <f t="shared" si="281"/>
        <v>1</v>
      </c>
      <c r="DL58" s="135">
        <f t="shared" si="281"/>
        <v>1</v>
      </c>
      <c r="DM58" s="134">
        <f>'бюджет округа (района)'!BH58+'бюджеты поселений'!BH58</f>
        <v>0</v>
      </c>
      <c r="DN58" s="137">
        <f>'бюджет округа (района)'!BH58</f>
        <v>0</v>
      </c>
      <c r="DO58" s="134">
        <f>'бюджет округа (района)'!BI58+'бюджеты поселений'!BI58</f>
        <v>0</v>
      </c>
      <c r="DP58" s="137">
        <f>'бюджет округа (района)'!BI58</f>
        <v>0</v>
      </c>
      <c r="DQ58" s="134">
        <f>'бюджет округа (района)'!BJ58+'бюджеты поселений'!BJ58</f>
        <v>0</v>
      </c>
      <c r="DR58" s="137">
        <f>'бюджет округа (района)'!BJ58</f>
        <v>0</v>
      </c>
      <c r="DS58" s="135">
        <f>IF($AY$58=0,1,DQ58/$AY$58-1)</f>
        <v>1</v>
      </c>
      <c r="DT58" s="135">
        <f>IF($AZ$58=0,1,DR58/$AZ$58-1)</f>
        <v>1</v>
      </c>
      <c r="DU58" s="135">
        <f t="shared" si="58"/>
        <v>1</v>
      </c>
      <c r="DV58" s="135">
        <f t="shared" si="59"/>
        <v>1</v>
      </c>
      <c r="DW58" s="167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</row>
    <row r="59" spans="1:268" s="64" customFormat="1" ht="18" customHeight="1">
      <c r="A59" s="290" t="s">
        <v>121</v>
      </c>
      <c r="B59" s="291"/>
      <c r="C59" s="134">
        <f>'бюджет округа (района)'!C59+'бюджеты поселений'!C59</f>
        <v>0</v>
      </c>
      <c r="D59" s="137">
        <f>'бюджет округа (района)'!C59</f>
        <v>0</v>
      </c>
      <c r="E59" s="134">
        <f t="shared" si="336"/>
        <v>0</v>
      </c>
      <c r="F59" s="137">
        <f t="shared" si="336"/>
        <v>0</v>
      </c>
      <c r="G59" s="134">
        <f>'бюджет округа (района)'!E59+'бюджеты поселений'!E59</f>
        <v>0</v>
      </c>
      <c r="H59" s="137">
        <f>'бюджет округа (района)'!E59</f>
        <v>0</v>
      </c>
      <c r="I59" s="134">
        <f>'бюджет округа (района)'!F59+'бюджеты поселений'!F59</f>
        <v>0</v>
      </c>
      <c r="J59" s="137">
        <f>'бюджет округа (района)'!F59</f>
        <v>0</v>
      </c>
      <c r="K59" s="134">
        <f t="shared" si="301"/>
        <v>0</v>
      </c>
      <c r="L59" s="134">
        <f t="shared" si="301"/>
        <v>0</v>
      </c>
      <c r="M59" s="134">
        <f>'бюджет округа (района)'!H59+'бюджеты поселений'!H59</f>
        <v>0</v>
      </c>
      <c r="N59" s="137">
        <f>'бюджет округа (района)'!H59</f>
        <v>0</v>
      </c>
      <c r="O59" s="134"/>
      <c r="P59" s="134"/>
      <c r="Q59" s="134">
        <f>'бюджет округа (района)'!J59+'бюджеты поселений'!J59</f>
        <v>0</v>
      </c>
      <c r="R59" s="137">
        <f>'бюджет округа (района)'!J59</f>
        <v>0</v>
      </c>
      <c r="S59" s="134"/>
      <c r="T59" s="134"/>
      <c r="U59" s="134">
        <f>'бюджет округа (района)'!L59+'бюджеты поселений'!L59</f>
        <v>0</v>
      </c>
      <c r="V59" s="137">
        <f>'бюджет округа (района)'!L59</f>
        <v>0</v>
      </c>
      <c r="W59" s="134"/>
      <c r="X59" s="134"/>
      <c r="Y59" s="134">
        <f>'бюджет округа (района)'!N59+'бюджеты поселений'!N59</f>
        <v>0</v>
      </c>
      <c r="Z59" s="137">
        <f>'бюджет округа (района)'!N59</f>
        <v>0</v>
      </c>
      <c r="AA59" s="134"/>
      <c r="AB59" s="134"/>
      <c r="AC59" s="134">
        <f>'бюджет округа (района)'!P59+'бюджеты поселений'!P59</f>
        <v>0</v>
      </c>
      <c r="AD59" s="137">
        <f>'бюджет округа (района)'!P59</f>
        <v>0</v>
      </c>
      <c r="AE59" s="134"/>
      <c r="AF59" s="134"/>
      <c r="AG59" s="134">
        <f>'бюджет округа (района)'!R59+'бюджеты поселений'!R59</f>
        <v>0</v>
      </c>
      <c r="AH59" s="137">
        <f>'бюджет округа (района)'!R59</f>
        <v>0</v>
      </c>
      <c r="AI59" s="134"/>
      <c r="AJ59" s="134"/>
      <c r="AK59" s="134">
        <f>'бюджет округа (района)'!T59+'бюджеты поселений'!T59</f>
        <v>0</v>
      </c>
      <c r="AL59" s="137">
        <f>'бюджет округа (района)'!T59</f>
        <v>0</v>
      </c>
      <c r="AM59" s="134"/>
      <c r="AN59" s="134"/>
      <c r="AO59" s="134">
        <f>'бюджет округа (района)'!V59+'бюджеты поселений'!V59</f>
        <v>0</v>
      </c>
      <c r="AP59" s="137">
        <f>'бюджет округа (района)'!V59</f>
        <v>0</v>
      </c>
      <c r="AQ59" s="134"/>
      <c r="AR59" s="134"/>
      <c r="AS59" s="134">
        <f>'бюджет округа (района)'!X59+'бюджеты поселений'!X59</f>
        <v>0</v>
      </c>
      <c r="AT59" s="137">
        <f>'бюджет округа (района)'!X59</f>
        <v>0</v>
      </c>
      <c r="AU59" s="134"/>
      <c r="AV59" s="134"/>
      <c r="AW59" s="134">
        <f>'бюджет округа (района)'!Z59+'бюджеты поселений'!Z59</f>
        <v>0</v>
      </c>
      <c r="AX59" s="137">
        <f>'бюджет округа (района)'!Z59</f>
        <v>0</v>
      </c>
      <c r="AY59" s="134">
        <f>'бюджет округа (района)'!AA59+'бюджеты поселений'!AA59</f>
        <v>0</v>
      </c>
      <c r="AZ59" s="137">
        <f>'бюджет округа (района)'!AA59</f>
        <v>0</v>
      </c>
      <c r="BA59" s="135">
        <f t="shared" ref="BA59:BB73" si="355">IF(E59=0,1,AY59/E59-1)</f>
        <v>1</v>
      </c>
      <c r="BB59" s="135">
        <f t="shared" si="355"/>
        <v>1</v>
      </c>
      <c r="BC59" s="134">
        <f>'бюджет округа (района)'!AC59+'бюджеты поселений'!AC59</f>
        <v>0</v>
      </c>
      <c r="BD59" s="137">
        <f>'бюджет округа (района)'!AC59</f>
        <v>0</v>
      </c>
      <c r="BE59" s="134">
        <f>'бюджет округа (района)'!AD59+'бюджеты поселений'!AD59</f>
        <v>0</v>
      </c>
      <c r="BF59" s="137">
        <f>'бюджет округа (района)'!AD59</f>
        <v>0</v>
      </c>
      <c r="BG59" s="134">
        <f t="shared" si="302"/>
        <v>0</v>
      </c>
      <c r="BH59" s="134">
        <f t="shared" si="302"/>
        <v>0</v>
      </c>
      <c r="BI59" s="135">
        <f t="shared" si="272"/>
        <v>1</v>
      </c>
      <c r="BJ59" s="135">
        <f t="shared" si="272"/>
        <v>1</v>
      </c>
      <c r="BK59" s="134">
        <f>'бюджет округа (района)'!AG59+'бюджеты поселений'!AG59</f>
        <v>0</v>
      </c>
      <c r="BL59" s="137">
        <f>'бюджет округа (района)'!AG59</f>
        <v>0</v>
      </c>
      <c r="BM59" s="134"/>
      <c r="BN59" s="134"/>
      <c r="BO59" s="135">
        <f t="shared" si="273"/>
        <v>1</v>
      </c>
      <c r="BP59" s="135">
        <f t="shared" si="273"/>
        <v>1</v>
      </c>
      <c r="BQ59" s="134">
        <f>'бюджет округа (района)'!AJ59+'бюджеты поселений'!AJ59</f>
        <v>0</v>
      </c>
      <c r="BR59" s="137">
        <f>'бюджет округа (района)'!AJ59</f>
        <v>0</v>
      </c>
      <c r="BS59" s="134"/>
      <c r="BT59" s="134"/>
      <c r="BU59" s="135">
        <f t="shared" si="274"/>
        <v>1</v>
      </c>
      <c r="BV59" s="135">
        <f t="shared" si="274"/>
        <v>1</v>
      </c>
      <c r="BW59" s="134">
        <f>'бюджет округа (района)'!AM59+'бюджеты поселений'!AM59</f>
        <v>0</v>
      </c>
      <c r="BX59" s="137">
        <f>'бюджет округа (района)'!AM59</f>
        <v>0</v>
      </c>
      <c r="BY59" s="134"/>
      <c r="BZ59" s="134"/>
      <c r="CA59" s="135">
        <f t="shared" si="275"/>
        <v>1</v>
      </c>
      <c r="CB59" s="135">
        <f t="shared" si="275"/>
        <v>1</v>
      </c>
      <c r="CC59" s="134">
        <f>'бюджет округа (района)'!AP59+'бюджеты поселений'!AP59</f>
        <v>0</v>
      </c>
      <c r="CD59" s="137">
        <f>'бюджет округа (района)'!AP59</f>
        <v>0</v>
      </c>
      <c r="CE59" s="134"/>
      <c r="CF59" s="134"/>
      <c r="CG59" s="135">
        <f t="shared" si="276"/>
        <v>1</v>
      </c>
      <c r="CH59" s="135">
        <f t="shared" si="276"/>
        <v>1</v>
      </c>
      <c r="CI59" s="134">
        <f>'бюджет округа (района)'!AS59+'бюджеты поселений'!AS59</f>
        <v>0</v>
      </c>
      <c r="CJ59" s="137">
        <f>'бюджет округа (района)'!AS59</f>
        <v>0</v>
      </c>
      <c r="CK59" s="134"/>
      <c r="CL59" s="134"/>
      <c r="CM59" s="135">
        <f t="shared" si="277"/>
        <v>1</v>
      </c>
      <c r="CN59" s="135">
        <f t="shared" si="277"/>
        <v>1</v>
      </c>
      <c r="CO59" s="134">
        <f>'бюджет округа (района)'!AV59+'бюджеты поселений'!AV59</f>
        <v>0</v>
      </c>
      <c r="CP59" s="137">
        <f>'бюджет округа (района)'!AV59</f>
        <v>0</v>
      </c>
      <c r="CQ59" s="134"/>
      <c r="CR59" s="134"/>
      <c r="CS59" s="135">
        <f t="shared" si="278"/>
        <v>1</v>
      </c>
      <c r="CT59" s="135">
        <f t="shared" si="278"/>
        <v>1</v>
      </c>
      <c r="CU59" s="134">
        <f>'бюджет округа (района)'!AY59+'бюджеты поселений'!AY59</f>
        <v>0</v>
      </c>
      <c r="CV59" s="137">
        <f>'бюджет округа (района)'!AY59</f>
        <v>0</v>
      </c>
      <c r="CW59" s="134"/>
      <c r="CX59" s="134"/>
      <c r="CY59" s="135">
        <f t="shared" si="279"/>
        <v>1</v>
      </c>
      <c r="CZ59" s="135">
        <f t="shared" si="279"/>
        <v>1</v>
      </c>
      <c r="DA59" s="134">
        <f>'бюджет округа (района)'!BB59+'бюджеты поселений'!BB59</f>
        <v>0</v>
      </c>
      <c r="DB59" s="137">
        <f>'бюджет округа (района)'!BB59</f>
        <v>0</v>
      </c>
      <c r="DC59" s="134"/>
      <c r="DD59" s="134"/>
      <c r="DE59" s="135">
        <f t="shared" si="280"/>
        <v>1</v>
      </c>
      <c r="DF59" s="135">
        <f t="shared" si="280"/>
        <v>1</v>
      </c>
      <c r="DG59" s="134">
        <f>'бюджет округа (района)'!BE59+'бюджеты поселений'!BE59</f>
        <v>0</v>
      </c>
      <c r="DH59" s="137">
        <f>'бюджет округа (района)'!BE59</f>
        <v>0</v>
      </c>
      <c r="DI59" s="134"/>
      <c r="DJ59" s="134"/>
      <c r="DK59" s="135">
        <f t="shared" si="281"/>
        <v>1</v>
      </c>
      <c r="DL59" s="135">
        <f t="shared" si="281"/>
        <v>1</v>
      </c>
      <c r="DM59" s="134">
        <f>'бюджет округа (района)'!BH59+'бюджеты поселений'!BH59</f>
        <v>0</v>
      </c>
      <c r="DN59" s="137">
        <f>'бюджет округа (района)'!BH59</f>
        <v>0</v>
      </c>
      <c r="DO59" s="134">
        <f>'бюджет округа (района)'!BI59+'бюджеты поселений'!BI59</f>
        <v>0</v>
      </c>
      <c r="DP59" s="137">
        <f>'бюджет округа (района)'!BI59</f>
        <v>0</v>
      </c>
      <c r="DQ59" s="134">
        <f>'бюджет округа (района)'!BJ59+'бюджеты поселений'!BJ59</f>
        <v>0</v>
      </c>
      <c r="DR59" s="137">
        <f>'бюджет округа (района)'!BJ59</f>
        <v>0</v>
      </c>
      <c r="DS59" s="135">
        <f>IF($AY$59=0,1,DQ59/$AY$59-1)</f>
        <v>1</v>
      </c>
      <c r="DT59" s="135">
        <f>IF($AZ$59=0,1,DR59/$AZ$59-1)</f>
        <v>1</v>
      </c>
      <c r="DU59" s="135">
        <f t="shared" si="58"/>
        <v>1</v>
      </c>
      <c r="DV59" s="135">
        <f t="shared" si="59"/>
        <v>1</v>
      </c>
      <c r="DW59" s="167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  <c r="JE59" s="63"/>
      <c r="JF59" s="63"/>
      <c r="JG59" s="63"/>
      <c r="JH59" s="63"/>
    </row>
    <row r="60" spans="1:268" s="64" customFormat="1" ht="18" customHeight="1">
      <c r="A60" s="290" t="s">
        <v>122</v>
      </c>
      <c r="B60" s="291"/>
      <c r="C60" s="134">
        <f>'бюджет округа (района)'!C60+'бюджеты поселений'!C60</f>
        <v>0</v>
      </c>
      <c r="D60" s="137">
        <f>'бюджет округа (района)'!C60</f>
        <v>0</v>
      </c>
      <c r="E60" s="134">
        <f t="shared" si="336"/>
        <v>0</v>
      </c>
      <c r="F60" s="137">
        <f t="shared" si="336"/>
        <v>0</v>
      </c>
      <c r="G60" s="134">
        <f>'бюджет округа (района)'!E60+'бюджеты поселений'!E60</f>
        <v>0</v>
      </c>
      <c r="H60" s="137">
        <f>'бюджет округа (района)'!E60</f>
        <v>0</v>
      </c>
      <c r="I60" s="134">
        <f>'бюджет округа (района)'!F60+'бюджеты поселений'!F60</f>
        <v>0</v>
      </c>
      <c r="J60" s="137">
        <f>'бюджет округа (района)'!F60</f>
        <v>0</v>
      </c>
      <c r="K60" s="134">
        <f t="shared" si="301"/>
        <v>0</v>
      </c>
      <c r="L60" s="134">
        <f t="shared" si="301"/>
        <v>0</v>
      </c>
      <c r="M60" s="134">
        <f>'бюджет округа (района)'!H60+'бюджеты поселений'!H60</f>
        <v>0</v>
      </c>
      <c r="N60" s="137">
        <f>'бюджет округа (района)'!H60</f>
        <v>0</v>
      </c>
      <c r="O60" s="134"/>
      <c r="P60" s="134"/>
      <c r="Q60" s="134">
        <f>'бюджет округа (района)'!J60+'бюджеты поселений'!J60</f>
        <v>0</v>
      </c>
      <c r="R60" s="137">
        <f>'бюджет округа (района)'!J60</f>
        <v>0</v>
      </c>
      <c r="S60" s="134"/>
      <c r="T60" s="134"/>
      <c r="U60" s="134">
        <f>'бюджет округа (района)'!L60+'бюджеты поселений'!L60</f>
        <v>0</v>
      </c>
      <c r="V60" s="137">
        <f>'бюджет округа (района)'!L60</f>
        <v>0</v>
      </c>
      <c r="W60" s="134"/>
      <c r="X60" s="134"/>
      <c r="Y60" s="134">
        <f>'бюджет округа (района)'!N60+'бюджеты поселений'!N60</f>
        <v>0</v>
      </c>
      <c r="Z60" s="137">
        <f>'бюджет округа (района)'!N60</f>
        <v>0</v>
      </c>
      <c r="AA60" s="134"/>
      <c r="AB60" s="134"/>
      <c r="AC60" s="134">
        <f>'бюджет округа (района)'!P60+'бюджеты поселений'!P60</f>
        <v>0</v>
      </c>
      <c r="AD60" s="137">
        <f>'бюджет округа (района)'!P60</f>
        <v>0</v>
      </c>
      <c r="AE60" s="134"/>
      <c r="AF60" s="134"/>
      <c r="AG60" s="134">
        <f>'бюджет округа (района)'!R60+'бюджеты поселений'!R60</f>
        <v>0</v>
      </c>
      <c r="AH60" s="137">
        <f>'бюджет округа (района)'!R60</f>
        <v>0</v>
      </c>
      <c r="AI60" s="134"/>
      <c r="AJ60" s="134"/>
      <c r="AK60" s="134">
        <f>'бюджет округа (района)'!T60+'бюджеты поселений'!T60</f>
        <v>0</v>
      </c>
      <c r="AL60" s="137">
        <f>'бюджет округа (района)'!T60</f>
        <v>0</v>
      </c>
      <c r="AM60" s="134"/>
      <c r="AN60" s="134"/>
      <c r="AO60" s="134">
        <f>'бюджет округа (района)'!V60+'бюджеты поселений'!V60</f>
        <v>0</v>
      </c>
      <c r="AP60" s="137">
        <f>'бюджет округа (района)'!V60</f>
        <v>0</v>
      </c>
      <c r="AQ60" s="134"/>
      <c r="AR60" s="134"/>
      <c r="AS60" s="134">
        <f>'бюджет округа (района)'!X60+'бюджеты поселений'!X60</f>
        <v>0</v>
      </c>
      <c r="AT60" s="137">
        <f>'бюджет округа (района)'!X60</f>
        <v>0</v>
      </c>
      <c r="AU60" s="134"/>
      <c r="AV60" s="134"/>
      <c r="AW60" s="134">
        <f>'бюджет округа (района)'!Z60+'бюджеты поселений'!Z60</f>
        <v>0</v>
      </c>
      <c r="AX60" s="137">
        <f>'бюджет округа (района)'!Z60</f>
        <v>0</v>
      </c>
      <c r="AY60" s="134">
        <f>'бюджет округа (района)'!AA60+'бюджеты поселений'!AA60</f>
        <v>0</v>
      </c>
      <c r="AZ60" s="137">
        <f>'бюджет округа (района)'!AA60</f>
        <v>0</v>
      </c>
      <c r="BA60" s="135">
        <f t="shared" si="355"/>
        <v>1</v>
      </c>
      <c r="BB60" s="135">
        <f t="shared" si="355"/>
        <v>1</v>
      </c>
      <c r="BC60" s="134">
        <f>'бюджет округа (района)'!AC60+'бюджеты поселений'!AC60</f>
        <v>0</v>
      </c>
      <c r="BD60" s="137">
        <f>'бюджет округа (района)'!AC60</f>
        <v>0</v>
      </c>
      <c r="BE60" s="134">
        <f>'бюджет округа (района)'!AD60+'бюджеты поселений'!AD60</f>
        <v>0</v>
      </c>
      <c r="BF60" s="137">
        <f>'бюджет округа (района)'!AD60</f>
        <v>0</v>
      </c>
      <c r="BG60" s="134">
        <f t="shared" si="302"/>
        <v>0</v>
      </c>
      <c r="BH60" s="134">
        <f t="shared" si="302"/>
        <v>0</v>
      </c>
      <c r="BI60" s="135">
        <f t="shared" si="272"/>
        <v>1</v>
      </c>
      <c r="BJ60" s="135">
        <f t="shared" si="272"/>
        <v>1</v>
      </c>
      <c r="BK60" s="134">
        <f>'бюджет округа (района)'!AG60+'бюджеты поселений'!AG60</f>
        <v>0</v>
      </c>
      <c r="BL60" s="137">
        <f>'бюджет округа (района)'!AG60</f>
        <v>0</v>
      </c>
      <c r="BM60" s="134"/>
      <c r="BN60" s="134"/>
      <c r="BO60" s="135">
        <f t="shared" si="273"/>
        <v>1</v>
      </c>
      <c r="BP60" s="135">
        <f t="shared" si="273"/>
        <v>1</v>
      </c>
      <c r="BQ60" s="134">
        <f>'бюджет округа (района)'!AJ60+'бюджеты поселений'!AJ60</f>
        <v>0</v>
      </c>
      <c r="BR60" s="137">
        <f>'бюджет округа (района)'!AJ60</f>
        <v>0</v>
      </c>
      <c r="BS60" s="134"/>
      <c r="BT60" s="134"/>
      <c r="BU60" s="135">
        <f t="shared" si="274"/>
        <v>1</v>
      </c>
      <c r="BV60" s="135">
        <f t="shared" si="274"/>
        <v>1</v>
      </c>
      <c r="BW60" s="134">
        <f>'бюджет округа (района)'!AM60+'бюджеты поселений'!AM60</f>
        <v>0</v>
      </c>
      <c r="BX60" s="137">
        <f>'бюджет округа (района)'!AM60</f>
        <v>0</v>
      </c>
      <c r="BY60" s="134"/>
      <c r="BZ60" s="134"/>
      <c r="CA60" s="135">
        <f t="shared" si="275"/>
        <v>1</v>
      </c>
      <c r="CB60" s="135">
        <f t="shared" si="275"/>
        <v>1</v>
      </c>
      <c r="CC60" s="134">
        <f>'бюджет округа (района)'!AP60+'бюджеты поселений'!AP60</f>
        <v>0</v>
      </c>
      <c r="CD60" s="137">
        <f>'бюджет округа (района)'!AP60</f>
        <v>0</v>
      </c>
      <c r="CE60" s="134"/>
      <c r="CF60" s="134"/>
      <c r="CG60" s="135">
        <f t="shared" si="276"/>
        <v>1</v>
      </c>
      <c r="CH60" s="135">
        <f t="shared" si="276"/>
        <v>1</v>
      </c>
      <c r="CI60" s="134">
        <f>'бюджет округа (района)'!AS60+'бюджеты поселений'!AS60</f>
        <v>0</v>
      </c>
      <c r="CJ60" s="137">
        <f>'бюджет округа (района)'!AS60</f>
        <v>0</v>
      </c>
      <c r="CK60" s="134"/>
      <c r="CL60" s="134"/>
      <c r="CM60" s="135">
        <f t="shared" si="277"/>
        <v>1</v>
      </c>
      <c r="CN60" s="135">
        <f t="shared" si="277"/>
        <v>1</v>
      </c>
      <c r="CO60" s="134">
        <f>'бюджет округа (района)'!AV60+'бюджеты поселений'!AV60</f>
        <v>0</v>
      </c>
      <c r="CP60" s="137">
        <f>'бюджет округа (района)'!AV60</f>
        <v>0</v>
      </c>
      <c r="CQ60" s="134"/>
      <c r="CR60" s="134"/>
      <c r="CS60" s="135">
        <f t="shared" si="278"/>
        <v>1</v>
      </c>
      <c r="CT60" s="135">
        <f t="shared" si="278"/>
        <v>1</v>
      </c>
      <c r="CU60" s="134">
        <f>'бюджет округа (района)'!AY60+'бюджеты поселений'!AY60</f>
        <v>0</v>
      </c>
      <c r="CV60" s="137">
        <f>'бюджет округа (района)'!AY60</f>
        <v>0</v>
      </c>
      <c r="CW60" s="134"/>
      <c r="CX60" s="134"/>
      <c r="CY60" s="135">
        <f t="shared" si="279"/>
        <v>1</v>
      </c>
      <c r="CZ60" s="135">
        <f t="shared" si="279"/>
        <v>1</v>
      </c>
      <c r="DA60" s="134">
        <f>'бюджет округа (района)'!BB60+'бюджеты поселений'!BB60</f>
        <v>0</v>
      </c>
      <c r="DB60" s="137">
        <f>'бюджет округа (района)'!BB60</f>
        <v>0</v>
      </c>
      <c r="DC60" s="134"/>
      <c r="DD60" s="134"/>
      <c r="DE60" s="135">
        <f t="shared" si="280"/>
        <v>1</v>
      </c>
      <c r="DF60" s="135">
        <f t="shared" si="280"/>
        <v>1</v>
      </c>
      <c r="DG60" s="134">
        <f>'бюджет округа (района)'!BE60+'бюджеты поселений'!BE60</f>
        <v>0</v>
      </c>
      <c r="DH60" s="137">
        <f>'бюджет округа (района)'!BE60</f>
        <v>0</v>
      </c>
      <c r="DI60" s="134"/>
      <c r="DJ60" s="134"/>
      <c r="DK60" s="135">
        <f t="shared" si="281"/>
        <v>1</v>
      </c>
      <c r="DL60" s="135">
        <f t="shared" si="281"/>
        <v>1</v>
      </c>
      <c r="DM60" s="134">
        <f>'бюджет округа (района)'!BH60+'бюджеты поселений'!BH60</f>
        <v>0</v>
      </c>
      <c r="DN60" s="137">
        <f>'бюджет округа (района)'!BH60</f>
        <v>0</v>
      </c>
      <c r="DO60" s="134">
        <f>'бюджет округа (района)'!BI60+'бюджеты поселений'!BI60</f>
        <v>0</v>
      </c>
      <c r="DP60" s="137">
        <f>'бюджет округа (района)'!BI60</f>
        <v>0</v>
      </c>
      <c r="DQ60" s="134">
        <f>'бюджет округа (района)'!BJ60+'бюджеты поселений'!BJ60</f>
        <v>0</v>
      </c>
      <c r="DR60" s="137">
        <f>'бюджет округа (района)'!BJ60</f>
        <v>0</v>
      </c>
      <c r="DS60" s="135">
        <f>IF($AY$60=0,1,DQ60/$AY$60-1)</f>
        <v>1</v>
      </c>
      <c r="DT60" s="135">
        <f>IF($AZ$60=0,1,DR60/$AZ$60-1)</f>
        <v>1</v>
      </c>
      <c r="DU60" s="135">
        <f t="shared" si="58"/>
        <v>1</v>
      </c>
      <c r="DV60" s="135">
        <f t="shared" si="59"/>
        <v>1</v>
      </c>
      <c r="DW60" s="167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</row>
    <row r="61" spans="1:268" s="64" customFormat="1" ht="18" customHeight="1">
      <c r="A61" s="290" t="s">
        <v>123</v>
      </c>
      <c r="B61" s="291"/>
      <c r="C61" s="134">
        <f>'бюджет округа (района)'!C61+'бюджеты поселений'!C61</f>
        <v>0</v>
      </c>
      <c r="D61" s="137">
        <f>'бюджет округа (района)'!C61</f>
        <v>0</v>
      </c>
      <c r="E61" s="134">
        <f t="shared" si="336"/>
        <v>0</v>
      </c>
      <c r="F61" s="137">
        <f t="shared" si="336"/>
        <v>0</v>
      </c>
      <c r="G61" s="134">
        <f>'бюджет округа (района)'!E61+'бюджеты поселений'!E61</f>
        <v>0</v>
      </c>
      <c r="H61" s="137">
        <f>'бюджет округа (района)'!E61</f>
        <v>0</v>
      </c>
      <c r="I61" s="134">
        <f>'бюджет округа (района)'!F61+'бюджеты поселений'!F61</f>
        <v>0</v>
      </c>
      <c r="J61" s="137">
        <f>'бюджет округа (района)'!F61</f>
        <v>0</v>
      </c>
      <c r="K61" s="134">
        <f>G61+I61</f>
        <v>0</v>
      </c>
      <c r="L61" s="134">
        <f>H61+J61</f>
        <v>0</v>
      </c>
      <c r="M61" s="134">
        <f>'бюджет округа (района)'!H61+'бюджеты поселений'!H61</f>
        <v>0</v>
      </c>
      <c r="N61" s="137">
        <f>'бюджет округа (района)'!H61</f>
        <v>0</v>
      </c>
      <c r="O61" s="134">
        <f>K61+M61</f>
        <v>0</v>
      </c>
      <c r="P61" s="134">
        <f>L61+N61</f>
        <v>0</v>
      </c>
      <c r="Q61" s="134">
        <f>'бюджет округа (района)'!J61+'бюджеты поселений'!J61</f>
        <v>0</v>
      </c>
      <c r="R61" s="137">
        <f>'бюджет округа (района)'!J61</f>
        <v>0</v>
      </c>
      <c r="S61" s="134">
        <f>O61+Q61</f>
        <v>0</v>
      </c>
      <c r="T61" s="134">
        <f>P61+R61</f>
        <v>0</v>
      </c>
      <c r="U61" s="134">
        <f>'бюджет округа (района)'!L61+'бюджеты поселений'!L61</f>
        <v>0</v>
      </c>
      <c r="V61" s="137">
        <f>'бюджет округа (района)'!L61</f>
        <v>0</v>
      </c>
      <c r="W61" s="134">
        <f>S61+U61</f>
        <v>0</v>
      </c>
      <c r="X61" s="134">
        <f>T61+V61</f>
        <v>0</v>
      </c>
      <c r="Y61" s="134">
        <f>'бюджет округа (района)'!N61+'бюджеты поселений'!N61</f>
        <v>0</v>
      </c>
      <c r="Z61" s="137">
        <f>'бюджет округа (района)'!N61</f>
        <v>0</v>
      </c>
      <c r="AA61" s="134">
        <f>W61+Y61</f>
        <v>0</v>
      </c>
      <c r="AB61" s="134">
        <f>X61+Z61</f>
        <v>0</v>
      </c>
      <c r="AC61" s="134">
        <f>'бюджет округа (района)'!P61+'бюджеты поселений'!P61</f>
        <v>0</v>
      </c>
      <c r="AD61" s="137">
        <f>'бюджет округа (района)'!P61</f>
        <v>0</v>
      </c>
      <c r="AE61" s="134">
        <f>AA61+AC61</f>
        <v>0</v>
      </c>
      <c r="AF61" s="134">
        <f>AB61+AD61</f>
        <v>0</v>
      </c>
      <c r="AG61" s="134">
        <f>'бюджет округа (района)'!R61+'бюджеты поселений'!R61</f>
        <v>0</v>
      </c>
      <c r="AH61" s="137">
        <f>'бюджет округа (района)'!R61</f>
        <v>0</v>
      </c>
      <c r="AI61" s="134">
        <f>AE61+AG61</f>
        <v>0</v>
      </c>
      <c r="AJ61" s="134">
        <f>AF61+AH61</f>
        <v>0</v>
      </c>
      <c r="AK61" s="134">
        <f>'бюджет округа (района)'!T61+'бюджеты поселений'!T61</f>
        <v>0</v>
      </c>
      <c r="AL61" s="137">
        <f>'бюджет округа (района)'!T61</f>
        <v>0</v>
      </c>
      <c r="AM61" s="134">
        <f>AI61+AK61</f>
        <v>0</v>
      </c>
      <c r="AN61" s="134">
        <f>AJ61+AL61</f>
        <v>0</v>
      </c>
      <c r="AO61" s="134">
        <f>'бюджет округа (района)'!V61+'бюджеты поселений'!V61</f>
        <v>0</v>
      </c>
      <c r="AP61" s="137">
        <f>'бюджет округа (района)'!V61</f>
        <v>0</v>
      </c>
      <c r="AQ61" s="134">
        <f>AM61+AO61</f>
        <v>0</v>
      </c>
      <c r="AR61" s="134">
        <f>AN61+AP61</f>
        <v>0</v>
      </c>
      <c r="AS61" s="134">
        <f>'бюджет округа (района)'!X61+'бюджеты поселений'!X61</f>
        <v>0</v>
      </c>
      <c r="AT61" s="137">
        <f>'бюджет округа (района)'!X61</f>
        <v>0</v>
      </c>
      <c r="AU61" s="134">
        <f>AQ61+AS61</f>
        <v>0</v>
      </c>
      <c r="AV61" s="134">
        <f>AR61+AT61</f>
        <v>0</v>
      </c>
      <c r="AW61" s="134">
        <f>'бюджет округа (района)'!Z61+'бюджеты поселений'!Z61</f>
        <v>0</v>
      </c>
      <c r="AX61" s="137">
        <f>'бюджет округа (района)'!Z61</f>
        <v>0</v>
      </c>
      <c r="AY61" s="134">
        <f>'бюджет округа (района)'!AA61+'бюджеты поселений'!AA61</f>
        <v>0</v>
      </c>
      <c r="AZ61" s="137">
        <f>'бюджет округа (района)'!AA61</f>
        <v>0</v>
      </c>
      <c r="BA61" s="135">
        <f>IF(E61=0,1,AY61/E61-1)</f>
        <v>1</v>
      </c>
      <c r="BB61" s="135">
        <f>IF(F61=0,1,AZ61/F61-1)</f>
        <v>1</v>
      </c>
      <c r="BC61" s="134">
        <f>'бюджет округа (района)'!AC61+'бюджеты поселений'!AC61</f>
        <v>0</v>
      </c>
      <c r="BD61" s="137">
        <f>'бюджет округа (района)'!AC61</f>
        <v>0</v>
      </c>
      <c r="BE61" s="134">
        <f>'бюджет округа (района)'!AD61+'бюджеты поселений'!AD61</f>
        <v>0</v>
      </c>
      <c r="BF61" s="137">
        <f>'бюджет округа (района)'!AD61</f>
        <v>0</v>
      </c>
      <c r="BG61" s="134">
        <f>BC61+BE61</f>
        <v>0</v>
      </c>
      <c r="BH61" s="134">
        <f>BD61+BF61</f>
        <v>0</v>
      </c>
      <c r="BI61" s="135">
        <f>IF(K61=0,1,BG61/K61-1)</f>
        <v>1</v>
      </c>
      <c r="BJ61" s="135">
        <f>IF(L61=0,1,BH61/L61-1)</f>
        <v>1</v>
      </c>
      <c r="BK61" s="134">
        <f>'бюджет округа (района)'!AG61+'бюджеты поселений'!AG61</f>
        <v>0</v>
      </c>
      <c r="BL61" s="137">
        <f>'бюджет округа (района)'!AG61</f>
        <v>0</v>
      </c>
      <c r="BM61" s="134">
        <f>BG61+BK61</f>
        <v>0</v>
      </c>
      <c r="BN61" s="134">
        <f>BH61+BL61</f>
        <v>0</v>
      </c>
      <c r="BO61" s="135">
        <f>IF(O61=0,1,BM61/O61-1)</f>
        <v>1</v>
      </c>
      <c r="BP61" s="135">
        <f>IF(P61=0,1,BN61/P61-1)</f>
        <v>1</v>
      </c>
      <c r="BQ61" s="134">
        <f>'бюджет округа (района)'!AJ61+'бюджеты поселений'!AJ61</f>
        <v>0</v>
      </c>
      <c r="BR61" s="137">
        <f>'бюджет округа (района)'!AJ61</f>
        <v>0</v>
      </c>
      <c r="BS61" s="134">
        <f>BM61+BQ61</f>
        <v>0</v>
      </c>
      <c r="BT61" s="134">
        <f>BN61+BR61</f>
        <v>0</v>
      </c>
      <c r="BU61" s="135">
        <f>IF(S61=0,1,BS61/S61-1)</f>
        <v>1</v>
      </c>
      <c r="BV61" s="135">
        <f>IF(T61=0,1,BT61/T61-1)</f>
        <v>1</v>
      </c>
      <c r="BW61" s="134">
        <f>'бюджет округа (района)'!AM61+'бюджеты поселений'!AM61</f>
        <v>0</v>
      </c>
      <c r="BX61" s="137">
        <f>'бюджет округа (района)'!AM61</f>
        <v>0</v>
      </c>
      <c r="BY61" s="134">
        <f>BS61+BW61</f>
        <v>0</v>
      </c>
      <c r="BZ61" s="134">
        <f>BT61+BX61</f>
        <v>0</v>
      </c>
      <c r="CA61" s="135">
        <f>IF(W61=0,1,BY61/W61-1)</f>
        <v>1</v>
      </c>
      <c r="CB61" s="135">
        <f>IF(X61=0,1,BZ61/X61-1)</f>
        <v>1</v>
      </c>
      <c r="CC61" s="134">
        <f>'бюджет округа (района)'!AP61+'бюджеты поселений'!AP61</f>
        <v>0</v>
      </c>
      <c r="CD61" s="137">
        <f>'бюджет округа (района)'!AP61</f>
        <v>0</v>
      </c>
      <c r="CE61" s="134">
        <f>BY61+CC61</f>
        <v>0</v>
      </c>
      <c r="CF61" s="134">
        <f>BZ61+CD61</f>
        <v>0</v>
      </c>
      <c r="CG61" s="135">
        <f>IF(AA61=0,1,CE61/AA61-1)</f>
        <v>1</v>
      </c>
      <c r="CH61" s="135">
        <f>IF(AB61=0,1,CF61/AB61-1)</f>
        <v>1</v>
      </c>
      <c r="CI61" s="134">
        <f>'бюджет округа (района)'!AS61+'бюджеты поселений'!AS61</f>
        <v>0</v>
      </c>
      <c r="CJ61" s="137">
        <f>'бюджет округа (района)'!AS61</f>
        <v>0</v>
      </c>
      <c r="CK61" s="134">
        <f>CE61+CI61</f>
        <v>0</v>
      </c>
      <c r="CL61" s="134">
        <f>CF61+CJ61</f>
        <v>0</v>
      </c>
      <c r="CM61" s="135">
        <f>IF(AE61=0,1,CK61/AE61-1)</f>
        <v>1</v>
      </c>
      <c r="CN61" s="135">
        <f>IF(AF61=0,1,CL61/AF61-1)</f>
        <v>1</v>
      </c>
      <c r="CO61" s="134">
        <f>'бюджет округа (района)'!AV61+'бюджеты поселений'!AV61</f>
        <v>0</v>
      </c>
      <c r="CP61" s="137">
        <f>'бюджет округа (района)'!AV61</f>
        <v>0</v>
      </c>
      <c r="CQ61" s="134">
        <f>CK61+CO61</f>
        <v>0</v>
      </c>
      <c r="CR61" s="134">
        <f>CL61+CP61</f>
        <v>0</v>
      </c>
      <c r="CS61" s="135">
        <f>IF(AI61=0,1,CQ61/AI61-1)</f>
        <v>1</v>
      </c>
      <c r="CT61" s="135">
        <f>IF(AJ61=0,1,CR61/AJ61-1)</f>
        <v>1</v>
      </c>
      <c r="CU61" s="134">
        <f>'бюджет округа (района)'!AY61+'бюджеты поселений'!AY61</f>
        <v>0</v>
      </c>
      <c r="CV61" s="137">
        <f>'бюджет округа (района)'!AY61</f>
        <v>0</v>
      </c>
      <c r="CW61" s="134">
        <f>CQ61+CU61</f>
        <v>0</v>
      </c>
      <c r="CX61" s="134">
        <f>CR61+CV61</f>
        <v>0</v>
      </c>
      <c r="CY61" s="135">
        <f>IF(AM61=0,1,CW61/AM61-1)</f>
        <v>1</v>
      </c>
      <c r="CZ61" s="135">
        <f>IF(AN61=0,1,CX61/AN61-1)</f>
        <v>1</v>
      </c>
      <c r="DA61" s="134">
        <f>'бюджет округа (района)'!BB61+'бюджеты поселений'!BB61</f>
        <v>0</v>
      </c>
      <c r="DB61" s="137">
        <f>'бюджет округа (района)'!BB61</f>
        <v>0</v>
      </c>
      <c r="DC61" s="134">
        <f>CW61+DA61</f>
        <v>0</v>
      </c>
      <c r="DD61" s="134">
        <f>CX61+DB61</f>
        <v>0</v>
      </c>
      <c r="DE61" s="135">
        <f>IF(AQ61=0,1,DC61/AQ61-1)</f>
        <v>1</v>
      </c>
      <c r="DF61" s="135">
        <f>IF(AR61=0,1,DD61/AR61-1)</f>
        <v>1</v>
      </c>
      <c r="DG61" s="134">
        <f>'бюджет округа (района)'!BE61+'бюджеты поселений'!BE61</f>
        <v>0</v>
      </c>
      <c r="DH61" s="137">
        <f>'бюджет округа (района)'!BE61</f>
        <v>0</v>
      </c>
      <c r="DI61" s="134">
        <f>DC61+DG61</f>
        <v>0</v>
      </c>
      <c r="DJ61" s="134">
        <f>DD61+DH61</f>
        <v>0</v>
      </c>
      <c r="DK61" s="135">
        <f>IF(AU61=0,1,DI61/AU61-1)</f>
        <v>1</v>
      </c>
      <c r="DL61" s="135">
        <f>IF(AV61=0,1,DJ61/AV61-1)</f>
        <v>1</v>
      </c>
      <c r="DM61" s="134">
        <f>'бюджет округа (района)'!BH61+'бюджеты поселений'!BH61</f>
        <v>0</v>
      </c>
      <c r="DN61" s="137">
        <f>'бюджет округа (района)'!BH61</f>
        <v>0</v>
      </c>
      <c r="DO61" s="134">
        <f>'бюджет округа (района)'!BI61+'бюджеты поселений'!BI61</f>
        <v>0</v>
      </c>
      <c r="DP61" s="137">
        <f>'бюджет округа (района)'!BI61</f>
        <v>0</v>
      </c>
      <c r="DQ61" s="134">
        <f>'бюджет округа (района)'!BJ61+'бюджеты поселений'!BJ61</f>
        <v>0</v>
      </c>
      <c r="DR61" s="137">
        <f>'бюджет округа (района)'!BJ61</f>
        <v>0</v>
      </c>
      <c r="DS61" s="135">
        <f>IF($AY$61=0,1,DQ61/$AY$61-1)</f>
        <v>1</v>
      </c>
      <c r="DT61" s="135">
        <f>IF($AZ$61=0,1,DR61/$AZ$61-1)</f>
        <v>1</v>
      </c>
      <c r="DU61" s="135">
        <f t="shared" si="58"/>
        <v>1</v>
      </c>
      <c r="DV61" s="135">
        <f t="shared" si="59"/>
        <v>1</v>
      </c>
      <c r="DW61" s="167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</row>
    <row r="62" spans="1:268" s="64" customFormat="1" ht="18" customHeight="1">
      <c r="A62" s="290" t="s">
        <v>124</v>
      </c>
      <c r="B62" s="291"/>
      <c r="C62" s="134">
        <f>'бюджет округа (района)'!C62+'бюджеты поселений'!C62</f>
        <v>0</v>
      </c>
      <c r="D62" s="137">
        <f>'бюджет округа (района)'!C62</f>
        <v>0</v>
      </c>
      <c r="E62" s="134">
        <f t="shared" si="336"/>
        <v>0</v>
      </c>
      <c r="F62" s="137">
        <f t="shared" si="336"/>
        <v>0</v>
      </c>
      <c r="G62" s="134">
        <f>'бюджет округа (района)'!E62+'бюджеты поселений'!E62</f>
        <v>0</v>
      </c>
      <c r="H62" s="137">
        <f>'бюджет округа (района)'!E62</f>
        <v>0</v>
      </c>
      <c r="I62" s="134">
        <f>'бюджет округа (района)'!F62+'бюджеты поселений'!F62</f>
        <v>0</v>
      </c>
      <c r="J62" s="137">
        <f>'бюджет округа (района)'!F62</f>
        <v>0</v>
      </c>
      <c r="K62" s="134">
        <f t="shared" si="301"/>
        <v>0</v>
      </c>
      <c r="L62" s="134">
        <f t="shared" si="301"/>
        <v>0</v>
      </c>
      <c r="M62" s="134">
        <f>'бюджет округа (района)'!H62+'бюджеты поселений'!H62</f>
        <v>0</v>
      </c>
      <c r="N62" s="137">
        <f>'бюджет округа (района)'!H62</f>
        <v>0</v>
      </c>
      <c r="O62" s="134"/>
      <c r="P62" s="134"/>
      <c r="Q62" s="134">
        <f>'бюджет округа (района)'!J62+'бюджеты поселений'!J62</f>
        <v>0</v>
      </c>
      <c r="R62" s="137">
        <f>'бюджет округа (района)'!J62</f>
        <v>0</v>
      </c>
      <c r="S62" s="134"/>
      <c r="T62" s="134"/>
      <c r="U62" s="134">
        <f>'бюджет округа (района)'!L62+'бюджеты поселений'!L62</f>
        <v>0</v>
      </c>
      <c r="V62" s="137">
        <f>'бюджет округа (района)'!L62</f>
        <v>0</v>
      </c>
      <c r="W62" s="134"/>
      <c r="X62" s="134"/>
      <c r="Y62" s="134">
        <f>'бюджет округа (района)'!N62+'бюджеты поселений'!N62</f>
        <v>0</v>
      </c>
      <c r="Z62" s="137">
        <f>'бюджет округа (района)'!N62</f>
        <v>0</v>
      </c>
      <c r="AA62" s="134"/>
      <c r="AB62" s="134"/>
      <c r="AC62" s="134">
        <f>'бюджет округа (района)'!P62+'бюджеты поселений'!P62</f>
        <v>0</v>
      </c>
      <c r="AD62" s="137">
        <f>'бюджет округа (района)'!P62</f>
        <v>0</v>
      </c>
      <c r="AE62" s="134"/>
      <c r="AF62" s="134"/>
      <c r="AG62" s="134">
        <f>'бюджет округа (района)'!R62+'бюджеты поселений'!R62</f>
        <v>0</v>
      </c>
      <c r="AH62" s="137">
        <f>'бюджет округа (района)'!R62</f>
        <v>0</v>
      </c>
      <c r="AI62" s="134"/>
      <c r="AJ62" s="134"/>
      <c r="AK62" s="134">
        <f>'бюджет округа (района)'!T62+'бюджеты поселений'!T62</f>
        <v>0</v>
      </c>
      <c r="AL62" s="137">
        <f>'бюджет округа (района)'!T62</f>
        <v>0</v>
      </c>
      <c r="AM62" s="134"/>
      <c r="AN62" s="134"/>
      <c r="AO62" s="134">
        <f>'бюджет округа (района)'!V62+'бюджеты поселений'!V62</f>
        <v>0</v>
      </c>
      <c r="AP62" s="137">
        <f>'бюджет округа (района)'!V62</f>
        <v>0</v>
      </c>
      <c r="AQ62" s="134"/>
      <c r="AR62" s="134"/>
      <c r="AS62" s="134">
        <f>'бюджет округа (района)'!X62+'бюджеты поселений'!X62</f>
        <v>0</v>
      </c>
      <c r="AT62" s="137">
        <f>'бюджет округа (района)'!X62</f>
        <v>0</v>
      </c>
      <c r="AU62" s="134"/>
      <c r="AV62" s="134"/>
      <c r="AW62" s="134">
        <f>'бюджет округа (района)'!Z62+'бюджеты поселений'!Z62</f>
        <v>0</v>
      </c>
      <c r="AX62" s="137">
        <f>'бюджет округа (района)'!Z62</f>
        <v>0</v>
      </c>
      <c r="AY62" s="134">
        <f>'бюджет округа (района)'!AA62+'бюджеты поселений'!AA62</f>
        <v>0</v>
      </c>
      <c r="AZ62" s="137">
        <f>'бюджет округа (района)'!AA62</f>
        <v>0</v>
      </c>
      <c r="BA62" s="135">
        <f t="shared" si="355"/>
        <v>1</v>
      </c>
      <c r="BB62" s="135">
        <f t="shared" si="355"/>
        <v>1</v>
      </c>
      <c r="BC62" s="134">
        <f>'бюджет округа (района)'!AC62+'бюджеты поселений'!AC62</f>
        <v>0</v>
      </c>
      <c r="BD62" s="137">
        <f>'бюджет округа (района)'!AC62</f>
        <v>0</v>
      </c>
      <c r="BE62" s="134">
        <f>'бюджет округа (района)'!AD62+'бюджеты поселений'!AD62</f>
        <v>0</v>
      </c>
      <c r="BF62" s="137">
        <f>'бюджет округа (района)'!AD62</f>
        <v>0</v>
      </c>
      <c r="BG62" s="134">
        <f t="shared" si="302"/>
        <v>0</v>
      </c>
      <c r="BH62" s="134">
        <f t="shared" si="302"/>
        <v>0</v>
      </c>
      <c r="BI62" s="135">
        <f t="shared" si="272"/>
        <v>1</v>
      </c>
      <c r="BJ62" s="135">
        <f t="shared" si="272"/>
        <v>1</v>
      </c>
      <c r="BK62" s="134">
        <f>'бюджет округа (района)'!AG62+'бюджеты поселений'!AG62</f>
        <v>0</v>
      </c>
      <c r="BL62" s="137">
        <f>'бюджет округа (района)'!AG62</f>
        <v>0</v>
      </c>
      <c r="BM62" s="134"/>
      <c r="BN62" s="134"/>
      <c r="BO62" s="135">
        <f t="shared" si="273"/>
        <v>1</v>
      </c>
      <c r="BP62" s="135">
        <f t="shared" si="273"/>
        <v>1</v>
      </c>
      <c r="BQ62" s="134">
        <f>'бюджет округа (района)'!AJ62+'бюджеты поселений'!AJ62</f>
        <v>0</v>
      </c>
      <c r="BR62" s="137">
        <f>'бюджет округа (района)'!AJ62</f>
        <v>0</v>
      </c>
      <c r="BS62" s="134"/>
      <c r="BT62" s="134"/>
      <c r="BU62" s="135">
        <f t="shared" si="274"/>
        <v>1</v>
      </c>
      <c r="BV62" s="135">
        <f t="shared" si="274"/>
        <v>1</v>
      </c>
      <c r="BW62" s="134">
        <f>'бюджет округа (района)'!AM62+'бюджеты поселений'!AM62</f>
        <v>0</v>
      </c>
      <c r="BX62" s="137">
        <f>'бюджет округа (района)'!AM62</f>
        <v>0</v>
      </c>
      <c r="BY62" s="134"/>
      <c r="BZ62" s="134"/>
      <c r="CA62" s="135">
        <f t="shared" si="275"/>
        <v>1</v>
      </c>
      <c r="CB62" s="135">
        <f t="shared" si="275"/>
        <v>1</v>
      </c>
      <c r="CC62" s="134">
        <f>'бюджет округа (района)'!AP62+'бюджеты поселений'!AP62</f>
        <v>0</v>
      </c>
      <c r="CD62" s="137">
        <f>'бюджет округа (района)'!AP62</f>
        <v>0</v>
      </c>
      <c r="CE62" s="134"/>
      <c r="CF62" s="134"/>
      <c r="CG62" s="135">
        <f t="shared" si="276"/>
        <v>1</v>
      </c>
      <c r="CH62" s="135">
        <f t="shared" si="276"/>
        <v>1</v>
      </c>
      <c r="CI62" s="134">
        <f>'бюджет округа (района)'!AS62+'бюджеты поселений'!AS62</f>
        <v>0</v>
      </c>
      <c r="CJ62" s="137">
        <f>'бюджет округа (района)'!AS62</f>
        <v>0</v>
      </c>
      <c r="CK62" s="134"/>
      <c r="CL62" s="134"/>
      <c r="CM62" s="135">
        <f t="shared" si="277"/>
        <v>1</v>
      </c>
      <c r="CN62" s="135">
        <f t="shared" si="277"/>
        <v>1</v>
      </c>
      <c r="CO62" s="134">
        <f>'бюджет округа (района)'!AV62+'бюджеты поселений'!AV62</f>
        <v>0</v>
      </c>
      <c r="CP62" s="137">
        <f>'бюджет округа (района)'!AV62</f>
        <v>0</v>
      </c>
      <c r="CQ62" s="134"/>
      <c r="CR62" s="134"/>
      <c r="CS62" s="135">
        <f t="shared" si="278"/>
        <v>1</v>
      </c>
      <c r="CT62" s="135">
        <f t="shared" si="278"/>
        <v>1</v>
      </c>
      <c r="CU62" s="134">
        <f>'бюджет округа (района)'!AY62+'бюджеты поселений'!AY62</f>
        <v>0</v>
      </c>
      <c r="CV62" s="137">
        <f>'бюджет округа (района)'!AY62</f>
        <v>0</v>
      </c>
      <c r="CW62" s="134"/>
      <c r="CX62" s="134"/>
      <c r="CY62" s="135">
        <f t="shared" si="279"/>
        <v>1</v>
      </c>
      <c r="CZ62" s="135">
        <f t="shared" si="279"/>
        <v>1</v>
      </c>
      <c r="DA62" s="134">
        <f>'бюджет округа (района)'!BB62+'бюджеты поселений'!BB62</f>
        <v>0</v>
      </c>
      <c r="DB62" s="137">
        <f>'бюджет округа (района)'!BB62</f>
        <v>0</v>
      </c>
      <c r="DC62" s="134"/>
      <c r="DD62" s="134"/>
      <c r="DE62" s="135">
        <f t="shared" si="280"/>
        <v>1</v>
      </c>
      <c r="DF62" s="135">
        <f t="shared" si="280"/>
        <v>1</v>
      </c>
      <c r="DG62" s="134">
        <f>'бюджет округа (района)'!BE62+'бюджеты поселений'!BE62</f>
        <v>0</v>
      </c>
      <c r="DH62" s="137">
        <f>'бюджет округа (района)'!BE62</f>
        <v>0</v>
      </c>
      <c r="DI62" s="134"/>
      <c r="DJ62" s="134"/>
      <c r="DK62" s="135">
        <f t="shared" si="281"/>
        <v>1</v>
      </c>
      <c r="DL62" s="135">
        <f t="shared" si="281"/>
        <v>1</v>
      </c>
      <c r="DM62" s="134">
        <f>'бюджет округа (района)'!BH62+'бюджеты поселений'!BH62</f>
        <v>0</v>
      </c>
      <c r="DN62" s="137">
        <f>'бюджет округа (района)'!BH62</f>
        <v>0</v>
      </c>
      <c r="DO62" s="134">
        <f>'бюджет округа (района)'!BI62+'бюджеты поселений'!BI62</f>
        <v>0</v>
      </c>
      <c r="DP62" s="137">
        <f>'бюджет округа (района)'!BI62</f>
        <v>0</v>
      </c>
      <c r="DQ62" s="134">
        <f>'бюджет округа (района)'!BJ62+'бюджеты поселений'!BJ62</f>
        <v>0</v>
      </c>
      <c r="DR62" s="137">
        <f>'бюджет округа (района)'!BJ62</f>
        <v>0</v>
      </c>
      <c r="DS62" s="135">
        <f>IF($AY$62=0,1,DQ62/$AY$62-1)</f>
        <v>1</v>
      </c>
      <c r="DT62" s="135">
        <f>IF($AZ$62=0,1,DR62/$AZ$62-1)</f>
        <v>1</v>
      </c>
      <c r="DU62" s="135">
        <f t="shared" si="58"/>
        <v>1</v>
      </c>
      <c r="DV62" s="135">
        <f t="shared" si="59"/>
        <v>1</v>
      </c>
      <c r="DW62" s="167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  <c r="JE62" s="63"/>
      <c r="JF62" s="63"/>
      <c r="JG62" s="63"/>
      <c r="JH62" s="63"/>
    </row>
    <row r="63" spans="1:268" s="64" customFormat="1" ht="18.75" customHeight="1">
      <c r="A63" s="290" t="s">
        <v>133</v>
      </c>
      <c r="B63" s="291"/>
      <c r="C63" s="134">
        <f>'бюджет округа (района)'!C63+'бюджеты поселений'!C63</f>
        <v>0</v>
      </c>
      <c r="D63" s="137">
        <f>'бюджет округа (района)'!C63</f>
        <v>0</v>
      </c>
      <c r="E63" s="134">
        <f t="shared" si="336"/>
        <v>0</v>
      </c>
      <c r="F63" s="137">
        <f t="shared" si="336"/>
        <v>0</v>
      </c>
      <c r="G63" s="134">
        <f>'бюджет округа (района)'!E63+'бюджеты поселений'!E63</f>
        <v>0</v>
      </c>
      <c r="H63" s="137">
        <f>'бюджет округа (района)'!E63</f>
        <v>0</v>
      </c>
      <c r="I63" s="134">
        <f>'бюджет округа (района)'!F63+'бюджеты поселений'!F63</f>
        <v>0</v>
      </c>
      <c r="J63" s="137">
        <f>'бюджет округа (района)'!F63</f>
        <v>0</v>
      </c>
      <c r="K63" s="134">
        <f t="shared" ref="K63:L73" si="356">G63+I63</f>
        <v>0</v>
      </c>
      <c r="L63" s="134">
        <f t="shared" si="356"/>
        <v>0</v>
      </c>
      <c r="M63" s="134">
        <f>'бюджет округа (района)'!H63+'бюджеты поселений'!H63</f>
        <v>0</v>
      </c>
      <c r="N63" s="137">
        <f>'бюджет округа (района)'!H63</f>
        <v>0</v>
      </c>
      <c r="O63" s="134"/>
      <c r="P63" s="134"/>
      <c r="Q63" s="134">
        <f>'бюджет округа (района)'!J63+'бюджеты поселений'!J63</f>
        <v>0</v>
      </c>
      <c r="R63" s="137">
        <f>'бюджет округа (района)'!J63</f>
        <v>0</v>
      </c>
      <c r="S63" s="134"/>
      <c r="T63" s="134"/>
      <c r="U63" s="134">
        <f>'бюджет округа (района)'!L63+'бюджеты поселений'!L63</f>
        <v>0</v>
      </c>
      <c r="V63" s="137">
        <f>'бюджет округа (района)'!L63</f>
        <v>0</v>
      </c>
      <c r="W63" s="134"/>
      <c r="X63" s="134"/>
      <c r="Y63" s="134">
        <f>'бюджет округа (района)'!N63+'бюджеты поселений'!N63</f>
        <v>0</v>
      </c>
      <c r="Z63" s="137">
        <f>'бюджет округа (района)'!N63</f>
        <v>0</v>
      </c>
      <c r="AA63" s="134"/>
      <c r="AB63" s="134"/>
      <c r="AC63" s="134">
        <f>'бюджет округа (района)'!P63+'бюджеты поселений'!P63</f>
        <v>0</v>
      </c>
      <c r="AD63" s="137">
        <f>'бюджет округа (района)'!P63</f>
        <v>0</v>
      </c>
      <c r="AE63" s="134"/>
      <c r="AF63" s="134"/>
      <c r="AG63" s="134">
        <f>'бюджет округа (района)'!R63+'бюджеты поселений'!R63</f>
        <v>0</v>
      </c>
      <c r="AH63" s="137">
        <f>'бюджет округа (района)'!R63</f>
        <v>0</v>
      </c>
      <c r="AI63" s="134"/>
      <c r="AJ63" s="134"/>
      <c r="AK63" s="134">
        <f>'бюджет округа (района)'!T63+'бюджеты поселений'!T63</f>
        <v>0</v>
      </c>
      <c r="AL63" s="137">
        <f>'бюджет округа (района)'!T63</f>
        <v>0</v>
      </c>
      <c r="AM63" s="134"/>
      <c r="AN63" s="134"/>
      <c r="AO63" s="134">
        <f>'бюджет округа (района)'!V63+'бюджеты поселений'!V63</f>
        <v>0</v>
      </c>
      <c r="AP63" s="137">
        <f>'бюджет округа (района)'!V63</f>
        <v>0</v>
      </c>
      <c r="AQ63" s="134"/>
      <c r="AR63" s="134"/>
      <c r="AS63" s="134">
        <f>'бюджет округа (района)'!X63+'бюджеты поселений'!X63</f>
        <v>0</v>
      </c>
      <c r="AT63" s="137">
        <f>'бюджет округа (района)'!X63</f>
        <v>0</v>
      </c>
      <c r="AU63" s="134"/>
      <c r="AV63" s="134"/>
      <c r="AW63" s="134">
        <f>'бюджет округа (района)'!Z63+'бюджеты поселений'!Z63</f>
        <v>0</v>
      </c>
      <c r="AX63" s="137">
        <f>'бюджет округа (района)'!Z63</f>
        <v>0</v>
      </c>
      <c r="AY63" s="134">
        <f>'бюджет округа (района)'!AA63+'бюджеты поселений'!AA63</f>
        <v>0</v>
      </c>
      <c r="AZ63" s="137">
        <f>'бюджет округа (района)'!AA63</f>
        <v>0</v>
      </c>
      <c r="BA63" s="135">
        <f t="shared" si="355"/>
        <v>1</v>
      </c>
      <c r="BB63" s="135">
        <f t="shared" si="355"/>
        <v>1</v>
      </c>
      <c r="BC63" s="134">
        <f>'бюджет округа (района)'!AC63+'бюджеты поселений'!AC63</f>
        <v>0</v>
      </c>
      <c r="BD63" s="137">
        <f>'бюджет округа (района)'!AC63</f>
        <v>0</v>
      </c>
      <c r="BE63" s="134">
        <f>'бюджет округа (района)'!AD63+'бюджеты поселений'!AD63</f>
        <v>0</v>
      </c>
      <c r="BF63" s="137">
        <f>'бюджет округа (района)'!AD63</f>
        <v>0</v>
      </c>
      <c r="BG63" s="134">
        <f t="shared" ref="BG63:BH73" si="357">BC63+BE63</f>
        <v>0</v>
      </c>
      <c r="BH63" s="134">
        <f t="shared" si="357"/>
        <v>0</v>
      </c>
      <c r="BI63" s="135">
        <f t="shared" ref="BI63:BJ73" si="358">IF(K63=0,1,BG63/K63-1)</f>
        <v>1</v>
      </c>
      <c r="BJ63" s="135">
        <f t="shared" si="358"/>
        <v>1</v>
      </c>
      <c r="BK63" s="134">
        <f>'бюджет округа (района)'!AG63+'бюджеты поселений'!AG63</f>
        <v>0</v>
      </c>
      <c r="BL63" s="137">
        <f>'бюджет округа (района)'!AG63</f>
        <v>0</v>
      </c>
      <c r="BM63" s="134"/>
      <c r="BN63" s="134"/>
      <c r="BO63" s="135">
        <f t="shared" ref="BO63:BP73" si="359">IF(O63=0,1,BM63/O63-1)</f>
        <v>1</v>
      </c>
      <c r="BP63" s="135">
        <f t="shared" si="359"/>
        <v>1</v>
      </c>
      <c r="BQ63" s="134">
        <f>'бюджет округа (района)'!AJ63+'бюджеты поселений'!AJ63</f>
        <v>0</v>
      </c>
      <c r="BR63" s="137">
        <f>'бюджет округа (района)'!AJ63</f>
        <v>0</v>
      </c>
      <c r="BS63" s="134"/>
      <c r="BT63" s="134"/>
      <c r="BU63" s="135">
        <f t="shared" ref="BU63:BV73" si="360">IF(S63=0,1,BS63/S63-1)</f>
        <v>1</v>
      </c>
      <c r="BV63" s="135">
        <f t="shared" si="360"/>
        <v>1</v>
      </c>
      <c r="BW63" s="134">
        <f>'бюджет округа (района)'!AM63+'бюджеты поселений'!AM63</f>
        <v>0</v>
      </c>
      <c r="BX63" s="137">
        <f>'бюджет округа (района)'!AM63</f>
        <v>0</v>
      </c>
      <c r="BY63" s="134"/>
      <c r="BZ63" s="134"/>
      <c r="CA63" s="135">
        <f t="shared" ref="CA63:CB73" si="361">IF(W63=0,1,BY63/W63-1)</f>
        <v>1</v>
      </c>
      <c r="CB63" s="135">
        <f t="shared" si="361"/>
        <v>1</v>
      </c>
      <c r="CC63" s="134">
        <f>'бюджет округа (района)'!AP63+'бюджеты поселений'!AP63</f>
        <v>0</v>
      </c>
      <c r="CD63" s="137">
        <f>'бюджет округа (района)'!AP63</f>
        <v>0</v>
      </c>
      <c r="CE63" s="134"/>
      <c r="CF63" s="134"/>
      <c r="CG63" s="135">
        <f t="shared" ref="CG63:CH73" si="362">IF(AA63=0,1,CE63/AA63-1)</f>
        <v>1</v>
      </c>
      <c r="CH63" s="135">
        <f t="shared" si="362"/>
        <v>1</v>
      </c>
      <c r="CI63" s="134">
        <f>'бюджет округа (района)'!AS63+'бюджеты поселений'!AS63</f>
        <v>0</v>
      </c>
      <c r="CJ63" s="137">
        <f>'бюджет округа (района)'!AS63</f>
        <v>0</v>
      </c>
      <c r="CK63" s="134"/>
      <c r="CL63" s="134"/>
      <c r="CM63" s="135">
        <f t="shared" ref="CM63:CN73" si="363">IF(AE63=0,1,CK63/AE63-1)</f>
        <v>1</v>
      </c>
      <c r="CN63" s="135">
        <f t="shared" si="363"/>
        <v>1</v>
      </c>
      <c r="CO63" s="134">
        <f>'бюджет округа (района)'!AV63+'бюджеты поселений'!AV63</f>
        <v>0</v>
      </c>
      <c r="CP63" s="137">
        <f>'бюджет округа (района)'!AV63</f>
        <v>0</v>
      </c>
      <c r="CQ63" s="134"/>
      <c r="CR63" s="134"/>
      <c r="CS63" s="135">
        <f t="shared" ref="CS63:CT73" si="364">IF(AI63=0,1,CQ63/AI63-1)</f>
        <v>1</v>
      </c>
      <c r="CT63" s="135">
        <f t="shared" si="364"/>
        <v>1</v>
      </c>
      <c r="CU63" s="134">
        <f>'бюджет округа (района)'!AY63+'бюджеты поселений'!AY63</f>
        <v>0</v>
      </c>
      <c r="CV63" s="137">
        <f>'бюджет округа (района)'!AY63</f>
        <v>0</v>
      </c>
      <c r="CW63" s="134"/>
      <c r="CX63" s="134"/>
      <c r="CY63" s="135">
        <f t="shared" ref="CY63:CZ73" si="365">IF(AM63=0,1,CW63/AM63-1)</f>
        <v>1</v>
      </c>
      <c r="CZ63" s="135">
        <f t="shared" si="365"/>
        <v>1</v>
      </c>
      <c r="DA63" s="134">
        <f>'бюджет округа (района)'!BB63+'бюджеты поселений'!BB63</f>
        <v>0</v>
      </c>
      <c r="DB63" s="137">
        <f>'бюджет округа (района)'!BB63</f>
        <v>0</v>
      </c>
      <c r="DC63" s="134"/>
      <c r="DD63" s="134"/>
      <c r="DE63" s="135">
        <f t="shared" ref="DE63:DF73" si="366">IF(AQ63=0,1,DC63/AQ63-1)</f>
        <v>1</v>
      </c>
      <c r="DF63" s="135">
        <f t="shared" si="366"/>
        <v>1</v>
      </c>
      <c r="DG63" s="134">
        <f>'бюджет округа (района)'!BE63+'бюджеты поселений'!BE63</f>
        <v>0</v>
      </c>
      <c r="DH63" s="137">
        <f>'бюджет округа (района)'!BE63</f>
        <v>0</v>
      </c>
      <c r="DI63" s="134"/>
      <c r="DJ63" s="134"/>
      <c r="DK63" s="135">
        <f t="shared" ref="DK63:DL73" si="367">IF(AU63=0,1,DI63/AU63-1)</f>
        <v>1</v>
      </c>
      <c r="DL63" s="135">
        <f t="shared" si="367"/>
        <v>1</v>
      </c>
      <c r="DM63" s="134">
        <f>'бюджет округа (района)'!BH63+'бюджеты поселений'!BH63</f>
        <v>0</v>
      </c>
      <c r="DN63" s="137">
        <f>'бюджет округа (района)'!BH63</f>
        <v>0</v>
      </c>
      <c r="DO63" s="134">
        <f>'бюджет округа (района)'!BI63+'бюджеты поселений'!BI63</f>
        <v>0</v>
      </c>
      <c r="DP63" s="137">
        <f>'бюджет округа (района)'!BI63</f>
        <v>0</v>
      </c>
      <c r="DQ63" s="134">
        <f>'бюджет округа (района)'!BJ63+'бюджеты поселений'!BJ63</f>
        <v>0</v>
      </c>
      <c r="DR63" s="137">
        <f>'бюджет округа (района)'!BJ63</f>
        <v>0</v>
      </c>
      <c r="DS63" s="135">
        <f>IF($AY$63=0,1,DQ63/$AY$63-1)</f>
        <v>1</v>
      </c>
      <c r="DT63" s="135">
        <f>IF($AZ$63=0,1,DR63/$AZ$63-1)</f>
        <v>1</v>
      </c>
      <c r="DU63" s="135">
        <f t="shared" si="58"/>
        <v>1</v>
      </c>
      <c r="DV63" s="135">
        <f t="shared" si="59"/>
        <v>1</v>
      </c>
      <c r="DW63" s="167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  <c r="JE63" s="63"/>
      <c r="JF63" s="63"/>
      <c r="JG63" s="63"/>
      <c r="JH63" s="63"/>
    </row>
    <row r="64" spans="1:268" s="64" customFormat="1" ht="18.75" hidden="1" customHeight="1">
      <c r="A64" s="33"/>
      <c r="B64" s="174"/>
      <c r="C64" s="134">
        <f>'бюджет округа (района)'!C64+'бюджеты поселений'!C64</f>
        <v>0</v>
      </c>
      <c r="D64" s="137">
        <f>'бюджет округа (района)'!C64</f>
        <v>0</v>
      </c>
      <c r="E64" s="134">
        <f t="shared" si="336"/>
        <v>0</v>
      </c>
      <c r="F64" s="137">
        <f t="shared" si="336"/>
        <v>0</v>
      </c>
      <c r="G64" s="134">
        <f>'бюджет округа (района)'!E64+'бюджеты поселений'!E64</f>
        <v>0</v>
      </c>
      <c r="H64" s="137">
        <f>'бюджет округа (района)'!E64</f>
        <v>0</v>
      </c>
      <c r="I64" s="134">
        <f>'бюджет округа (района)'!F64+'бюджеты поселений'!F64</f>
        <v>0</v>
      </c>
      <c r="J64" s="137">
        <f>'бюджет округа (района)'!F64</f>
        <v>0</v>
      </c>
      <c r="K64" s="134">
        <f t="shared" si="356"/>
        <v>0</v>
      </c>
      <c r="L64" s="134">
        <f t="shared" si="356"/>
        <v>0</v>
      </c>
      <c r="M64" s="134">
        <f>'бюджет округа (района)'!H64+'бюджеты поселений'!H64</f>
        <v>0</v>
      </c>
      <c r="N64" s="137">
        <f>'бюджет округа (района)'!H64</f>
        <v>0</v>
      </c>
      <c r="O64" s="134"/>
      <c r="P64" s="134"/>
      <c r="Q64" s="134">
        <f>'бюджет округа (района)'!J64+'бюджеты поселений'!J64</f>
        <v>0</v>
      </c>
      <c r="R64" s="137">
        <f>'бюджет округа (района)'!J64</f>
        <v>0</v>
      </c>
      <c r="S64" s="134"/>
      <c r="T64" s="134"/>
      <c r="U64" s="134">
        <f>'бюджет округа (района)'!L64+'бюджеты поселений'!L64</f>
        <v>0</v>
      </c>
      <c r="V64" s="137">
        <f>'бюджет округа (района)'!L64</f>
        <v>0</v>
      </c>
      <c r="W64" s="134"/>
      <c r="X64" s="134"/>
      <c r="Y64" s="134">
        <f>'бюджет округа (района)'!N64+'бюджеты поселений'!N64</f>
        <v>0</v>
      </c>
      <c r="Z64" s="137">
        <f>'бюджет округа (района)'!N64</f>
        <v>0</v>
      </c>
      <c r="AA64" s="134"/>
      <c r="AB64" s="134"/>
      <c r="AC64" s="134">
        <f>'бюджет округа (района)'!P64+'бюджеты поселений'!P64</f>
        <v>0</v>
      </c>
      <c r="AD64" s="137">
        <f>'бюджет округа (района)'!P64</f>
        <v>0</v>
      </c>
      <c r="AE64" s="134"/>
      <c r="AF64" s="134"/>
      <c r="AG64" s="134">
        <f>'бюджет округа (района)'!R64+'бюджеты поселений'!R64</f>
        <v>0</v>
      </c>
      <c r="AH64" s="137">
        <f>'бюджет округа (района)'!R64</f>
        <v>0</v>
      </c>
      <c r="AI64" s="134"/>
      <c r="AJ64" s="134"/>
      <c r="AK64" s="134">
        <f>'бюджет округа (района)'!T64+'бюджеты поселений'!T64</f>
        <v>0</v>
      </c>
      <c r="AL64" s="137">
        <f>'бюджет округа (района)'!T64</f>
        <v>0</v>
      </c>
      <c r="AM64" s="134"/>
      <c r="AN64" s="134"/>
      <c r="AO64" s="134">
        <f>'бюджет округа (района)'!V64+'бюджеты поселений'!V64</f>
        <v>0</v>
      </c>
      <c r="AP64" s="137">
        <f>'бюджет округа (района)'!V64</f>
        <v>0</v>
      </c>
      <c r="AQ64" s="134"/>
      <c r="AR64" s="134"/>
      <c r="AS64" s="134">
        <f>'бюджет округа (района)'!X64+'бюджеты поселений'!X64</f>
        <v>0</v>
      </c>
      <c r="AT64" s="137">
        <f>'бюджет округа (района)'!X64</f>
        <v>0</v>
      </c>
      <c r="AU64" s="134"/>
      <c r="AV64" s="134"/>
      <c r="AW64" s="134">
        <f>'бюджет округа (района)'!Z64+'бюджеты поселений'!Z64</f>
        <v>0</v>
      </c>
      <c r="AX64" s="137">
        <f>'бюджет округа (района)'!Z64</f>
        <v>0</v>
      </c>
      <c r="AY64" s="134">
        <f>'бюджет округа (района)'!AA64+'бюджеты поселений'!AA64</f>
        <v>0</v>
      </c>
      <c r="AZ64" s="137">
        <f>'бюджет округа (района)'!AA64</f>
        <v>0</v>
      </c>
      <c r="BA64" s="135">
        <f t="shared" si="355"/>
        <v>1</v>
      </c>
      <c r="BB64" s="135">
        <f t="shared" si="355"/>
        <v>1</v>
      </c>
      <c r="BC64" s="134">
        <f>'бюджет округа (района)'!AC64+'бюджеты поселений'!AC64</f>
        <v>0</v>
      </c>
      <c r="BD64" s="137">
        <f>'бюджет округа (района)'!AC64</f>
        <v>0</v>
      </c>
      <c r="BE64" s="134">
        <f>'бюджет округа (района)'!AD64+'бюджеты поселений'!AD64</f>
        <v>0</v>
      </c>
      <c r="BF64" s="137">
        <f>'бюджет округа (района)'!AD64</f>
        <v>0</v>
      </c>
      <c r="BG64" s="134">
        <f t="shared" si="357"/>
        <v>0</v>
      </c>
      <c r="BH64" s="134">
        <f t="shared" si="357"/>
        <v>0</v>
      </c>
      <c r="BI64" s="135">
        <f t="shared" si="358"/>
        <v>1</v>
      </c>
      <c r="BJ64" s="135">
        <f t="shared" si="358"/>
        <v>1</v>
      </c>
      <c r="BK64" s="134">
        <f>'бюджет округа (района)'!AG64+'бюджеты поселений'!AG64</f>
        <v>0</v>
      </c>
      <c r="BL64" s="137">
        <f>'бюджет округа (района)'!AG64</f>
        <v>0</v>
      </c>
      <c r="BM64" s="134"/>
      <c r="BN64" s="134"/>
      <c r="BO64" s="135">
        <f t="shared" si="359"/>
        <v>1</v>
      </c>
      <c r="BP64" s="135">
        <f t="shared" si="359"/>
        <v>1</v>
      </c>
      <c r="BQ64" s="134">
        <f>'бюджет округа (района)'!AJ64+'бюджеты поселений'!AJ64</f>
        <v>0</v>
      </c>
      <c r="BR64" s="137">
        <f>'бюджет округа (района)'!AJ64</f>
        <v>0</v>
      </c>
      <c r="BS64" s="134"/>
      <c r="BT64" s="134"/>
      <c r="BU64" s="135">
        <f t="shared" si="360"/>
        <v>1</v>
      </c>
      <c r="BV64" s="135">
        <f t="shared" si="360"/>
        <v>1</v>
      </c>
      <c r="BW64" s="134">
        <f>'бюджет округа (района)'!AM64+'бюджеты поселений'!AM64</f>
        <v>0</v>
      </c>
      <c r="BX64" s="137">
        <f>'бюджет округа (района)'!AM64</f>
        <v>0</v>
      </c>
      <c r="BY64" s="134"/>
      <c r="BZ64" s="134"/>
      <c r="CA64" s="135">
        <f t="shared" si="361"/>
        <v>1</v>
      </c>
      <c r="CB64" s="135">
        <f t="shared" si="361"/>
        <v>1</v>
      </c>
      <c r="CC64" s="134">
        <f>'бюджет округа (района)'!AP64+'бюджеты поселений'!AP64</f>
        <v>0</v>
      </c>
      <c r="CD64" s="137">
        <f>'бюджет округа (района)'!AP64</f>
        <v>0</v>
      </c>
      <c r="CE64" s="134"/>
      <c r="CF64" s="134"/>
      <c r="CG64" s="135">
        <f t="shared" si="362"/>
        <v>1</v>
      </c>
      <c r="CH64" s="135">
        <f t="shared" si="362"/>
        <v>1</v>
      </c>
      <c r="CI64" s="134">
        <f>'бюджет округа (района)'!AS64+'бюджеты поселений'!AS64</f>
        <v>0</v>
      </c>
      <c r="CJ64" s="137">
        <f>'бюджет округа (района)'!AS64</f>
        <v>0</v>
      </c>
      <c r="CK64" s="134"/>
      <c r="CL64" s="134"/>
      <c r="CM64" s="135">
        <f t="shared" si="363"/>
        <v>1</v>
      </c>
      <c r="CN64" s="135">
        <f t="shared" si="363"/>
        <v>1</v>
      </c>
      <c r="CO64" s="134">
        <f>'бюджет округа (района)'!AV64+'бюджеты поселений'!AV64</f>
        <v>0</v>
      </c>
      <c r="CP64" s="137">
        <f>'бюджет округа (района)'!AV64</f>
        <v>0</v>
      </c>
      <c r="CQ64" s="134"/>
      <c r="CR64" s="134"/>
      <c r="CS64" s="135">
        <f t="shared" si="364"/>
        <v>1</v>
      </c>
      <c r="CT64" s="135">
        <f t="shared" si="364"/>
        <v>1</v>
      </c>
      <c r="CU64" s="134">
        <f>'бюджет округа (района)'!AY64+'бюджеты поселений'!AY64</f>
        <v>0</v>
      </c>
      <c r="CV64" s="137">
        <f>'бюджет округа (района)'!AY64</f>
        <v>0</v>
      </c>
      <c r="CW64" s="134"/>
      <c r="CX64" s="134"/>
      <c r="CY64" s="135">
        <f t="shared" si="365"/>
        <v>1</v>
      </c>
      <c r="CZ64" s="135">
        <f t="shared" si="365"/>
        <v>1</v>
      </c>
      <c r="DA64" s="134">
        <f>'бюджет округа (района)'!BB64+'бюджеты поселений'!BB64</f>
        <v>0</v>
      </c>
      <c r="DB64" s="137">
        <f>'бюджет округа (района)'!BB64</f>
        <v>0</v>
      </c>
      <c r="DC64" s="134"/>
      <c r="DD64" s="134"/>
      <c r="DE64" s="135">
        <f t="shared" si="366"/>
        <v>1</v>
      </c>
      <c r="DF64" s="135">
        <f t="shared" si="366"/>
        <v>1</v>
      </c>
      <c r="DG64" s="134">
        <f>'бюджет округа (района)'!BE64+'бюджеты поселений'!BE64</f>
        <v>0</v>
      </c>
      <c r="DH64" s="137">
        <f>'бюджет округа (района)'!BE64</f>
        <v>0</v>
      </c>
      <c r="DI64" s="134"/>
      <c r="DJ64" s="134"/>
      <c r="DK64" s="135">
        <f t="shared" si="367"/>
        <v>1</v>
      </c>
      <c r="DL64" s="135">
        <f t="shared" si="367"/>
        <v>1</v>
      </c>
      <c r="DM64" s="134">
        <f>'бюджет округа (района)'!BH64+'бюджеты поселений'!BH64</f>
        <v>0</v>
      </c>
      <c r="DN64" s="137">
        <f>'бюджет округа (района)'!BH64</f>
        <v>0</v>
      </c>
      <c r="DO64" s="134">
        <f>'бюджет округа (района)'!BI64+'бюджеты поселений'!BI64</f>
        <v>0</v>
      </c>
      <c r="DP64" s="137">
        <f>'бюджет округа (района)'!BI64</f>
        <v>0</v>
      </c>
      <c r="DQ64" s="134">
        <f>'бюджет округа (района)'!BJ64+'бюджеты поселений'!BJ64</f>
        <v>0</v>
      </c>
      <c r="DR64" s="137">
        <f>'бюджет округа (района)'!BJ64</f>
        <v>0</v>
      </c>
      <c r="DS64" s="135">
        <f t="shared" ref="DS64:DS73" si="368">IF($AY$63=0,1,DQ64/$AY$63-1)</f>
        <v>1</v>
      </c>
      <c r="DT64" s="135">
        <f t="shared" ref="DT64:DT73" si="369">IF($AZ$63=0,1,DR64/$AZ$63-1)</f>
        <v>1</v>
      </c>
      <c r="DU64" s="135">
        <f t="shared" ref="DU64:DV73" si="370">IF($E$63=0,1,DQ64/$E$63-1)</f>
        <v>1</v>
      </c>
      <c r="DV64" s="135">
        <f t="shared" si="370"/>
        <v>1</v>
      </c>
      <c r="DW64" s="167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  <c r="IR64" s="63"/>
      <c r="IS64" s="63"/>
      <c r="IT64" s="63"/>
      <c r="IU64" s="63"/>
      <c r="IV64" s="63"/>
      <c r="IW64" s="63"/>
      <c r="IX64" s="63"/>
      <c r="IY64" s="63"/>
      <c r="IZ64" s="63"/>
      <c r="JA64" s="63"/>
      <c r="JB64" s="63"/>
      <c r="JC64" s="63"/>
      <c r="JD64" s="63"/>
      <c r="JE64" s="63"/>
      <c r="JF64" s="63"/>
      <c r="JG64" s="63"/>
      <c r="JH64" s="63"/>
    </row>
    <row r="65" spans="1:268" s="64" customFormat="1" ht="18.75" hidden="1" customHeight="1">
      <c r="A65" s="33"/>
      <c r="B65" s="174"/>
      <c r="C65" s="134">
        <f>'бюджет округа (района)'!C65+'бюджеты поселений'!C65</f>
        <v>0</v>
      </c>
      <c r="D65" s="137">
        <f>'бюджет округа (района)'!C65</f>
        <v>0</v>
      </c>
      <c r="E65" s="134">
        <f t="shared" si="336"/>
        <v>0</v>
      </c>
      <c r="F65" s="137">
        <f t="shared" si="336"/>
        <v>0</v>
      </c>
      <c r="G65" s="134">
        <f>'бюджет округа (района)'!E65+'бюджеты поселений'!E65</f>
        <v>0</v>
      </c>
      <c r="H65" s="137">
        <f>'бюджет округа (района)'!E65</f>
        <v>0</v>
      </c>
      <c r="I65" s="134">
        <f>'бюджет округа (района)'!F65+'бюджеты поселений'!F65</f>
        <v>0</v>
      </c>
      <c r="J65" s="137">
        <f>'бюджет округа (района)'!F65</f>
        <v>0</v>
      </c>
      <c r="K65" s="134">
        <f t="shared" si="356"/>
        <v>0</v>
      </c>
      <c r="L65" s="134">
        <f t="shared" si="356"/>
        <v>0</v>
      </c>
      <c r="M65" s="134">
        <f>'бюджет округа (района)'!H65+'бюджеты поселений'!H65</f>
        <v>0</v>
      </c>
      <c r="N65" s="137">
        <f>'бюджет округа (района)'!H65</f>
        <v>0</v>
      </c>
      <c r="O65" s="134"/>
      <c r="P65" s="134"/>
      <c r="Q65" s="134">
        <f>'бюджет округа (района)'!J65+'бюджеты поселений'!J65</f>
        <v>0</v>
      </c>
      <c r="R65" s="137">
        <f>'бюджет округа (района)'!J65</f>
        <v>0</v>
      </c>
      <c r="S65" s="134"/>
      <c r="T65" s="134"/>
      <c r="U65" s="134">
        <f>'бюджет округа (района)'!L65+'бюджеты поселений'!L65</f>
        <v>0</v>
      </c>
      <c r="V65" s="137">
        <f>'бюджет округа (района)'!L65</f>
        <v>0</v>
      </c>
      <c r="W65" s="134"/>
      <c r="X65" s="134"/>
      <c r="Y65" s="134">
        <f>'бюджет округа (района)'!N65+'бюджеты поселений'!N65</f>
        <v>0</v>
      </c>
      <c r="Z65" s="137">
        <f>'бюджет округа (района)'!N65</f>
        <v>0</v>
      </c>
      <c r="AA65" s="134"/>
      <c r="AB65" s="134"/>
      <c r="AC65" s="134">
        <f>'бюджет округа (района)'!P65+'бюджеты поселений'!P65</f>
        <v>0</v>
      </c>
      <c r="AD65" s="137">
        <f>'бюджет округа (района)'!P65</f>
        <v>0</v>
      </c>
      <c r="AE65" s="134"/>
      <c r="AF65" s="134"/>
      <c r="AG65" s="134">
        <f>'бюджет округа (района)'!R65+'бюджеты поселений'!R65</f>
        <v>0</v>
      </c>
      <c r="AH65" s="137">
        <f>'бюджет округа (района)'!R65</f>
        <v>0</v>
      </c>
      <c r="AI65" s="134"/>
      <c r="AJ65" s="134"/>
      <c r="AK65" s="134">
        <f>'бюджет округа (района)'!T65+'бюджеты поселений'!T65</f>
        <v>0</v>
      </c>
      <c r="AL65" s="137">
        <f>'бюджет округа (района)'!T65</f>
        <v>0</v>
      </c>
      <c r="AM65" s="134"/>
      <c r="AN65" s="134"/>
      <c r="AO65" s="134">
        <f>'бюджет округа (района)'!V65+'бюджеты поселений'!V65</f>
        <v>0</v>
      </c>
      <c r="AP65" s="137">
        <f>'бюджет округа (района)'!V65</f>
        <v>0</v>
      </c>
      <c r="AQ65" s="134"/>
      <c r="AR65" s="134"/>
      <c r="AS65" s="134">
        <f>'бюджет округа (района)'!X65+'бюджеты поселений'!X65</f>
        <v>0</v>
      </c>
      <c r="AT65" s="137">
        <f>'бюджет округа (района)'!X65</f>
        <v>0</v>
      </c>
      <c r="AU65" s="134"/>
      <c r="AV65" s="134"/>
      <c r="AW65" s="134">
        <f>'бюджет округа (района)'!Z65+'бюджеты поселений'!Z65</f>
        <v>0</v>
      </c>
      <c r="AX65" s="137">
        <f>'бюджет округа (района)'!Z65</f>
        <v>0</v>
      </c>
      <c r="AY65" s="134">
        <f>'бюджет округа (района)'!AA65+'бюджеты поселений'!AA65</f>
        <v>0</v>
      </c>
      <c r="AZ65" s="137">
        <f>'бюджет округа (района)'!AA65</f>
        <v>0</v>
      </c>
      <c r="BA65" s="135">
        <f t="shared" si="355"/>
        <v>1</v>
      </c>
      <c r="BB65" s="135">
        <f t="shared" si="355"/>
        <v>1</v>
      </c>
      <c r="BC65" s="134">
        <f>'бюджет округа (района)'!AC65+'бюджеты поселений'!AC65</f>
        <v>0</v>
      </c>
      <c r="BD65" s="137">
        <f>'бюджет округа (района)'!AC65</f>
        <v>0</v>
      </c>
      <c r="BE65" s="134">
        <f>'бюджет округа (района)'!AD65+'бюджеты поселений'!AD65</f>
        <v>0</v>
      </c>
      <c r="BF65" s="137">
        <f>'бюджет округа (района)'!AD65</f>
        <v>0</v>
      </c>
      <c r="BG65" s="134">
        <f t="shared" si="357"/>
        <v>0</v>
      </c>
      <c r="BH65" s="134">
        <f t="shared" si="357"/>
        <v>0</v>
      </c>
      <c r="BI65" s="135">
        <f t="shared" si="358"/>
        <v>1</v>
      </c>
      <c r="BJ65" s="135">
        <f t="shared" si="358"/>
        <v>1</v>
      </c>
      <c r="BK65" s="134">
        <f>'бюджет округа (района)'!AG65+'бюджеты поселений'!AG65</f>
        <v>0</v>
      </c>
      <c r="BL65" s="137">
        <f>'бюджет округа (района)'!AG65</f>
        <v>0</v>
      </c>
      <c r="BM65" s="134"/>
      <c r="BN65" s="134"/>
      <c r="BO65" s="135">
        <f t="shared" si="359"/>
        <v>1</v>
      </c>
      <c r="BP65" s="135">
        <f t="shared" si="359"/>
        <v>1</v>
      </c>
      <c r="BQ65" s="134">
        <f>'бюджет округа (района)'!AJ65+'бюджеты поселений'!AJ65</f>
        <v>0</v>
      </c>
      <c r="BR65" s="137">
        <f>'бюджет округа (района)'!AJ65</f>
        <v>0</v>
      </c>
      <c r="BS65" s="134"/>
      <c r="BT65" s="134"/>
      <c r="BU65" s="135">
        <f t="shared" si="360"/>
        <v>1</v>
      </c>
      <c r="BV65" s="135">
        <f t="shared" si="360"/>
        <v>1</v>
      </c>
      <c r="BW65" s="134">
        <f>'бюджет округа (района)'!AM65+'бюджеты поселений'!AM65</f>
        <v>0</v>
      </c>
      <c r="BX65" s="137">
        <f>'бюджет округа (района)'!AM65</f>
        <v>0</v>
      </c>
      <c r="BY65" s="134"/>
      <c r="BZ65" s="134"/>
      <c r="CA65" s="135">
        <f t="shared" si="361"/>
        <v>1</v>
      </c>
      <c r="CB65" s="135">
        <f t="shared" si="361"/>
        <v>1</v>
      </c>
      <c r="CC65" s="134">
        <f>'бюджет округа (района)'!AP65+'бюджеты поселений'!AP65</f>
        <v>0</v>
      </c>
      <c r="CD65" s="137">
        <f>'бюджет округа (района)'!AP65</f>
        <v>0</v>
      </c>
      <c r="CE65" s="134"/>
      <c r="CF65" s="134"/>
      <c r="CG65" s="135">
        <f t="shared" si="362"/>
        <v>1</v>
      </c>
      <c r="CH65" s="135">
        <f t="shared" si="362"/>
        <v>1</v>
      </c>
      <c r="CI65" s="134">
        <f>'бюджет округа (района)'!AS65+'бюджеты поселений'!AS65</f>
        <v>0</v>
      </c>
      <c r="CJ65" s="137">
        <f>'бюджет округа (района)'!AS65</f>
        <v>0</v>
      </c>
      <c r="CK65" s="134"/>
      <c r="CL65" s="134"/>
      <c r="CM65" s="135">
        <f t="shared" si="363"/>
        <v>1</v>
      </c>
      <c r="CN65" s="135">
        <f t="shared" si="363"/>
        <v>1</v>
      </c>
      <c r="CO65" s="134">
        <f>'бюджет округа (района)'!AV65+'бюджеты поселений'!AV65</f>
        <v>0</v>
      </c>
      <c r="CP65" s="137">
        <f>'бюджет округа (района)'!AV65</f>
        <v>0</v>
      </c>
      <c r="CQ65" s="134"/>
      <c r="CR65" s="134"/>
      <c r="CS65" s="135">
        <f t="shared" si="364"/>
        <v>1</v>
      </c>
      <c r="CT65" s="135">
        <f t="shared" si="364"/>
        <v>1</v>
      </c>
      <c r="CU65" s="134">
        <f>'бюджет округа (района)'!AY65+'бюджеты поселений'!AY65</f>
        <v>0</v>
      </c>
      <c r="CV65" s="137">
        <f>'бюджет округа (района)'!AY65</f>
        <v>0</v>
      </c>
      <c r="CW65" s="134"/>
      <c r="CX65" s="134"/>
      <c r="CY65" s="135">
        <f t="shared" si="365"/>
        <v>1</v>
      </c>
      <c r="CZ65" s="135">
        <f t="shared" si="365"/>
        <v>1</v>
      </c>
      <c r="DA65" s="134">
        <f>'бюджет округа (района)'!BB65+'бюджеты поселений'!BB65</f>
        <v>0</v>
      </c>
      <c r="DB65" s="137">
        <f>'бюджет округа (района)'!BB65</f>
        <v>0</v>
      </c>
      <c r="DC65" s="134"/>
      <c r="DD65" s="134"/>
      <c r="DE65" s="135">
        <f t="shared" si="366"/>
        <v>1</v>
      </c>
      <c r="DF65" s="135">
        <f t="shared" si="366"/>
        <v>1</v>
      </c>
      <c r="DG65" s="134">
        <f>'бюджет округа (района)'!BE65+'бюджеты поселений'!BE65</f>
        <v>0</v>
      </c>
      <c r="DH65" s="137">
        <f>'бюджет округа (района)'!BE65</f>
        <v>0</v>
      </c>
      <c r="DI65" s="134"/>
      <c r="DJ65" s="134"/>
      <c r="DK65" s="135">
        <f t="shared" si="367"/>
        <v>1</v>
      </c>
      <c r="DL65" s="135">
        <f t="shared" si="367"/>
        <v>1</v>
      </c>
      <c r="DM65" s="134">
        <f>'бюджет округа (района)'!BH65+'бюджеты поселений'!BH65</f>
        <v>0</v>
      </c>
      <c r="DN65" s="137">
        <f>'бюджет округа (района)'!BH65</f>
        <v>0</v>
      </c>
      <c r="DO65" s="134">
        <f>'бюджет округа (района)'!BI65+'бюджеты поселений'!BI65</f>
        <v>0</v>
      </c>
      <c r="DP65" s="137">
        <f>'бюджет округа (района)'!BI65</f>
        <v>0</v>
      </c>
      <c r="DQ65" s="134">
        <f>'бюджет округа (района)'!BJ65+'бюджеты поселений'!BJ65</f>
        <v>0</v>
      </c>
      <c r="DR65" s="137">
        <f>'бюджет округа (района)'!BJ65</f>
        <v>0</v>
      </c>
      <c r="DS65" s="135">
        <f t="shared" si="368"/>
        <v>1</v>
      </c>
      <c r="DT65" s="135">
        <f t="shared" si="369"/>
        <v>1</v>
      </c>
      <c r="DU65" s="135">
        <f t="shared" si="370"/>
        <v>1</v>
      </c>
      <c r="DV65" s="135">
        <f t="shared" si="370"/>
        <v>1</v>
      </c>
      <c r="DW65" s="167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3"/>
      <c r="HM65" s="63"/>
      <c r="HN65" s="63"/>
      <c r="HO65" s="63"/>
      <c r="HP65" s="63"/>
      <c r="HQ65" s="63"/>
      <c r="HR65" s="63"/>
      <c r="HS65" s="63"/>
      <c r="HT65" s="63"/>
      <c r="HU65" s="63"/>
      <c r="HV65" s="63"/>
      <c r="HW65" s="63"/>
      <c r="HX65" s="63"/>
      <c r="HY65" s="63"/>
      <c r="HZ65" s="63"/>
      <c r="IA65" s="63"/>
      <c r="IB65" s="63"/>
      <c r="IC65" s="63"/>
      <c r="ID65" s="63"/>
      <c r="IE65" s="63"/>
      <c r="IF65" s="63"/>
      <c r="IG65" s="63"/>
      <c r="IH65" s="63"/>
      <c r="II65" s="63"/>
      <c r="IJ65" s="63"/>
      <c r="IK65" s="63"/>
      <c r="IL65" s="63"/>
      <c r="IM65" s="63"/>
      <c r="IN65" s="63"/>
      <c r="IO65" s="63"/>
      <c r="IP65" s="63"/>
      <c r="IQ65" s="63"/>
      <c r="IR65" s="63"/>
      <c r="IS65" s="63"/>
      <c r="IT65" s="63"/>
      <c r="IU65" s="63"/>
      <c r="IV65" s="63"/>
      <c r="IW65" s="63"/>
      <c r="IX65" s="63"/>
      <c r="IY65" s="63"/>
      <c r="IZ65" s="63"/>
      <c r="JA65" s="63"/>
      <c r="JB65" s="63"/>
      <c r="JC65" s="63"/>
      <c r="JD65" s="63"/>
      <c r="JE65" s="63"/>
      <c r="JF65" s="63"/>
      <c r="JG65" s="63"/>
      <c r="JH65" s="63"/>
    </row>
    <row r="66" spans="1:268" s="64" customFormat="1" ht="18.75" hidden="1" customHeight="1">
      <c r="A66" s="33"/>
      <c r="B66" s="174"/>
      <c r="C66" s="134">
        <f>'бюджет округа (района)'!C66+'бюджеты поселений'!C66</f>
        <v>0</v>
      </c>
      <c r="D66" s="137">
        <f>'бюджет округа (района)'!C66</f>
        <v>0</v>
      </c>
      <c r="E66" s="134">
        <f t="shared" ref="E66:F73" si="371">G66+I66+M66+Q66+U66+Y66+AC66+AG66+AK66+AO66+AS66+AW66</f>
        <v>0</v>
      </c>
      <c r="F66" s="137">
        <f t="shared" si="371"/>
        <v>0</v>
      </c>
      <c r="G66" s="134">
        <f>'бюджет округа (района)'!E66+'бюджеты поселений'!E66</f>
        <v>0</v>
      </c>
      <c r="H66" s="137">
        <f>'бюджет округа (района)'!E66</f>
        <v>0</v>
      </c>
      <c r="I66" s="134">
        <f>'бюджет округа (района)'!F66+'бюджеты поселений'!F66</f>
        <v>0</v>
      </c>
      <c r="J66" s="137">
        <f>'бюджет округа (района)'!F66</f>
        <v>0</v>
      </c>
      <c r="K66" s="134">
        <f t="shared" si="356"/>
        <v>0</v>
      </c>
      <c r="L66" s="134">
        <f t="shared" si="356"/>
        <v>0</v>
      </c>
      <c r="M66" s="134">
        <f>'бюджет округа (района)'!H66+'бюджеты поселений'!H66</f>
        <v>0</v>
      </c>
      <c r="N66" s="137">
        <f>'бюджет округа (района)'!H66</f>
        <v>0</v>
      </c>
      <c r="O66" s="134"/>
      <c r="P66" s="134"/>
      <c r="Q66" s="134">
        <f>'бюджет округа (района)'!J66+'бюджеты поселений'!J66</f>
        <v>0</v>
      </c>
      <c r="R66" s="137">
        <f>'бюджет округа (района)'!J66</f>
        <v>0</v>
      </c>
      <c r="S66" s="134"/>
      <c r="T66" s="134"/>
      <c r="U66" s="134">
        <f>'бюджет округа (района)'!L66+'бюджеты поселений'!L66</f>
        <v>0</v>
      </c>
      <c r="V66" s="137">
        <f>'бюджет округа (района)'!L66</f>
        <v>0</v>
      </c>
      <c r="W66" s="134"/>
      <c r="X66" s="134"/>
      <c r="Y66" s="134">
        <f>'бюджет округа (района)'!N66+'бюджеты поселений'!N66</f>
        <v>0</v>
      </c>
      <c r="Z66" s="137">
        <f>'бюджет округа (района)'!N66</f>
        <v>0</v>
      </c>
      <c r="AA66" s="134"/>
      <c r="AB66" s="134"/>
      <c r="AC66" s="134">
        <f>'бюджет округа (района)'!P66+'бюджеты поселений'!P66</f>
        <v>0</v>
      </c>
      <c r="AD66" s="137">
        <f>'бюджет округа (района)'!P66</f>
        <v>0</v>
      </c>
      <c r="AE66" s="134"/>
      <c r="AF66" s="134"/>
      <c r="AG66" s="134">
        <f>'бюджет округа (района)'!R66+'бюджеты поселений'!R66</f>
        <v>0</v>
      </c>
      <c r="AH66" s="137">
        <f>'бюджет округа (района)'!R66</f>
        <v>0</v>
      </c>
      <c r="AI66" s="134"/>
      <c r="AJ66" s="134"/>
      <c r="AK66" s="134">
        <f>'бюджет округа (района)'!T66+'бюджеты поселений'!T66</f>
        <v>0</v>
      </c>
      <c r="AL66" s="137">
        <f>'бюджет округа (района)'!T66</f>
        <v>0</v>
      </c>
      <c r="AM66" s="134"/>
      <c r="AN66" s="134"/>
      <c r="AO66" s="134">
        <f>'бюджет округа (района)'!V66+'бюджеты поселений'!V66</f>
        <v>0</v>
      </c>
      <c r="AP66" s="137">
        <f>'бюджет округа (района)'!V66</f>
        <v>0</v>
      </c>
      <c r="AQ66" s="134"/>
      <c r="AR66" s="134"/>
      <c r="AS66" s="134">
        <f>'бюджет округа (района)'!X66+'бюджеты поселений'!X66</f>
        <v>0</v>
      </c>
      <c r="AT66" s="137">
        <f>'бюджет округа (района)'!X66</f>
        <v>0</v>
      </c>
      <c r="AU66" s="134"/>
      <c r="AV66" s="134"/>
      <c r="AW66" s="134">
        <f>'бюджет округа (района)'!Z66+'бюджеты поселений'!Z66</f>
        <v>0</v>
      </c>
      <c r="AX66" s="137">
        <f>'бюджет округа (района)'!Z66</f>
        <v>0</v>
      </c>
      <c r="AY66" s="134">
        <f>'бюджет округа (района)'!AA66+'бюджеты поселений'!AA66</f>
        <v>0</v>
      </c>
      <c r="AZ66" s="137">
        <f>'бюджет округа (района)'!AA66</f>
        <v>0</v>
      </c>
      <c r="BA66" s="135">
        <f t="shared" si="355"/>
        <v>1</v>
      </c>
      <c r="BB66" s="135">
        <f t="shared" si="355"/>
        <v>1</v>
      </c>
      <c r="BC66" s="134">
        <f>'бюджет округа (района)'!AC66+'бюджеты поселений'!AC66</f>
        <v>0</v>
      </c>
      <c r="BD66" s="137">
        <f>'бюджет округа (района)'!AC66</f>
        <v>0</v>
      </c>
      <c r="BE66" s="134">
        <f>'бюджет округа (района)'!AD66+'бюджеты поселений'!AD66</f>
        <v>0</v>
      </c>
      <c r="BF66" s="137">
        <f>'бюджет округа (района)'!AD66</f>
        <v>0</v>
      </c>
      <c r="BG66" s="134">
        <f t="shared" si="357"/>
        <v>0</v>
      </c>
      <c r="BH66" s="134">
        <f t="shared" si="357"/>
        <v>0</v>
      </c>
      <c r="BI66" s="135">
        <f t="shared" si="358"/>
        <v>1</v>
      </c>
      <c r="BJ66" s="135">
        <f t="shared" si="358"/>
        <v>1</v>
      </c>
      <c r="BK66" s="134">
        <f>'бюджет округа (района)'!AG66+'бюджеты поселений'!AG66</f>
        <v>0</v>
      </c>
      <c r="BL66" s="137">
        <f>'бюджет округа (района)'!AG66</f>
        <v>0</v>
      </c>
      <c r="BM66" s="134"/>
      <c r="BN66" s="134"/>
      <c r="BO66" s="135">
        <f t="shared" si="359"/>
        <v>1</v>
      </c>
      <c r="BP66" s="135">
        <f t="shared" si="359"/>
        <v>1</v>
      </c>
      <c r="BQ66" s="134">
        <f>'бюджет округа (района)'!AJ66+'бюджеты поселений'!AJ66</f>
        <v>0</v>
      </c>
      <c r="BR66" s="137">
        <f>'бюджет округа (района)'!AJ66</f>
        <v>0</v>
      </c>
      <c r="BS66" s="134"/>
      <c r="BT66" s="134"/>
      <c r="BU66" s="135">
        <f t="shared" si="360"/>
        <v>1</v>
      </c>
      <c r="BV66" s="135">
        <f t="shared" si="360"/>
        <v>1</v>
      </c>
      <c r="BW66" s="134">
        <f>'бюджет округа (района)'!AM66+'бюджеты поселений'!AM66</f>
        <v>0</v>
      </c>
      <c r="BX66" s="137">
        <f>'бюджет округа (района)'!AM66</f>
        <v>0</v>
      </c>
      <c r="BY66" s="134"/>
      <c r="BZ66" s="134"/>
      <c r="CA66" s="135">
        <f t="shared" si="361"/>
        <v>1</v>
      </c>
      <c r="CB66" s="135">
        <f t="shared" si="361"/>
        <v>1</v>
      </c>
      <c r="CC66" s="134">
        <f>'бюджет округа (района)'!AP66+'бюджеты поселений'!AP66</f>
        <v>0</v>
      </c>
      <c r="CD66" s="137">
        <f>'бюджет округа (района)'!AP66</f>
        <v>0</v>
      </c>
      <c r="CE66" s="134"/>
      <c r="CF66" s="134"/>
      <c r="CG66" s="135">
        <f t="shared" si="362"/>
        <v>1</v>
      </c>
      <c r="CH66" s="135">
        <f t="shared" si="362"/>
        <v>1</v>
      </c>
      <c r="CI66" s="134">
        <f>'бюджет округа (района)'!AS66+'бюджеты поселений'!AS66</f>
        <v>0</v>
      </c>
      <c r="CJ66" s="137">
        <f>'бюджет округа (района)'!AS66</f>
        <v>0</v>
      </c>
      <c r="CK66" s="134"/>
      <c r="CL66" s="134"/>
      <c r="CM66" s="135">
        <f t="shared" si="363"/>
        <v>1</v>
      </c>
      <c r="CN66" s="135">
        <f t="shared" si="363"/>
        <v>1</v>
      </c>
      <c r="CO66" s="134">
        <f>'бюджет округа (района)'!AV66+'бюджеты поселений'!AV66</f>
        <v>0</v>
      </c>
      <c r="CP66" s="137">
        <f>'бюджет округа (района)'!AV66</f>
        <v>0</v>
      </c>
      <c r="CQ66" s="134"/>
      <c r="CR66" s="134"/>
      <c r="CS66" s="135">
        <f t="shared" si="364"/>
        <v>1</v>
      </c>
      <c r="CT66" s="135">
        <f t="shared" si="364"/>
        <v>1</v>
      </c>
      <c r="CU66" s="134">
        <f>'бюджет округа (района)'!AY66+'бюджеты поселений'!AY66</f>
        <v>0</v>
      </c>
      <c r="CV66" s="137">
        <f>'бюджет округа (района)'!AY66</f>
        <v>0</v>
      </c>
      <c r="CW66" s="134"/>
      <c r="CX66" s="134"/>
      <c r="CY66" s="135">
        <f t="shared" si="365"/>
        <v>1</v>
      </c>
      <c r="CZ66" s="135">
        <f t="shared" si="365"/>
        <v>1</v>
      </c>
      <c r="DA66" s="134">
        <f>'бюджет округа (района)'!BB66+'бюджеты поселений'!BB66</f>
        <v>0</v>
      </c>
      <c r="DB66" s="137">
        <f>'бюджет округа (района)'!BB66</f>
        <v>0</v>
      </c>
      <c r="DC66" s="134"/>
      <c r="DD66" s="134"/>
      <c r="DE66" s="135">
        <f t="shared" si="366"/>
        <v>1</v>
      </c>
      <c r="DF66" s="135">
        <f t="shared" si="366"/>
        <v>1</v>
      </c>
      <c r="DG66" s="134">
        <f>'бюджет округа (района)'!BE66+'бюджеты поселений'!BE66</f>
        <v>0</v>
      </c>
      <c r="DH66" s="137">
        <f>'бюджет округа (района)'!BE66</f>
        <v>0</v>
      </c>
      <c r="DI66" s="134"/>
      <c r="DJ66" s="134"/>
      <c r="DK66" s="135">
        <f t="shared" si="367"/>
        <v>1</v>
      </c>
      <c r="DL66" s="135">
        <f t="shared" si="367"/>
        <v>1</v>
      </c>
      <c r="DM66" s="134">
        <f>'бюджет округа (района)'!BH66+'бюджеты поселений'!BH66</f>
        <v>0</v>
      </c>
      <c r="DN66" s="137">
        <f>'бюджет округа (района)'!BH66</f>
        <v>0</v>
      </c>
      <c r="DO66" s="134">
        <f>'бюджет округа (района)'!BI66+'бюджеты поселений'!BI66</f>
        <v>0</v>
      </c>
      <c r="DP66" s="137">
        <f>'бюджет округа (района)'!BI66</f>
        <v>0</v>
      </c>
      <c r="DQ66" s="134">
        <f>'бюджет округа (района)'!BJ66+'бюджеты поселений'!BJ66</f>
        <v>0</v>
      </c>
      <c r="DR66" s="137">
        <f>'бюджет округа (района)'!BJ66</f>
        <v>0</v>
      </c>
      <c r="DS66" s="135">
        <f t="shared" si="368"/>
        <v>1</v>
      </c>
      <c r="DT66" s="135">
        <f t="shared" si="369"/>
        <v>1</v>
      </c>
      <c r="DU66" s="135">
        <f t="shared" si="370"/>
        <v>1</v>
      </c>
      <c r="DV66" s="135">
        <f t="shared" si="370"/>
        <v>1</v>
      </c>
      <c r="DW66" s="167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  <c r="GY66" s="63"/>
      <c r="GZ66" s="63"/>
      <c r="HA66" s="63"/>
      <c r="HB66" s="63"/>
      <c r="HC66" s="63"/>
      <c r="HD66" s="63"/>
      <c r="HE66" s="63"/>
      <c r="HF66" s="63"/>
      <c r="HG66" s="63"/>
      <c r="HH66" s="63"/>
      <c r="HI66" s="63"/>
      <c r="HJ66" s="63"/>
      <c r="HK66" s="63"/>
      <c r="HL66" s="63"/>
      <c r="HM66" s="63"/>
      <c r="HN66" s="63"/>
      <c r="HO66" s="63"/>
      <c r="HP66" s="63"/>
      <c r="HQ66" s="63"/>
      <c r="HR66" s="63"/>
      <c r="HS66" s="63"/>
      <c r="HT66" s="63"/>
      <c r="HU66" s="63"/>
      <c r="HV66" s="63"/>
      <c r="HW66" s="63"/>
      <c r="HX66" s="63"/>
      <c r="HY66" s="63"/>
      <c r="HZ66" s="63"/>
      <c r="IA66" s="63"/>
      <c r="IB66" s="63"/>
      <c r="IC66" s="63"/>
      <c r="ID66" s="63"/>
      <c r="IE66" s="63"/>
      <c r="IF66" s="63"/>
      <c r="IG66" s="63"/>
      <c r="IH66" s="63"/>
      <c r="II66" s="63"/>
      <c r="IJ66" s="63"/>
      <c r="IK66" s="63"/>
      <c r="IL66" s="63"/>
      <c r="IM66" s="63"/>
      <c r="IN66" s="63"/>
      <c r="IO66" s="63"/>
      <c r="IP66" s="63"/>
      <c r="IQ66" s="63"/>
      <c r="IR66" s="63"/>
      <c r="IS66" s="63"/>
      <c r="IT66" s="63"/>
      <c r="IU66" s="63"/>
      <c r="IV66" s="63"/>
      <c r="IW66" s="63"/>
      <c r="IX66" s="63"/>
      <c r="IY66" s="63"/>
      <c r="IZ66" s="63"/>
      <c r="JA66" s="63"/>
      <c r="JB66" s="63"/>
      <c r="JC66" s="63"/>
      <c r="JD66" s="63"/>
      <c r="JE66" s="63"/>
      <c r="JF66" s="63"/>
      <c r="JG66" s="63"/>
      <c r="JH66" s="63"/>
    </row>
    <row r="67" spans="1:268" s="64" customFormat="1" ht="18.75" hidden="1" customHeight="1">
      <c r="A67" s="33"/>
      <c r="B67" s="174"/>
      <c r="C67" s="134">
        <f>'бюджет округа (района)'!C67+'бюджеты поселений'!C67</f>
        <v>0</v>
      </c>
      <c r="D67" s="137">
        <f>'бюджет округа (района)'!C67</f>
        <v>0</v>
      </c>
      <c r="E67" s="134">
        <f t="shared" si="371"/>
        <v>0</v>
      </c>
      <c r="F67" s="137">
        <f t="shared" si="371"/>
        <v>0</v>
      </c>
      <c r="G67" s="134">
        <f>'бюджет округа (района)'!E67+'бюджеты поселений'!E67</f>
        <v>0</v>
      </c>
      <c r="H67" s="137">
        <f>'бюджет округа (района)'!E67</f>
        <v>0</v>
      </c>
      <c r="I67" s="134">
        <f>'бюджет округа (района)'!F67+'бюджеты поселений'!F67</f>
        <v>0</v>
      </c>
      <c r="J67" s="137">
        <f>'бюджет округа (района)'!F67</f>
        <v>0</v>
      </c>
      <c r="K67" s="134">
        <f t="shared" si="356"/>
        <v>0</v>
      </c>
      <c r="L67" s="134">
        <f t="shared" si="356"/>
        <v>0</v>
      </c>
      <c r="M67" s="134">
        <f>'бюджет округа (района)'!H67+'бюджеты поселений'!H67</f>
        <v>0</v>
      </c>
      <c r="N67" s="137">
        <f>'бюджет округа (района)'!H67</f>
        <v>0</v>
      </c>
      <c r="O67" s="134"/>
      <c r="P67" s="134"/>
      <c r="Q67" s="134">
        <f>'бюджет округа (района)'!J67+'бюджеты поселений'!J67</f>
        <v>0</v>
      </c>
      <c r="R67" s="137">
        <f>'бюджет округа (района)'!J67</f>
        <v>0</v>
      </c>
      <c r="S67" s="134"/>
      <c r="T67" s="134"/>
      <c r="U67" s="134">
        <f>'бюджет округа (района)'!L67+'бюджеты поселений'!L67</f>
        <v>0</v>
      </c>
      <c r="V67" s="137">
        <f>'бюджет округа (района)'!L67</f>
        <v>0</v>
      </c>
      <c r="W67" s="134"/>
      <c r="X67" s="134"/>
      <c r="Y67" s="134">
        <f>'бюджет округа (района)'!N67+'бюджеты поселений'!N67</f>
        <v>0</v>
      </c>
      <c r="Z67" s="137">
        <f>'бюджет округа (района)'!N67</f>
        <v>0</v>
      </c>
      <c r="AA67" s="134"/>
      <c r="AB67" s="134"/>
      <c r="AC67" s="134">
        <f>'бюджет округа (района)'!P67+'бюджеты поселений'!P67</f>
        <v>0</v>
      </c>
      <c r="AD67" s="137">
        <f>'бюджет округа (района)'!P67</f>
        <v>0</v>
      </c>
      <c r="AE67" s="134"/>
      <c r="AF67" s="134"/>
      <c r="AG67" s="134">
        <f>'бюджет округа (района)'!R67+'бюджеты поселений'!R67</f>
        <v>0</v>
      </c>
      <c r="AH67" s="137">
        <f>'бюджет округа (района)'!R67</f>
        <v>0</v>
      </c>
      <c r="AI67" s="134"/>
      <c r="AJ67" s="134"/>
      <c r="AK67" s="134">
        <f>'бюджет округа (района)'!T67+'бюджеты поселений'!T67</f>
        <v>0</v>
      </c>
      <c r="AL67" s="137">
        <f>'бюджет округа (района)'!T67</f>
        <v>0</v>
      </c>
      <c r="AM67" s="134"/>
      <c r="AN67" s="134"/>
      <c r="AO67" s="134">
        <f>'бюджет округа (района)'!V67+'бюджеты поселений'!V67</f>
        <v>0</v>
      </c>
      <c r="AP67" s="137">
        <f>'бюджет округа (района)'!V67</f>
        <v>0</v>
      </c>
      <c r="AQ67" s="134"/>
      <c r="AR67" s="134"/>
      <c r="AS67" s="134">
        <f>'бюджет округа (района)'!X67+'бюджеты поселений'!X67</f>
        <v>0</v>
      </c>
      <c r="AT67" s="137">
        <f>'бюджет округа (района)'!X67</f>
        <v>0</v>
      </c>
      <c r="AU67" s="134"/>
      <c r="AV67" s="134"/>
      <c r="AW67" s="134">
        <f>'бюджет округа (района)'!Z67+'бюджеты поселений'!Z67</f>
        <v>0</v>
      </c>
      <c r="AX67" s="137">
        <f>'бюджет округа (района)'!Z67</f>
        <v>0</v>
      </c>
      <c r="AY67" s="134">
        <f>'бюджет округа (района)'!AA67+'бюджеты поселений'!AA67</f>
        <v>0</v>
      </c>
      <c r="AZ67" s="137">
        <f>'бюджет округа (района)'!AA67</f>
        <v>0</v>
      </c>
      <c r="BA67" s="135">
        <f t="shared" si="355"/>
        <v>1</v>
      </c>
      <c r="BB67" s="135">
        <f t="shared" si="355"/>
        <v>1</v>
      </c>
      <c r="BC67" s="134">
        <f>'бюджет округа (района)'!AC67+'бюджеты поселений'!AC67</f>
        <v>0</v>
      </c>
      <c r="BD67" s="137">
        <f>'бюджет округа (района)'!AC67</f>
        <v>0</v>
      </c>
      <c r="BE67" s="134">
        <f>'бюджет округа (района)'!AD67+'бюджеты поселений'!AD67</f>
        <v>0</v>
      </c>
      <c r="BF67" s="137">
        <f>'бюджет округа (района)'!AD67</f>
        <v>0</v>
      </c>
      <c r="BG67" s="134">
        <f t="shared" si="357"/>
        <v>0</v>
      </c>
      <c r="BH67" s="134">
        <f t="shared" si="357"/>
        <v>0</v>
      </c>
      <c r="BI67" s="135">
        <f t="shared" si="358"/>
        <v>1</v>
      </c>
      <c r="BJ67" s="135">
        <f t="shared" si="358"/>
        <v>1</v>
      </c>
      <c r="BK67" s="134">
        <f>'бюджет округа (района)'!AG67+'бюджеты поселений'!AG67</f>
        <v>0</v>
      </c>
      <c r="BL67" s="137">
        <f>'бюджет округа (района)'!AG67</f>
        <v>0</v>
      </c>
      <c r="BM67" s="134"/>
      <c r="BN67" s="134"/>
      <c r="BO67" s="135">
        <f t="shared" si="359"/>
        <v>1</v>
      </c>
      <c r="BP67" s="135">
        <f t="shared" si="359"/>
        <v>1</v>
      </c>
      <c r="BQ67" s="134">
        <f>'бюджет округа (района)'!AJ67+'бюджеты поселений'!AJ67</f>
        <v>0</v>
      </c>
      <c r="BR67" s="137">
        <f>'бюджет округа (района)'!AJ67</f>
        <v>0</v>
      </c>
      <c r="BS67" s="134"/>
      <c r="BT67" s="134"/>
      <c r="BU67" s="135">
        <f t="shared" si="360"/>
        <v>1</v>
      </c>
      <c r="BV67" s="135">
        <f t="shared" si="360"/>
        <v>1</v>
      </c>
      <c r="BW67" s="134">
        <f>'бюджет округа (района)'!AM67+'бюджеты поселений'!AM67</f>
        <v>0</v>
      </c>
      <c r="BX67" s="137">
        <f>'бюджет округа (района)'!AM67</f>
        <v>0</v>
      </c>
      <c r="BY67" s="134"/>
      <c r="BZ67" s="134"/>
      <c r="CA67" s="135">
        <f t="shared" si="361"/>
        <v>1</v>
      </c>
      <c r="CB67" s="135">
        <f t="shared" si="361"/>
        <v>1</v>
      </c>
      <c r="CC67" s="134">
        <f>'бюджет округа (района)'!AP67+'бюджеты поселений'!AP67</f>
        <v>0</v>
      </c>
      <c r="CD67" s="137">
        <f>'бюджет округа (района)'!AP67</f>
        <v>0</v>
      </c>
      <c r="CE67" s="134"/>
      <c r="CF67" s="134"/>
      <c r="CG67" s="135">
        <f t="shared" si="362"/>
        <v>1</v>
      </c>
      <c r="CH67" s="135">
        <f t="shared" si="362"/>
        <v>1</v>
      </c>
      <c r="CI67" s="134">
        <f>'бюджет округа (района)'!AS67+'бюджеты поселений'!AS67</f>
        <v>0</v>
      </c>
      <c r="CJ67" s="137">
        <f>'бюджет округа (района)'!AS67</f>
        <v>0</v>
      </c>
      <c r="CK67" s="134"/>
      <c r="CL67" s="134"/>
      <c r="CM67" s="135">
        <f t="shared" si="363"/>
        <v>1</v>
      </c>
      <c r="CN67" s="135">
        <f t="shared" si="363"/>
        <v>1</v>
      </c>
      <c r="CO67" s="134">
        <f>'бюджет округа (района)'!AV67+'бюджеты поселений'!AV67</f>
        <v>0</v>
      </c>
      <c r="CP67" s="137">
        <f>'бюджет округа (района)'!AV67</f>
        <v>0</v>
      </c>
      <c r="CQ67" s="134"/>
      <c r="CR67" s="134"/>
      <c r="CS67" s="135">
        <f t="shared" si="364"/>
        <v>1</v>
      </c>
      <c r="CT67" s="135">
        <f t="shared" si="364"/>
        <v>1</v>
      </c>
      <c r="CU67" s="134">
        <f>'бюджет округа (района)'!AY67+'бюджеты поселений'!AY67</f>
        <v>0</v>
      </c>
      <c r="CV67" s="137">
        <f>'бюджет округа (района)'!AY67</f>
        <v>0</v>
      </c>
      <c r="CW67" s="134"/>
      <c r="CX67" s="134"/>
      <c r="CY67" s="135">
        <f t="shared" si="365"/>
        <v>1</v>
      </c>
      <c r="CZ67" s="135">
        <f t="shared" si="365"/>
        <v>1</v>
      </c>
      <c r="DA67" s="134">
        <f>'бюджет округа (района)'!BB67+'бюджеты поселений'!BB67</f>
        <v>0</v>
      </c>
      <c r="DB67" s="137">
        <f>'бюджет округа (района)'!BB67</f>
        <v>0</v>
      </c>
      <c r="DC67" s="134"/>
      <c r="DD67" s="134"/>
      <c r="DE67" s="135">
        <f t="shared" si="366"/>
        <v>1</v>
      </c>
      <c r="DF67" s="135">
        <f t="shared" si="366"/>
        <v>1</v>
      </c>
      <c r="DG67" s="134">
        <f>'бюджет округа (района)'!BE67+'бюджеты поселений'!BE67</f>
        <v>0</v>
      </c>
      <c r="DH67" s="137">
        <f>'бюджет округа (района)'!BE67</f>
        <v>0</v>
      </c>
      <c r="DI67" s="134"/>
      <c r="DJ67" s="134"/>
      <c r="DK67" s="135">
        <f t="shared" si="367"/>
        <v>1</v>
      </c>
      <c r="DL67" s="135">
        <f t="shared" si="367"/>
        <v>1</v>
      </c>
      <c r="DM67" s="134">
        <f>'бюджет округа (района)'!BH67+'бюджеты поселений'!BH67</f>
        <v>0</v>
      </c>
      <c r="DN67" s="137">
        <f>'бюджет округа (района)'!BH67</f>
        <v>0</v>
      </c>
      <c r="DO67" s="134">
        <f>'бюджет округа (района)'!BI67+'бюджеты поселений'!BI67</f>
        <v>0</v>
      </c>
      <c r="DP67" s="137">
        <f>'бюджет округа (района)'!BI67</f>
        <v>0</v>
      </c>
      <c r="DQ67" s="134">
        <f>'бюджет округа (района)'!BJ67+'бюджеты поселений'!BJ67</f>
        <v>0</v>
      </c>
      <c r="DR67" s="137">
        <f>'бюджет округа (района)'!BJ67</f>
        <v>0</v>
      </c>
      <c r="DS67" s="135">
        <f t="shared" si="368"/>
        <v>1</v>
      </c>
      <c r="DT67" s="135">
        <f t="shared" si="369"/>
        <v>1</v>
      </c>
      <c r="DU67" s="135">
        <f t="shared" si="370"/>
        <v>1</v>
      </c>
      <c r="DV67" s="135">
        <f t="shared" si="370"/>
        <v>1</v>
      </c>
      <c r="DW67" s="167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  <c r="GY67" s="63"/>
      <c r="GZ67" s="63"/>
      <c r="HA67" s="63"/>
      <c r="HB67" s="63"/>
      <c r="HC67" s="63"/>
      <c r="HD67" s="63"/>
      <c r="HE67" s="63"/>
      <c r="HF67" s="63"/>
      <c r="HG67" s="63"/>
      <c r="HH67" s="63"/>
      <c r="HI67" s="63"/>
      <c r="HJ67" s="63"/>
      <c r="HK67" s="63"/>
      <c r="HL67" s="63"/>
      <c r="HM67" s="63"/>
      <c r="HN67" s="63"/>
      <c r="HO67" s="63"/>
      <c r="HP67" s="63"/>
      <c r="HQ67" s="63"/>
      <c r="HR67" s="63"/>
      <c r="HS67" s="63"/>
      <c r="HT67" s="63"/>
      <c r="HU67" s="63"/>
      <c r="HV67" s="63"/>
      <c r="HW67" s="63"/>
      <c r="HX67" s="63"/>
      <c r="HY67" s="63"/>
      <c r="HZ67" s="63"/>
      <c r="IA67" s="63"/>
      <c r="IB67" s="63"/>
      <c r="IC67" s="63"/>
      <c r="ID67" s="63"/>
      <c r="IE67" s="63"/>
      <c r="IF67" s="63"/>
      <c r="IG67" s="63"/>
      <c r="IH67" s="63"/>
      <c r="II67" s="63"/>
      <c r="IJ67" s="63"/>
      <c r="IK67" s="63"/>
      <c r="IL67" s="63"/>
      <c r="IM67" s="63"/>
      <c r="IN67" s="63"/>
      <c r="IO67" s="63"/>
      <c r="IP67" s="63"/>
      <c r="IQ67" s="63"/>
      <c r="IR67" s="63"/>
      <c r="IS67" s="63"/>
      <c r="IT67" s="63"/>
      <c r="IU67" s="63"/>
      <c r="IV67" s="63"/>
      <c r="IW67" s="63"/>
      <c r="IX67" s="63"/>
      <c r="IY67" s="63"/>
      <c r="IZ67" s="63"/>
      <c r="JA67" s="63"/>
      <c r="JB67" s="63"/>
      <c r="JC67" s="63"/>
      <c r="JD67" s="63"/>
      <c r="JE67" s="63"/>
      <c r="JF67" s="63"/>
      <c r="JG67" s="63"/>
      <c r="JH67" s="63"/>
    </row>
    <row r="68" spans="1:268" s="64" customFormat="1" ht="18.75" hidden="1" customHeight="1">
      <c r="A68" s="33"/>
      <c r="B68" s="174"/>
      <c r="C68" s="134">
        <f>'бюджет округа (района)'!C68+'бюджеты поселений'!C68</f>
        <v>0</v>
      </c>
      <c r="D68" s="137">
        <f>'бюджет округа (района)'!C68</f>
        <v>0</v>
      </c>
      <c r="E68" s="134">
        <f t="shared" si="371"/>
        <v>0</v>
      </c>
      <c r="F68" s="137">
        <f t="shared" si="371"/>
        <v>0</v>
      </c>
      <c r="G68" s="134">
        <f>'бюджет округа (района)'!E68+'бюджеты поселений'!E68</f>
        <v>0</v>
      </c>
      <c r="H68" s="137">
        <f>'бюджет округа (района)'!E68</f>
        <v>0</v>
      </c>
      <c r="I68" s="134">
        <f>'бюджет округа (района)'!F68+'бюджеты поселений'!F68</f>
        <v>0</v>
      </c>
      <c r="J68" s="137">
        <f>'бюджет округа (района)'!F68</f>
        <v>0</v>
      </c>
      <c r="K68" s="134">
        <f t="shared" si="356"/>
        <v>0</v>
      </c>
      <c r="L68" s="134">
        <f t="shared" si="356"/>
        <v>0</v>
      </c>
      <c r="M68" s="134">
        <f>'бюджет округа (района)'!H68+'бюджеты поселений'!H68</f>
        <v>0</v>
      </c>
      <c r="N68" s="137">
        <f>'бюджет округа (района)'!H68</f>
        <v>0</v>
      </c>
      <c r="O68" s="134"/>
      <c r="P68" s="134"/>
      <c r="Q68" s="134">
        <f>'бюджет округа (района)'!J68+'бюджеты поселений'!J68</f>
        <v>0</v>
      </c>
      <c r="R68" s="137">
        <f>'бюджет округа (района)'!J68</f>
        <v>0</v>
      </c>
      <c r="S68" s="134"/>
      <c r="T68" s="134"/>
      <c r="U68" s="134">
        <f>'бюджет округа (района)'!L68+'бюджеты поселений'!L68</f>
        <v>0</v>
      </c>
      <c r="V68" s="137">
        <f>'бюджет округа (района)'!L68</f>
        <v>0</v>
      </c>
      <c r="W68" s="134"/>
      <c r="X68" s="134"/>
      <c r="Y68" s="134">
        <f>'бюджет округа (района)'!N68+'бюджеты поселений'!N68</f>
        <v>0</v>
      </c>
      <c r="Z68" s="137">
        <f>'бюджет округа (района)'!N68</f>
        <v>0</v>
      </c>
      <c r="AA68" s="134"/>
      <c r="AB68" s="134"/>
      <c r="AC68" s="134">
        <f>'бюджет округа (района)'!P68+'бюджеты поселений'!P68</f>
        <v>0</v>
      </c>
      <c r="AD68" s="137">
        <f>'бюджет округа (района)'!P68</f>
        <v>0</v>
      </c>
      <c r="AE68" s="134"/>
      <c r="AF68" s="134"/>
      <c r="AG68" s="134">
        <f>'бюджет округа (района)'!R68+'бюджеты поселений'!R68</f>
        <v>0</v>
      </c>
      <c r="AH68" s="137">
        <f>'бюджет округа (района)'!R68</f>
        <v>0</v>
      </c>
      <c r="AI68" s="134"/>
      <c r="AJ68" s="134"/>
      <c r="AK68" s="134">
        <f>'бюджет округа (района)'!T68+'бюджеты поселений'!T68</f>
        <v>0</v>
      </c>
      <c r="AL68" s="137">
        <f>'бюджет округа (района)'!T68</f>
        <v>0</v>
      </c>
      <c r="AM68" s="134"/>
      <c r="AN68" s="134"/>
      <c r="AO68" s="134">
        <f>'бюджет округа (района)'!V68+'бюджеты поселений'!V68</f>
        <v>0</v>
      </c>
      <c r="AP68" s="137">
        <f>'бюджет округа (района)'!V68</f>
        <v>0</v>
      </c>
      <c r="AQ68" s="134"/>
      <c r="AR68" s="134"/>
      <c r="AS68" s="134">
        <f>'бюджет округа (района)'!X68+'бюджеты поселений'!X68</f>
        <v>0</v>
      </c>
      <c r="AT68" s="137">
        <f>'бюджет округа (района)'!X68</f>
        <v>0</v>
      </c>
      <c r="AU68" s="134"/>
      <c r="AV68" s="134"/>
      <c r="AW68" s="134">
        <f>'бюджет округа (района)'!Z68+'бюджеты поселений'!Z68</f>
        <v>0</v>
      </c>
      <c r="AX68" s="137">
        <f>'бюджет округа (района)'!Z68</f>
        <v>0</v>
      </c>
      <c r="AY68" s="134">
        <f>'бюджет округа (района)'!AA68+'бюджеты поселений'!AA68</f>
        <v>0</v>
      </c>
      <c r="AZ68" s="137">
        <f>'бюджет округа (района)'!AA68</f>
        <v>0</v>
      </c>
      <c r="BA68" s="135">
        <f t="shared" si="355"/>
        <v>1</v>
      </c>
      <c r="BB68" s="135">
        <f t="shared" si="355"/>
        <v>1</v>
      </c>
      <c r="BC68" s="134">
        <f>'бюджет округа (района)'!AC68+'бюджеты поселений'!AC68</f>
        <v>0</v>
      </c>
      <c r="BD68" s="137">
        <f>'бюджет округа (района)'!AC68</f>
        <v>0</v>
      </c>
      <c r="BE68" s="134">
        <f>'бюджет округа (района)'!AD68+'бюджеты поселений'!AD68</f>
        <v>0</v>
      </c>
      <c r="BF68" s="137">
        <f>'бюджет округа (района)'!AD68</f>
        <v>0</v>
      </c>
      <c r="BG68" s="134">
        <f t="shared" si="357"/>
        <v>0</v>
      </c>
      <c r="BH68" s="134">
        <f t="shared" si="357"/>
        <v>0</v>
      </c>
      <c r="BI68" s="135">
        <f t="shared" si="358"/>
        <v>1</v>
      </c>
      <c r="BJ68" s="135">
        <f t="shared" si="358"/>
        <v>1</v>
      </c>
      <c r="BK68" s="134">
        <f>'бюджет округа (района)'!AG68+'бюджеты поселений'!AG68</f>
        <v>0</v>
      </c>
      <c r="BL68" s="137">
        <f>'бюджет округа (района)'!AG68</f>
        <v>0</v>
      </c>
      <c r="BM68" s="134"/>
      <c r="BN68" s="134"/>
      <c r="BO68" s="135">
        <f t="shared" si="359"/>
        <v>1</v>
      </c>
      <c r="BP68" s="135">
        <f t="shared" si="359"/>
        <v>1</v>
      </c>
      <c r="BQ68" s="134">
        <f>'бюджет округа (района)'!AJ68+'бюджеты поселений'!AJ68</f>
        <v>0</v>
      </c>
      <c r="BR68" s="137">
        <f>'бюджет округа (района)'!AJ68</f>
        <v>0</v>
      </c>
      <c r="BS68" s="134"/>
      <c r="BT68" s="134"/>
      <c r="BU68" s="135">
        <f t="shared" si="360"/>
        <v>1</v>
      </c>
      <c r="BV68" s="135">
        <f t="shared" si="360"/>
        <v>1</v>
      </c>
      <c r="BW68" s="134">
        <f>'бюджет округа (района)'!AM68+'бюджеты поселений'!AM68</f>
        <v>0</v>
      </c>
      <c r="BX68" s="137">
        <f>'бюджет округа (района)'!AM68</f>
        <v>0</v>
      </c>
      <c r="BY68" s="134"/>
      <c r="BZ68" s="134"/>
      <c r="CA68" s="135">
        <f t="shared" si="361"/>
        <v>1</v>
      </c>
      <c r="CB68" s="135">
        <f t="shared" si="361"/>
        <v>1</v>
      </c>
      <c r="CC68" s="134">
        <f>'бюджет округа (района)'!AP68+'бюджеты поселений'!AP68</f>
        <v>0</v>
      </c>
      <c r="CD68" s="137">
        <f>'бюджет округа (района)'!AP68</f>
        <v>0</v>
      </c>
      <c r="CE68" s="134"/>
      <c r="CF68" s="134"/>
      <c r="CG68" s="135">
        <f t="shared" si="362"/>
        <v>1</v>
      </c>
      <c r="CH68" s="135">
        <f t="shared" si="362"/>
        <v>1</v>
      </c>
      <c r="CI68" s="134">
        <f>'бюджет округа (района)'!AS68+'бюджеты поселений'!AS68</f>
        <v>0</v>
      </c>
      <c r="CJ68" s="137">
        <f>'бюджет округа (района)'!AS68</f>
        <v>0</v>
      </c>
      <c r="CK68" s="134"/>
      <c r="CL68" s="134"/>
      <c r="CM68" s="135">
        <f t="shared" si="363"/>
        <v>1</v>
      </c>
      <c r="CN68" s="135">
        <f t="shared" si="363"/>
        <v>1</v>
      </c>
      <c r="CO68" s="134">
        <f>'бюджет округа (района)'!AV68+'бюджеты поселений'!AV68</f>
        <v>0</v>
      </c>
      <c r="CP68" s="137">
        <f>'бюджет округа (района)'!AV68</f>
        <v>0</v>
      </c>
      <c r="CQ68" s="134"/>
      <c r="CR68" s="134"/>
      <c r="CS68" s="135">
        <f t="shared" si="364"/>
        <v>1</v>
      </c>
      <c r="CT68" s="135">
        <f t="shared" si="364"/>
        <v>1</v>
      </c>
      <c r="CU68" s="134">
        <f>'бюджет округа (района)'!AY68+'бюджеты поселений'!AY68</f>
        <v>0</v>
      </c>
      <c r="CV68" s="137">
        <f>'бюджет округа (района)'!AY68</f>
        <v>0</v>
      </c>
      <c r="CW68" s="134"/>
      <c r="CX68" s="134"/>
      <c r="CY68" s="135">
        <f t="shared" si="365"/>
        <v>1</v>
      </c>
      <c r="CZ68" s="135">
        <f t="shared" si="365"/>
        <v>1</v>
      </c>
      <c r="DA68" s="134">
        <f>'бюджет округа (района)'!BB68+'бюджеты поселений'!BB68</f>
        <v>0</v>
      </c>
      <c r="DB68" s="137">
        <f>'бюджет округа (района)'!BB68</f>
        <v>0</v>
      </c>
      <c r="DC68" s="134"/>
      <c r="DD68" s="134"/>
      <c r="DE68" s="135">
        <f t="shared" si="366"/>
        <v>1</v>
      </c>
      <c r="DF68" s="135">
        <f t="shared" si="366"/>
        <v>1</v>
      </c>
      <c r="DG68" s="134">
        <f>'бюджет округа (района)'!BE68+'бюджеты поселений'!BE68</f>
        <v>0</v>
      </c>
      <c r="DH68" s="137">
        <f>'бюджет округа (района)'!BE68</f>
        <v>0</v>
      </c>
      <c r="DI68" s="134"/>
      <c r="DJ68" s="134"/>
      <c r="DK68" s="135">
        <f t="shared" si="367"/>
        <v>1</v>
      </c>
      <c r="DL68" s="135">
        <f t="shared" si="367"/>
        <v>1</v>
      </c>
      <c r="DM68" s="134">
        <f>'бюджет округа (района)'!BH68+'бюджеты поселений'!BH68</f>
        <v>0</v>
      </c>
      <c r="DN68" s="137">
        <f>'бюджет округа (района)'!BH68</f>
        <v>0</v>
      </c>
      <c r="DO68" s="134">
        <f>'бюджет округа (района)'!BI68+'бюджеты поселений'!BI68</f>
        <v>0</v>
      </c>
      <c r="DP68" s="137">
        <f>'бюджет округа (района)'!BI68</f>
        <v>0</v>
      </c>
      <c r="DQ68" s="134">
        <f>'бюджет округа (района)'!BJ68+'бюджеты поселений'!BJ68</f>
        <v>0</v>
      </c>
      <c r="DR68" s="137">
        <f>'бюджет округа (района)'!BJ68</f>
        <v>0</v>
      </c>
      <c r="DS68" s="135">
        <f t="shared" si="368"/>
        <v>1</v>
      </c>
      <c r="DT68" s="135">
        <f t="shared" si="369"/>
        <v>1</v>
      </c>
      <c r="DU68" s="135">
        <f t="shared" si="370"/>
        <v>1</v>
      </c>
      <c r="DV68" s="135">
        <f t="shared" si="370"/>
        <v>1</v>
      </c>
      <c r="DW68" s="167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  <c r="IM68" s="63"/>
      <c r="IN68" s="63"/>
      <c r="IO68" s="63"/>
      <c r="IP68" s="63"/>
      <c r="IQ68" s="63"/>
      <c r="IR68" s="63"/>
      <c r="IS68" s="63"/>
      <c r="IT68" s="63"/>
      <c r="IU68" s="63"/>
      <c r="IV68" s="63"/>
      <c r="IW68" s="63"/>
      <c r="IX68" s="63"/>
      <c r="IY68" s="63"/>
      <c r="IZ68" s="63"/>
      <c r="JA68" s="63"/>
      <c r="JB68" s="63"/>
      <c r="JC68" s="63"/>
      <c r="JD68" s="63"/>
      <c r="JE68" s="63"/>
      <c r="JF68" s="63"/>
      <c r="JG68" s="63"/>
      <c r="JH68" s="63"/>
    </row>
    <row r="69" spans="1:268" s="64" customFormat="1" ht="18.75" hidden="1" customHeight="1">
      <c r="A69" s="33"/>
      <c r="B69" s="174"/>
      <c r="C69" s="134">
        <f>'бюджет округа (района)'!C69+'бюджеты поселений'!C69</f>
        <v>0</v>
      </c>
      <c r="D69" s="137">
        <f>'бюджет округа (района)'!C69</f>
        <v>0</v>
      </c>
      <c r="E69" s="134">
        <f t="shared" si="371"/>
        <v>0</v>
      </c>
      <c r="F69" s="137">
        <f t="shared" si="371"/>
        <v>0</v>
      </c>
      <c r="G69" s="134">
        <f>'бюджет округа (района)'!E69+'бюджеты поселений'!E69</f>
        <v>0</v>
      </c>
      <c r="H69" s="137">
        <f>'бюджет округа (района)'!E69</f>
        <v>0</v>
      </c>
      <c r="I69" s="134">
        <f>'бюджет округа (района)'!F69+'бюджеты поселений'!F69</f>
        <v>0</v>
      </c>
      <c r="J69" s="137">
        <f>'бюджет округа (района)'!F69</f>
        <v>0</v>
      </c>
      <c r="K69" s="134">
        <f t="shared" si="356"/>
        <v>0</v>
      </c>
      <c r="L69" s="134">
        <f t="shared" si="356"/>
        <v>0</v>
      </c>
      <c r="M69" s="134">
        <f>'бюджет округа (района)'!H69+'бюджеты поселений'!H69</f>
        <v>0</v>
      </c>
      <c r="N69" s="137">
        <f>'бюджет округа (района)'!H69</f>
        <v>0</v>
      </c>
      <c r="O69" s="134"/>
      <c r="P69" s="134"/>
      <c r="Q69" s="134">
        <f>'бюджет округа (района)'!J69+'бюджеты поселений'!J69</f>
        <v>0</v>
      </c>
      <c r="R69" s="137">
        <f>'бюджет округа (района)'!J69</f>
        <v>0</v>
      </c>
      <c r="S69" s="134"/>
      <c r="T69" s="134"/>
      <c r="U69" s="134">
        <f>'бюджет округа (района)'!L69+'бюджеты поселений'!L69</f>
        <v>0</v>
      </c>
      <c r="V69" s="137">
        <f>'бюджет округа (района)'!L69</f>
        <v>0</v>
      </c>
      <c r="W69" s="134"/>
      <c r="X69" s="134"/>
      <c r="Y69" s="134">
        <f>'бюджет округа (района)'!N69+'бюджеты поселений'!N69</f>
        <v>0</v>
      </c>
      <c r="Z69" s="137">
        <f>'бюджет округа (района)'!N69</f>
        <v>0</v>
      </c>
      <c r="AA69" s="134"/>
      <c r="AB69" s="134"/>
      <c r="AC69" s="134">
        <f>'бюджет округа (района)'!P69+'бюджеты поселений'!P69</f>
        <v>0</v>
      </c>
      <c r="AD69" s="137">
        <f>'бюджет округа (района)'!P69</f>
        <v>0</v>
      </c>
      <c r="AE69" s="134"/>
      <c r="AF69" s="134"/>
      <c r="AG69" s="134">
        <f>'бюджет округа (района)'!R69+'бюджеты поселений'!R69</f>
        <v>0</v>
      </c>
      <c r="AH69" s="137">
        <f>'бюджет округа (района)'!R69</f>
        <v>0</v>
      </c>
      <c r="AI69" s="134"/>
      <c r="AJ69" s="134"/>
      <c r="AK69" s="134">
        <f>'бюджет округа (района)'!T69+'бюджеты поселений'!T69</f>
        <v>0</v>
      </c>
      <c r="AL69" s="137">
        <f>'бюджет округа (района)'!T69</f>
        <v>0</v>
      </c>
      <c r="AM69" s="134"/>
      <c r="AN69" s="134"/>
      <c r="AO69" s="134">
        <f>'бюджет округа (района)'!V69+'бюджеты поселений'!V69</f>
        <v>0</v>
      </c>
      <c r="AP69" s="137">
        <f>'бюджет округа (района)'!V69</f>
        <v>0</v>
      </c>
      <c r="AQ69" s="134"/>
      <c r="AR69" s="134"/>
      <c r="AS69" s="134">
        <f>'бюджет округа (района)'!X69+'бюджеты поселений'!X69</f>
        <v>0</v>
      </c>
      <c r="AT69" s="137">
        <f>'бюджет округа (района)'!X69</f>
        <v>0</v>
      </c>
      <c r="AU69" s="134"/>
      <c r="AV69" s="134"/>
      <c r="AW69" s="134">
        <f>'бюджет округа (района)'!Z69+'бюджеты поселений'!Z69</f>
        <v>0</v>
      </c>
      <c r="AX69" s="137">
        <f>'бюджет округа (района)'!Z69</f>
        <v>0</v>
      </c>
      <c r="AY69" s="134">
        <f>'бюджет округа (района)'!AA69+'бюджеты поселений'!AA69</f>
        <v>0</v>
      </c>
      <c r="AZ69" s="137">
        <f>'бюджет округа (района)'!AA69</f>
        <v>0</v>
      </c>
      <c r="BA69" s="135">
        <f t="shared" si="355"/>
        <v>1</v>
      </c>
      <c r="BB69" s="135">
        <f t="shared" si="355"/>
        <v>1</v>
      </c>
      <c r="BC69" s="134">
        <f>'бюджет округа (района)'!AC69+'бюджеты поселений'!AC69</f>
        <v>0</v>
      </c>
      <c r="BD69" s="137">
        <f>'бюджет округа (района)'!AC69</f>
        <v>0</v>
      </c>
      <c r="BE69" s="134">
        <f>'бюджет округа (района)'!AD69+'бюджеты поселений'!AD69</f>
        <v>0</v>
      </c>
      <c r="BF69" s="137">
        <f>'бюджет округа (района)'!AD69</f>
        <v>0</v>
      </c>
      <c r="BG69" s="134">
        <f t="shared" si="357"/>
        <v>0</v>
      </c>
      <c r="BH69" s="134">
        <f t="shared" si="357"/>
        <v>0</v>
      </c>
      <c r="BI69" s="135">
        <f t="shared" si="358"/>
        <v>1</v>
      </c>
      <c r="BJ69" s="135">
        <f t="shared" si="358"/>
        <v>1</v>
      </c>
      <c r="BK69" s="134">
        <f>'бюджет округа (района)'!AG69+'бюджеты поселений'!AG69</f>
        <v>0</v>
      </c>
      <c r="BL69" s="137">
        <f>'бюджет округа (района)'!AG69</f>
        <v>0</v>
      </c>
      <c r="BM69" s="134"/>
      <c r="BN69" s="134"/>
      <c r="BO69" s="135">
        <f t="shared" si="359"/>
        <v>1</v>
      </c>
      <c r="BP69" s="135">
        <f t="shared" si="359"/>
        <v>1</v>
      </c>
      <c r="BQ69" s="134">
        <f>'бюджет округа (района)'!AJ69+'бюджеты поселений'!AJ69</f>
        <v>0</v>
      </c>
      <c r="BR69" s="137">
        <f>'бюджет округа (района)'!AJ69</f>
        <v>0</v>
      </c>
      <c r="BS69" s="134"/>
      <c r="BT69" s="134"/>
      <c r="BU69" s="135">
        <f t="shared" si="360"/>
        <v>1</v>
      </c>
      <c r="BV69" s="135">
        <f t="shared" si="360"/>
        <v>1</v>
      </c>
      <c r="BW69" s="134">
        <f>'бюджет округа (района)'!AM69+'бюджеты поселений'!AM69</f>
        <v>0</v>
      </c>
      <c r="BX69" s="137">
        <f>'бюджет округа (района)'!AM69</f>
        <v>0</v>
      </c>
      <c r="BY69" s="134"/>
      <c r="BZ69" s="134"/>
      <c r="CA69" s="135">
        <f t="shared" si="361"/>
        <v>1</v>
      </c>
      <c r="CB69" s="135">
        <f t="shared" si="361"/>
        <v>1</v>
      </c>
      <c r="CC69" s="134">
        <f>'бюджет округа (района)'!AP69+'бюджеты поселений'!AP69</f>
        <v>0</v>
      </c>
      <c r="CD69" s="137">
        <f>'бюджет округа (района)'!AP69</f>
        <v>0</v>
      </c>
      <c r="CE69" s="134"/>
      <c r="CF69" s="134"/>
      <c r="CG69" s="135">
        <f t="shared" si="362"/>
        <v>1</v>
      </c>
      <c r="CH69" s="135">
        <f t="shared" si="362"/>
        <v>1</v>
      </c>
      <c r="CI69" s="134">
        <f>'бюджет округа (района)'!AS69+'бюджеты поселений'!AS69</f>
        <v>0</v>
      </c>
      <c r="CJ69" s="137">
        <f>'бюджет округа (района)'!AS69</f>
        <v>0</v>
      </c>
      <c r="CK69" s="134"/>
      <c r="CL69" s="134"/>
      <c r="CM69" s="135">
        <f t="shared" si="363"/>
        <v>1</v>
      </c>
      <c r="CN69" s="135">
        <f t="shared" si="363"/>
        <v>1</v>
      </c>
      <c r="CO69" s="134">
        <f>'бюджет округа (района)'!AV69+'бюджеты поселений'!AV69</f>
        <v>0</v>
      </c>
      <c r="CP69" s="137">
        <f>'бюджет округа (района)'!AV69</f>
        <v>0</v>
      </c>
      <c r="CQ69" s="134"/>
      <c r="CR69" s="134"/>
      <c r="CS69" s="135">
        <f t="shared" si="364"/>
        <v>1</v>
      </c>
      <c r="CT69" s="135">
        <f t="shared" si="364"/>
        <v>1</v>
      </c>
      <c r="CU69" s="134">
        <f>'бюджет округа (района)'!AY69+'бюджеты поселений'!AY69</f>
        <v>0</v>
      </c>
      <c r="CV69" s="137">
        <f>'бюджет округа (района)'!AY69</f>
        <v>0</v>
      </c>
      <c r="CW69" s="134"/>
      <c r="CX69" s="134"/>
      <c r="CY69" s="135">
        <f t="shared" si="365"/>
        <v>1</v>
      </c>
      <c r="CZ69" s="135">
        <f t="shared" si="365"/>
        <v>1</v>
      </c>
      <c r="DA69" s="134">
        <f>'бюджет округа (района)'!BB69+'бюджеты поселений'!BB69</f>
        <v>0</v>
      </c>
      <c r="DB69" s="137">
        <f>'бюджет округа (района)'!BB69</f>
        <v>0</v>
      </c>
      <c r="DC69" s="134"/>
      <c r="DD69" s="134"/>
      <c r="DE69" s="135">
        <f t="shared" si="366"/>
        <v>1</v>
      </c>
      <c r="DF69" s="135">
        <f t="shared" si="366"/>
        <v>1</v>
      </c>
      <c r="DG69" s="134">
        <f>'бюджет округа (района)'!BE69+'бюджеты поселений'!BE69</f>
        <v>0</v>
      </c>
      <c r="DH69" s="137">
        <f>'бюджет округа (района)'!BE69</f>
        <v>0</v>
      </c>
      <c r="DI69" s="134"/>
      <c r="DJ69" s="134"/>
      <c r="DK69" s="135">
        <f t="shared" si="367"/>
        <v>1</v>
      </c>
      <c r="DL69" s="135">
        <f t="shared" si="367"/>
        <v>1</v>
      </c>
      <c r="DM69" s="134">
        <f>'бюджет округа (района)'!BH69+'бюджеты поселений'!BH69</f>
        <v>0</v>
      </c>
      <c r="DN69" s="137">
        <f>'бюджет округа (района)'!BH69</f>
        <v>0</v>
      </c>
      <c r="DO69" s="134">
        <f>'бюджет округа (района)'!BI69+'бюджеты поселений'!BI69</f>
        <v>0</v>
      </c>
      <c r="DP69" s="137">
        <f>'бюджет округа (района)'!BI69</f>
        <v>0</v>
      </c>
      <c r="DQ69" s="134">
        <f>'бюджет округа (района)'!BJ69+'бюджеты поселений'!BJ69</f>
        <v>0</v>
      </c>
      <c r="DR69" s="137">
        <f>'бюджет округа (района)'!BJ69</f>
        <v>0</v>
      </c>
      <c r="DS69" s="135">
        <f t="shared" si="368"/>
        <v>1</v>
      </c>
      <c r="DT69" s="135">
        <f t="shared" si="369"/>
        <v>1</v>
      </c>
      <c r="DU69" s="135">
        <f t="shared" si="370"/>
        <v>1</v>
      </c>
      <c r="DV69" s="135">
        <f t="shared" si="370"/>
        <v>1</v>
      </c>
      <c r="DW69" s="167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63"/>
      <c r="JA69" s="63"/>
      <c r="JB69" s="63"/>
      <c r="JC69" s="63"/>
      <c r="JD69" s="63"/>
      <c r="JE69" s="63"/>
      <c r="JF69" s="63"/>
      <c r="JG69" s="63"/>
      <c r="JH69" s="63"/>
    </row>
    <row r="70" spans="1:268" s="64" customFormat="1" ht="18.75" hidden="1" customHeight="1">
      <c r="A70" s="33"/>
      <c r="B70" s="174"/>
      <c r="C70" s="134">
        <f>'бюджет округа (района)'!C70+'бюджеты поселений'!C70</f>
        <v>0</v>
      </c>
      <c r="D70" s="137">
        <f>'бюджет округа (района)'!C70</f>
        <v>0</v>
      </c>
      <c r="E70" s="134">
        <f t="shared" si="371"/>
        <v>0</v>
      </c>
      <c r="F70" s="137">
        <f t="shared" si="371"/>
        <v>0</v>
      </c>
      <c r="G70" s="134">
        <f>'бюджет округа (района)'!E70+'бюджеты поселений'!E70</f>
        <v>0</v>
      </c>
      <c r="H70" s="137">
        <f>'бюджет округа (района)'!E70</f>
        <v>0</v>
      </c>
      <c r="I70" s="134">
        <f>'бюджет округа (района)'!F70+'бюджеты поселений'!F70</f>
        <v>0</v>
      </c>
      <c r="J70" s="137">
        <f>'бюджет округа (района)'!F70</f>
        <v>0</v>
      </c>
      <c r="K70" s="134">
        <f t="shared" si="356"/>
        <v>0</v>
      </c>
      <c r="L70" s="134">
        <f t="shared" si="356"/>
        <v>0</v>
      </c>
      <c r="M70" s="134">
        <f>'бюджет округа (района)'!H70+'бюджеты поселений'!H70</f>
        <v>0</v>
      </c>
      <c r="N70" s="137">
        <f>'бюджет округа (района)'!H70</f>
        <v>0</v>
      </c>
      <c r="O70" s="134"/>
      <c r="P70" s="134"/>
      <c r="Q70" s="134">
        <f>'бюджет округа (района)'!J70+'бюджеты поселений'!J70</f>
        <v>0</v>
      </c>
      <c r="R70" s="137">
        <f>'бюджет округа (района)'!J70</f>
        <v>0</v>
      </c>
      <c r="S70" s="134"/>
      <c r="T70" s="134"/>
      <c r="U70" s="134">
        <f>'бюджет округа (района)'!L70+'бюджеты поселений'!L70</f>
        <v>0</v>
      </c>
      <c r="V70" s="137">
        <f>'бюджет округа (района)'!L70</f>
        <v>0</v>
      </c>
      <c r="W70" s="134"/>
      <c r="X70" s="134"/>
      <c r="Y70" s="134">
        <f>'бюджет округа (района)'!N70+'бюджеты поселений'!N70</f>
        <v>0</v>
      </c>
      <c r="Z70" s="137">
        <f>'бюджет округа (района)'!N70</f>
        <v>0</v>
      </c>
      <c r="AA70" s="134"/>
      <c r="AB70" s="134"/>
      <c r="AC70" s="134">
        <f>'бюджет округа (района)'!P70+'бюджеты поселений'!P70</f>
        <v>0</v>
      </c>
      <c r="AD70" s="137">
        <f>'бюджет округа (района)'!P70</f>
        <v>0</v>
      </c>
      <c r="AE70" s="134"/>
      <c r="AF70" s="134"/>
      <c r="AG70" s="134">
        <f>'бюджет округа (района)'!R70+'бюджеты поселений'!R70</f>
        <v>0</v>
      </c>
      <c r="AH70" s="137">
        <f>'бюджет округа (района)'!R70</f>
        <v>0</v>
      </c>
      <c r="AI70" s="134"/>
      <c r="AJ70" s="134"/>
      <c r="AK70" s="134">
        <f>'бюджет округа (района)'!T70+'бюджеты поселений'!T70</f>
        <v>0</v>
      </c>
      <c r="AL70" s="137">
        <f>'бюджет округа (района)'!T70</f>
        <v>0</v>
      </c>
      <c r="AM70" s="134"/>
      <c r="AN70" s="134"/>
      <c r="AO70" s="134">
        <f>'бюджет округа (района)'!V70+'бюджеты поселений'!V70</f>
        <v>0</v>
      </c>
      <c r="AP70" s="137">
        <f>'бюджет округа (района)'!V70</f>
        <v>0</v>
      </c>
      <c r="AQ70" s="134"/>
      <c r="AR70" s="134"/>
      <c r="AS70" s="134">
        <f>'бюджет округа (района)'!X70+'бюджеты поселений'!X70</f>
        <v>0</v>
      </c>
      <c r="AT70" s="137">
        <f>'бюджет округа (района)'!X70</f>
        <v>0</v>
      </c>
      <c r="AU70" s="134"/>
      <c r="AV70" s="134"/>
      <c r="AW70" s="134">
        <f>'бюджет округа (района)'!Z70+'бюджеты поселений'!Z70</f>
        <v>0</v>
      </c>
      <c r="AX70" s="137">
        <f>'бюджет округа (района)'!Z70</f>
        <v>0</v>
      </c>
      <c r="AY70" s="134">
        <f>'бюджет округа (района)'!AA70+'бюджеты поселений'!AA70</f>
        <v>0</v>
      </c>
      <c r="AZ70" s="137">
        <f>'бюджет округа (района)'!AA70</f>
        <v>0</v>
      </c>
      <c r="BA70" s="135">
        <f t="shared" si="355"/>
        <v>1</v>
      </c>
      <c r="BB70" s="135">
        <f t="shared" si="355"/>
        <v>1</v>
      </c>
      <c r="BC70" s="134">
        <f>'бюджет округа (района)'!AC70+'бюджеты поселений'!AC70</f>
        <v>0</v>
      </c>
      <c r="BD70" s="137">
        <f>'бюджет округа (района)'!AC70</f>
        <v>0</v>
      </c>
      <c r="BE70" s="134">
        <f>'бюджет округа (района)'!AD70+'бюджеты поселений'!AD70</f>
        <v>0</v>
      </c>
      <c r="BF70" s="137">
        <f>'бюджет округа (района)'!AD70</f>
        <v>0</v>
      </c>
      <c r="BG70" s="134">
        <f t="shared" si="357"/>
        <v>0</v>
      </c>
      <c r="BH70" s="134">
        <f t="shared" si="357"/>
        <v>0</v>
      </c>
      <c r="BI70" s="135">
        <f t="shared" si="358"/>
        <v>1</v>
      </c>
      <c r="BJ70" s="135">
        <f t="shared" si="358"/>
        <v>1</v>
      </c>
      <c r="BK70" s="134">
        <f>'бюджет округа (района)'!AG70+'бюджеты поселений'!AG70</f>
        <v>0</v>
      </c>
      <c r="BL70" s="137">
        <f>'бюджет округа (района)'!AG70</f>
        <v>0</v>
      </c>
      <c r="BM70" s="134"/>
      <c r="BN70" s="134"/>
      <c r="BO70" s="135">
        <f t="shared" si="359"/>
        <v>1</v>
      </c>
      <c r="BP70" s="135">
        <f t="shared" si="359"/>
        <v>1</v>
      </c>
      <c r="BQ70" s="134">
        <f>'бюджет округа (района)'!AJ70+'бюджеты поселений'!AJ70</f>
        <v>0</v>
      </c>
      <c r="BR70" s="137">
        <f>'бюджет округа (района)'!AJ70</f>
        <v>0</v>
      </c>
      <c r="BS70" s="134"/>
      <c r="BT70" s="134"/>
      <c r="BU70" s="135">
        <f t="shared" si="360"/>
        <v>1</v>
      </c>
      <c r="BV70" s="135">
        <f t="shared" si="360"/>
        <v>1</v>
      </c>
      <c r="BW70" s="134">
        <f>'бюджет округа (района)'!AM70+'бюджеты поселений'!AM70</f>
        <v>0</v>
      </c>
      <c r="BX70" s="137">
        <f>'бюджет округа (района)'!AM70</f>
        <v>0</v>
      </c>
      <c r="BY70" s="134"/>
      <c r="BZ70" s="134"/>
      <c r="CA70" s="135">
        <f t="shared" si="361"/>
        <v>1</v>
      </c>
      <c r="CB70" s="135">
        <f t="shared" si="361"/>
        <v>1</v>
      </c>
      <c r="CC70" s="134">
        <f>'бюджет округа (района)'!AP70+'бюджеты поселений'!AP70</f>
        <v>0</v>
      </c>
      <c r="CD70" s="137">
        <f>'бюджет округа (района)'!AP70</f>
        <v>0</v>
      </c>
      <c r="CE70" s="134"/>
      <c r="CF70" s="134"/>
      <c r="CG70" s="135">
        <f t="shared" si="362"/>
        <v>1</v>
      </c>
      <c r="CH70" s="135">
        <f t="shared" si="362"/>
        <v>1</v>
      </c>
      <c r="CI70" s="134">
        <f>'бюджет округа (района)'!AS70+'бюджеты поселений'!AS70</f>
        <v>0</v>
      </c>
      <c r="CJ70" s="137">
        <f>'бюджет округа (района)'!AS70</f>
        <v>0</v>
      </c>
      <c r="CK70" s="134"/>
      <c r="CL70" s="134"/>
      <c r="CM70" s="135">
        <f t="shared" si="363"/>
        <v>1</v>
      </c>
      <c r="CN70" s="135">
        <f t="shared" si="363"/>
        <v>1</v>
      </c>
      <c r="CO70" s="134">
        <f>'бюджет округа (района)'!AV70+'бюджеты поселений'!AV70</f>
        <v>0</v>
      </c>
      <c r="CP70" s="137">
        <f>'бюджет округа (района)'!AV70</f>
        <v>0</v>
      </c>
      <c r="CQ70" s="134"/>
      <c r="CR70" s="134"/>
      <c r="CS70" s="135">
        <f t="shared" si="364"/>
        <v>1</v>
      </c>
      <c r="CT70" s="135">
        <f t="shared" si="364"/>
        <v>1</v>
      </c>
      <c r="CU70" s="134">
        <f>'бюджет округа (района)'!AY70+'бюджеты поселений'!AY70</f>
        <v>0</v>
      </c>
      <c r="CV70" s="137">
        <f>'бюджет округа (района)'!AY70</f>
        <v>0</v>
      </c>
      <c r="CW70" s="134"/>
      <c r="CX70" s="134"/>
      <c r="CY70" s="135">
        <f t="shared" si="365"/>
        <v>1</v>
      </c>
      <c r="CZ70" s="135">
        <f t="shared" si="365"/>
        <v>1</v>
      </c>
      <c r="DA70" s="134">
        <f>'бюджет округа (района)'!BB70+'бюджеты поселений'!BB70</f>
        <v>0</v>
      </c>
      <c r="DB70" s="137">
        <f>'бюджет округа (района)'!BB70</f>
        <v>0</v>
      </c>
      <c r="DC70" s="134"/>
      <c r="DD70" s="134"/>
      <c r="DE70" s="135">
        <f t="shared" si="366"/>
        <v>1</v>
      </c>
      <c r="DF70" s="135">
        <f t="shared" si="366"/>
        <v>1</v>
      </c>
      <c r="DG70" s="134">
        <f>'бюджет округа (района)'!BE70+'бюджеты поселений'!BE70</f>
        <v>0</v>
      </c>
      <c r="DH70" s="137">
        <f>'бюджет округа (района)'!BE70</f>
        <v>0</v>
      </c>
      <c r="DI70" s="134"/>
      <c r="DJ70" s="134"/>
      <c r="DK70" s="135">
        <f t="shared" si="367"/>
        <v>1</v>
      </c>
      <c r="DL70" s="135">
        <f t="shared" si="367"/>
        <v>1</v>
      </c>
      <c r="DM70" s="134">
        <f>'бюджет округа (района)'!BH70+'бюджеты поселений'!BH70</f>
        <v>0</v>
      </c>
      <c r="DN70" s="137">
        <f>'бюджет округа (района)'!BH70</f>
        <v>0</v>
      </c>
      <c r="DO70" s="134">
        <f>'бюджет округа (района)'!BI70+'бюджеты поселений'!BI70</f>
        <v>0</v>
      </c>
      <c r="DP70" s="137">
        <f>'бюджет округа (района)'!BI70</f>
        <v>0</v>
      </c>
      <c r="DQ70" s="134">
        <f>'бюджет округа (района)'!BJ70+'бюджеты поселений'!BJ70</f>
        <v>0</v>
      </c>
      <c r="DR70" s="137">
        <f>'бюджет округа (района)'!BJ70</f>
        <v>0</v>
      </c>
      <c r="DS70" s="135">
        <f t="shared" si="368"/>
        <v>1</v>
      </c>
      <c r="DT70" s="135">
        <f t="shared" si="369"/>
        <v>1</v>
      </c>
      <c r="DU70" s="135">
        <f t="shared" si="370"/>
        <v>1</v>
      </c>
      <c r="DV70" s="135">
        <f t="shared" si="370"/>
        <v>1</v>
      </c>
      <c r="DW70" s="167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  <c r="IN70" s="63"/>
      <c r="IO70" s="63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63"/>
      <c r="JA70" s="63"/>
      <c r="JB70" s="63"/>
      <c r="JC70" s="63"/>
      <c r="JD70" s="63"/>
      <c r="JE70" s="63"/>
      <c r="JF70" s="63"/>
      <c r="JG70" s="63"/>
      <c r="JH70" s="63"/>
    </row>
    <row r="71" spans="1:268" s="64" customFormat="1" ht="18.75" hidden="1" customHeight="1">
      <c r="A71" s="33"/>
      <c r="B71" s="174"/>
      <c r="C71" s="134">
        <f>'бюджет округа (района)'!C71+'бюджеты поселений'!C71</f>
        <v>0</v>
      </c>
      <c r="D71" s="137">
        <f>'бюджет округа (района)'!C71</f>
        <v>0</v>
      </c>
      <c r="E71" s="134">
        <f t="shared" si="371"/>
        <v>0</v>
      </c>
      <c r="F71" s="137">
        <f t="shared" si="371"/>
        <v>0</v>
      </c>
      <c r="G71" s="134">
        <f>'бюджет округа (района)'!E71+'бюджеты поселений'!E71</f>
        <v>0</v>
      </c>
      <c r="H71" s="137">
        <f>'бюджет округа (района)'!E71</f>
        <v>0</v>
      </c>
      <c r="I71" s="134">
        <f>'бюджет округа (района)'!F71+'бюджеты поселений'!F71</f>
        <v>0</v>
      </c>
      <c r="J71" s="137">
        <f>'бюджет округа (района)'!F71</f>
        <v>0</v>
      </c>
      <c r="K71" s="134">
        <f t="shared" si="356"/>
        <v>0</v>
      </c>
      <c r="L71" s="134">
        <f t="shared" si="356"/>
        <v>0</v>
      </c>
      <c r="M71" s="134">
        <f>'бюджет округа (района)'!H71+'бюджеты поселений'!H71</f>
        <v>0</v>
      </c>
      <c r="N71" s="137">
        <f>'бюджет округа (района)'!H71</f>
        <v>0</v>
      </c>
      <c r="O71" s="134"/>
      <c r="P71" s="134"/>
      <c r="Q71" s="134">
        <f>'бюджет округа (района)'!J71+'бюджеты поселений'!J71</f>
        <v>0</v>
      </c>
      <c r="R71" s="137">
        <f>'бюджет округа (района)'!J71</f>
        <v>0</v>
      </c>
      <c r="S71" s="134"/>
      <c r="T71" s="134"/>
      <c r="U71" s="134">
        <f>'бюджет округа (района)'!L71+'бюджеты поселений'!L71</f>
        <v>0</v>
      </c>
      <c r="V71" s="137">
        <f>'бюджет округа (района)'!L71</f>
        <v>0</v>
      </c>
      <c r="W71" s="134"/>
      <c r="X71" s="134"/>
      <c r="Y71" s="134">
        <f>'бюджет округа (района)'!N71+'бюджеты поселений'!N71</f>
        <v>0</v>
      </c>
      <c r="Z71" s="137">
        <f>'бюджет округа (района)'!N71</f>
        <v>0</v>
      </c>
      <c r="AA71" s="134"/>
      <c r="AB71" s="134"/>
      <c r="AC71" s="134">
        <f>'бюджет округа (района)'!P71+'бюджеты поселений'!P71</f>
        <v>0</v>
      </c>
      <c r="AD71" s="137">
        <f>'бюджет округа (района)'!P71</f>
        <v>0</v>
      </c>
      <c r="AE71" s="134"/>
      <c r="AF71" s="134"/>
      <c r="AG71" s="134">
        <f>'бюджет округа (района)'!R71+'бюджеты поселений'!R71</f>
        <v>0</v>
      </c>
      <c r="AH71" s="137">
        <f>'бюджет округа (района)'!R71</f>
        <v>0</v>
      </c>
      <c r="AI71" s="134"/>
      <c r="AJ71" s="134"/>
      <c r="AK71" s="134">
        <f>'бюджет округа (района)'!T71+'бюджеты поселений'!T71</f>
        <v>0</v>
      </c>
      <c r="AL71" s="137">
        <f>'бюджет округа (района)'!T71</f>
        <v>0</v>
      </c>
      <c r="AM71" s="134"/>
      <c r="AN71" s="134"/>
      <c r="AO71" s="134">
        <f>'бюджет округа (района)'!V71+'бюджеты поселений'!V71</f>
        <v>0</v>
      </c>
      <c r="AP71" s="137">
        <f>'бюджет округа (района)'!V71</f>
        <v>0</v>
      </c>
      <c r="AQ71" s="134"/>
      <c r="AR71" s="134"/>
      <c r="AS71" s="134">
        <f>'бюджет округа (района)'!X71+'бюджеты поселений'!X71</f>
        <v>0</v>
      </c>
      <c r="AT71" s="137">
        <f>'бюджет округа (района)'!X71</f>
        <v>0</v>
      </c>
      <c r="AU71" s="134"/>
      <c r="AV71" s="134"/>
      <c r="AW71" s="134">
        <f>'бюджет округа (района)'!Z71+'бюджеты поселений'!Z71</f>
        <v>0</v>
      </c>
      <c r="AX71" s="137">
        <f>'бюджет округа (района)'!Z71</f>
        <v>0</v>
      </c>
      <c r="AY71" s="134">
        <f>'бюджет округа (района)'!AA71+'бюджеты поселений'!AA71</f>
        <v>0</v>
      </c>
      <c r="AZ71" s="137">
        <f>'бюджет округа (района)'!AA71</f>
        <v>0</v>
      </c>
      <c r="BA71" s="135">
        <f t="shared" si="355"/>
        <v>1</v>
      </c>
      <c r="BB71" s="135">
        <f t="shared" si="355"/>
        <v>1</v>
      </c>
      <c r="BC71" s="134">
        <f>'бюджет округа (района)'!AC71+'бюджеты поселений'!AC71</f>
        <v>0</v>
      </c>
      <c r="BD71" s="137">
        <f>'бюджет округа (района)'!AC71</f>
        <v>0</v>
      </c>
      <c r="BE71" s="134">
        <f>'бюджет округа (района)'!AD71+'бюджеты поселений'!AD71</f>
        <v>0</v>
      </c>
      <c r="BF71" s="137">
        <f>'бюджет округа (района)'!AD71</f>
        <v>0</v>
      </c>
      <c r="BG71" s="134">
        <f t="shared" si="357"/>
        <v>0</v>
      </c>
      <c r="BH71" s="134">
        <f t="shared" si="357"/>
        <v>0</v>
      </c>
      <c r="BI71" s="135">
        <f t="shared" si="358"/>
        <v>1</v>
      </c>
      <c r="BJ71" s="135">
        <f t="shared" si="358"/>
        <v>1</v>
      </c>
      <c r="BK71" s="134">
        <f>'бюджет округа (района)'!AG71+'бюджеты поселений'!AG71</f>
        <v>0</v>
      </c>
      <c r="BL71" s="137">
        <f>'бюджет округа (района)'!AG71</f>
        <v>0</v>
      </c>
      <c r="BM71" s="134"/>
      <c r="BN71" s="134"/>
      <c r="BO71" s="135">
        <f t="shared" si="359"/>
        <v>1</v>
      </c>
      <c r="BP71" s="135">
        <f t="shared" si="359"/>
        <v>1</v>
      </c>
      <c r="BQ71" s="134">
        <f>'бюджет округа (района)'!AJ71+'бюджеты поселений'!AJ71</f>
        <v>0</v>
      </c>
      <c r="BR71" s="137">
        <f>'бюджет округа (района)'!AJ71</f>
        <v>0</v>
      </c>
      <c r="BS71" s="134"/>
      <c r="BT71" s="134"/>
      <c r="BU71" s="135">
        <f t="shared" si="360"/>
        <v>1</v>
      </c>
      <c r="BV71" s="135">
        <f t="shared" si="360"/>
        <v>1</v>
      </c>
      <c r="BW71" s="134">
        <f>'бюджет округа (района)'!AM71+'бюджеты поселений'!AM71</f>
        <v>0</v>
      </c>
      <c r="BX71" s="137">
        <f>'бюджет округа (района)'!AM71</f>
        <v>0</v>
      </c>
      <c r="BY71" s="134"/>
      <c r="BZ71" s="134"/>
      <c r="CA71" s="135">
        <f t="shared" si="361"/>
        <v>1</v>
      </c>
      <c r="CB71" s="135">
        <f t="shared" si="361"/>
        <v>1</v>
      </c>
      <c r="CC71" s="134">
        <f>'бюджет округа (района)'!AP71+'бюджеты поселений'!AP71</f>
        <v>0</v>
      </c>
      <c r="CD71" s="137">
        <f>'бюджет округа (района)'!AP71</f>
        <v>0</v>
      </c>
      <c r="CE71" s="134"/>
      <c r="CF71" s="134"/>
      <c r="CG71" s="135">
        <f t="shared" si="362"/>
        <v>1</v>
      </c>
      <c r="CH71" s="135">
        <f t="shared" si="362"/>
        <v>1</v>
      </c>
      <c r="CI71" s="134">
        <f>'бюджет округа (района)'!AS71+'бюджеты поселений'!AS71</f>
        <v>0</v>
      </c>
      <c r="CJ71" s="137">
        <f>'бюджет округа (района)'!AS71</f>
        <v>0</v>
      </c>
      <c r="CK71" s="134"/>
      <c r="CL71" s="134"/>
      <c r="CM71" s="135">
        <f t="shared" si="363"/>
        <v>1</v>
      </c>
      <c r="CN71" s="135">
        <f t="shared" si="363"/>
        <v>1</v>
      </c>
      <c r="CO71" s="134">
        <f>'бюджет округа (района)'!AV71+'бюджеты поселений'!AV71</f>
        <v>0</v>
      </c>
      <c r="CP71" s="137">
        <f>'бюджет округа (района)'!AV71</f>
        <v>0</v>
      </c>
      <c r="CQ71" s="134"/>
      <c r="CR71" s="134"/>
      <c r="CS71" s="135">
        <f t="shared" si="364"/>
        <v>1</v>
      </c>
      <c r="CT71" s="135">
        <f t="shared" si="364"/>
        <v>1</v>
      </c>
      <c r="CU71" s="134">
        <f>'бюджет округа (района)'!AY71+'бюджеты поселений'!AY71</f>
        <v>0</v>
      </c>
      <c r="CV71" s="137">
        <f>'бюджет округа (района)'!AY71</f>
        <v>0</v>
      </c>
      <c r="CW71" s="134"/>
      <c r="CX71" s="134"/>
      <c r="CY71" s="135">
        <f t="shared" si="365"/>
        <v>1</v>
      </c>
      <c r="CZ71" s="135">
        <f t="shared" si="365"/>
        <v>1</v>
      </c>
      <c r="DA71" s="134">
        <f>'бюджет округа (района)'!BB71+'бюджеты поселений'!BB71</f>
        <v>0</v>
      </c>
      <c r="DB71" s="137">
        <f>'бюджет округа (района)'!BB71</f>
        <v>0</v>
      </c>
      <c r="DC71" s="134"/>
      <c r="DD71" s="134"/>
      <c r="DE71" s="135">
        <f t="shared" si="366"/>
        <v>1</v>
      </c>
      <c r="DF71" s="135">
        <f t="shared" si="366"/>
        <v>1</v>
      </c>
      <c r="DG71" s="134">
        <f>'бюджет округа (района)'!BE71+'бюджеты поселений'!BE71</f>
        <v>0</v>
      </c>
      <c r="DH71" s="137">
        <f>'бюджет округа (района)'!BE71</f>
        <v>0</v>
      </c>
      <c r="DI71" s="134"/>
      <c r="DJ71" s="134"/>
      <c r="DK71" s="135">
        <f t="shared" si="367"/>
        <v>1</v>
      </c>
      <c r="DL71" s="135">
        <f t="shared" si="367"/>
        <v>1</v>
      </c>
      <c r="DM71" s="134">
        <f>'бюджет округа (района)'!BH71+'бюджеты поселений'!BH71</f>
        <v>0</v>
      </c>
      <c r="DN71" s="137">
        <f>'бюджет округа (района)'!BH71</f>
        <v>0</v>
      </c>
      <c r="DO71" s="134">
        <f>'бюджет округа (района)'!BI71+'бюджеты поселений'!BI71</f>
        <v>0</v>
      </c>
      <c r="DP71" s="137">
        <f>'бюджет округа (района)'!BI71</f>
        <v>0</v>
      </c>
      <c r="DQ71" s="134">
        <f>'бюджет округа (района)'!BJ71+'бюджеты поселений'!BJ71</f>
        <v>0</v>
      </c>
      <c r="DR71" s="137">
        <f>'бюджет округа (района)'!BJ71</f>
        <v>0</v>
      </c>
      <c r="DS71" s="135">
        <f t="shared" si="368"/>
        <v>1</v>
      </c>
      <c r="DT71" s="135">
        <f t="shared" si="369"/>
        <v>1</v>
      </c>
      <c r="DU71" s="135">
        <f t="shared" si="370"/>
        <v>1</v>
      </c>
      <c r="DV71" s="135">
        <f t="shared" si="370"/>
        <v>1</v>
      </c>
      <c r="DW71" s="167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</row>
    <row r="72" spans="1:268" s="64" customFormat="1" ht="18.75" hidden="1" customHeight="1">
      <c r="A72" s="33"/>
      <c r="B72" s="174"/>
      <c r="C72" s="134">
        <f>'бюджет округа (района)'!C72+'бюджеты поселений'!C72</f>
        <v>0</v>
      </c>
      <c r="D72" s="137">
        <f>'бюджет округа (района)'!C72</f>
        <v>0</v>
      </c>
      <c r="E72" s="134">
        <f t="shared" si="371"/>
        <v>0</v>
      </c>
      <c r="F72" s="137">
        <f t="shared" si="371"/>
        <v>0</v>
      </c>
      <c r="G72" s="134">
        <f>'бюджет округа (района)'!E72+'бюджеты поселений'!E72</f>
        <v>0</v>
      </c>
      <c r="H72" s="137">
        <f>'бюджет округа (района)'!E72</f>
        <v>0</v>
      </c>
      <c r="I72" s="134">
        <f>'бюджет округа (района)'!F72+'бюджеты поселений'!F72</f>
        <v>0</v>
      </c>
      <c r="J72" s="137">
        <f>'бюджет округа (района)'!F72</f>
        <v>0</v>
      </c>
      <c r="K72" s="134">
        <f t="shared" si="356"/>
        <v>0</v>
      </c>
      <c r="L72" s="134">
        <f t="shared" si="356"/>
        <v>0</v>
      </c>
      <c r="M72" s="134">
        <f>'бюджет округа (района)'!H72+'бюджеты поселений'!H72</f>
        <v>0</v>
      </c>
      <c r="N72" s="137">
        <f>'бюджет округа (района)'!H72</f>
        <v>0</v>
      </c>
      <c r="O72" s="134"/>
      <c r="P72" s="134"/>
      <c r="Q72" s="134">
        <f>'бюджет округа (района)'!J72+'бюджеты поселений'!J72</f>
        <v>0</v>
      </c>
      <c r="R72" s="137">
        <f>'бюджет округа (района)'!J72</f>
        <v>0</v>
      </c>
      <c r="S72" s="134"/>
      <c r="T72" s="134"/>
      <c r="U72" s="134">
        <f>'бюджет округа (района)'!L72+'бюджеты поселений'!L72</f>
        <v>0</v>
      </c>
      <c r="V72" s="137">
        <f>'бюджет округа (района)'!L72</f>
        <v>0</v>
      </c>
      <c r="W72" s="134"/>
      <c r="X72" s="134"/>
      <c r="Y72" s="134">
        <f>'бюджет округа (района)'!N72+'бюджеты поселений'!N72</f>
        <v>0</v>
      </c>
      <c r="Z72" s="137">
        <f>'бюджет округа (района)'!N72</f>
        <v>0</v>
      </c>
      <c r="AA72" s="134"/>
      <c r="AB72" s="134"/>
      <c r="AC72" s="134">
        <f>'бюджет округа (района)'!P72+'бюджеты поселений'!P72</f>
        <v>0</v>
      </c>
      <c r="AD72" s="137">
        <f>'бюджет округа (района)'!P72</f>
        <v>0</v>
      </c>
      <c r="AE72" s="134"/>
      <c r="AF72" s="134"/>
      <c r="AG72" s="134">
        <f>'бюджет округа (района)'!R72+'бюджеты поселений'!R72</f>
        <v>0</v>
      </c>
      <c r="AH72" s="137">
        <f>'бюджет округа (района)'!R72</f>
        <v>0</v>
      </c>
      <c r="AI72" s="134"/>
      <c r="AJ72" s="134"/>
      <c r="AK72" s="134">
        <f>'бюджет округа (района)'!T72+'бюджеты поселений'!T72</f>
        <v>0</v>
      </c>
      <c r="AL72" s="137">
        <f>'бюджет округа (района)'!T72</f>
        <v>0</v>
      </c>
      <c r="AM72" s="134"/>
      <c r="AN72" s="134"/>
      <c r="AO72" s="134">
        <f>'бюджет округа (района)'!V72+'бюджеты поселений'!V72</f>
        <v>0</v>
      </c>
      <c r="AP72" s="137">
        <f>'бюджет округа (района)'!V72</f>
        <v>0</v>
      </c>
      <c r="AQ72" s="134"/>
      <c r="AR72" s="134"/>
      <c r="AS72" s="134">
        <f>'бюджет округа (района)'!X72+'бюджеты поселений'!X72</f>
        <v>0</v>
      </c>
      <c r="AT72" s="137">
        <f>'бюджет округа (района)'!X72</f>
        <v>0</v>
      </c>
      <c r="AU72" s="134"/>
      <c r="AV72" s="134"/>
      <c r="AW72" s="134">
        <f>'бюджет округа (района)'!Z72+'бюджеты поселений'!Z72</f>
        <v>0</v>
      </c>
      <c r="AX72" s="137">
        <f>'бюджет округа (района)'!Z72</f>
        <v>0</v>
      </c>
      <c r="AY72" s="134">
        <f>'бюджет округа (района)'!AA72+'бюджеты поселений'!AA72</f>
        <v>0</v>
      </c>
      <c r="AZ72" s="137">
        <f>'бюджет округа (района)'!AA72</f>
        <v>0</v>
      </c>
      <c r="BA72" s="135">
        <f t="shared" si="355"/>
        <v>1</v>
      </c>
      <c r="BB72" s="135">
        <f t="shared" si="355"/>
        <v>1</v>
      </c>
      <c r="BC72" s="134">
        <f>'бюджет округа (района)'!AC72+'бюджеты поселений'!AC72</f>
        <v>0</v>
      </c>
      <c r="BD72" s="137">
        <f>'бюджет округа (района)'!AC72</f>
        <v>0</v>
      </c>
      <c r="BE72" s="134">
        <f>'бюджет округа (района)'!AD72+'бюджеты поселений'!AD72</f>
        <v>0</v>
      </c>
      <c r="BF72" s="137">
        <f>'бюджет округа (района)'!AD72</f>
        <v>0</v>
      </c>
      <c r="BG72" s="134">
        <f t="shared" si="357"/>
        <v>0</v>
      </c>
      <c r="BH72" s="134">
        <f t="shared" si="357"/>
        <v>0</v>
      </c>
      <c r="BI72" s="135">
        <f t="shared" si="358"/>
        <v>1</v>
      </c>
      <c r="BJ72" s="135">
        <f t="shared" si="358"/>
        <v>1</v>
      </c>
      <c r="BK72" s="134">
        <f>'бюджет округа (района)'!AG72+'бюджеты поселений'!AG72</f>
        <v>0</v>
      </c>
      <c r="BL72" s="137">
        <f>'бюджет округа (района)'!AG72</f>
        <v>0</v>
      </c>
      <c r="BM72" s="134"/>
      <c r="BN72" s="134"/>
      <c r="BO72" s="135">
        <f t="shared" si="359"/>
        <v>1</v>
      </c>
      <c r="BP72" s="135">
        <f t="shared" si="359"/>
        <v>1</v>
      </c>
      <c r="BQ72" s="134">
        <f>'бюджет округа (района)'!AJ72+'бюджеты поселений'!AJ72</f>
        <v>0</v>
      </c>
      <c r="BR72" s="137">
        <f>'бюджет округа (района)'!AJ72</f>
        <v>0</v>
      </c>
      <c r="BS72" s="134"/>
      <c r="BT72" s="134"/>
      <c r="BU72" s="135">
        <f t="shared" si="360"/>
        <v>1</v>
      </c>
      <c r="BV72" s="135">
        <f t="shared" si="360"/>
        <v>1</v>
      </c>
      <c r="BW72" s="134">
        <f>'бюджет округа (района)'!AM72+'бюджеты поселений'!AM72</f>
        <v>0</v>
      </c>
      <c r="BX72" s="137">
        <f>'бюджет округа (района)'!AM72</f>
        <v>0</v>
      </c>
      <c r="BY72" s="134"/>
      <c r="BZ72" s="134"/>
      <c r="CA72" s="135">
        <f t="shared" si="361"/>
        <v>1</v>
      </c>
      <c r="CB72" s="135">
        <f t="shared" si="361"/>
        <v>1</v>
      </c>
      <c r="CC72" s="134">
        <f>'бюджет округа (района)'!AP72+'бюджеты поселений'!AP72</f>
        <v>0</v>
      </c>
      <c r="CD72" s="137">
        <f>'бюджет округа (района)'!AP72</f>
        <v>0</v>
      </c>
      <c r="CE72" s="134"/>
      <c r="CF72" s="134"/>
      <c r="CG72" s="135">
        <f t="shared" si="362"/>
        <v>1</v>
      </c>
      <c r="CH72" s="135">
        <f t="shared" si="362"/>
        <v>1</v>
      </c>
      <c r="CI72" s="134">
        <f>'бюджет округа (района)'!AS72+'бюджеты поселений'!AS72</f>
        <v>0</v>
      </c>
      <c r="CJ72" s="137">
        <f>'бюджет округа (района)'!AS72</f>
        <v>0</v>
      </c>
      <c r="CK72" s="134"/>
      <c r="CL72" s="134"/>
      <c r="CM72" s="135">
        <f t="shared" si="363"/>
        <v>1</v>
      </c>
      <c r="CN72" s="135">
        <f t="shared" si="363"/>
        <v>1</v>
      </c>
      <c r="CO72" s="134">
        <f>'бюджет округа (района)'!AV72+'бюджеты поселений'!AV72</f>
        <v>0</v>
      </c>
      <c r="CP72" s="137">
        <f>'бюджет округа (района)'!AV72</f>
        <v>0</v>
      </c>
      <c r="CQ72" s="134"/>
      <c r="CR72" s="134"/>
      <c r="CS72" s="135">
        <f t="shared" si="364"/>
        <v>1</v>
      </c>
      <c r="CT72" s="135">
        <f t="shared" si="364"/>
        <v>1</v>
      </c>
      <c r="CU72" s="134">
        <f>'бюджет округа (района)'!AY72+'бюджеты поселений'!AY72</f>
        <v>0</v>
      </c>
      <c r="CV72" s="137">
        <f>'бюджет округа (района)'!AY72</f>
        <v>0</v>
      </c>
      <c r="CW72" s="134"/>
      <c r="CX72" s="134"/>
      <c r="CY72" s="135">
        <f t="shared" si="365"/>
        <v>1</v>
      </c>
      <c r="CZ72" s="135">
        <f t="shared" si="365"/>
        <v>1</v>
      </c>
      <c r="DA72" s="134">
        <f>'бюджет округа (района)'!BB72+'бюджеты поселений'!BB72</f>
        <v>0</v>
      </c>
      <c r="DB72" s="137">
        <f>'бюджет округа (района)'!BB72</f>
        <v>0</v>
      </c>
      <c r="DC72" s="134"/>
      <c r="DD72" s="134"/>
      <c r="DE72" s="135">
        <f t="shared" si="366"/>
        <v>1</v>
      </c>
      <c r="DF72" s="135">
        <f t="shared" si="366"/>
        <v>1</v>
      </c>
      <c r="DG72" s="134">
        <f>'бюджет округа (района)'!BE72+'бюджеты поселений'!BE72</f>
        <v>0</v>
      </c>
      <c r="DH72" s="137">
        <f>'бюджет округа (района)'!BE72</f>
        <v>0</v>
      </c>
      <c r="DI72" s="134"/>
      <c r="DJ72" s="134"/>
      <c r="DK72" s="135">
        <f t="shared" si="367"/>
        <v>1</v>
      </c>
      <c r="DL72" s="135">
        <f t="shared" si="367"/>
        <v>1</v>
      </c>
      <c r="DM72" s="134">
        <f>'бюджет округа (района)'!BH72+'бюджеты поселений'!BH72</f>
        <v>0</v>
      </c>
      <c r="DN72" s="137">
        <f>'бюджет округа (района)'!BH72</f>
        <v>0</v>
      </c>
      <c r="DO72" s="134">
        <f>'бюджет округа (района)'!BI72+'бюджеты поселений'!BI72</f>
        <v>0</v>
      </c>
      <c r="DP72" s="137">
        <f>'бюджет округа (района)'!BI72</f>
        <v>0</v>
      </c>
      <c r="DQ72" s="134">
        <f>'бюджет округа (района)'!BJ72+'бюджеты поселений'!BJ72</f>
        <v>0</v>
      </c>
      <c r="DR72" s="137">
        <f>'бюджет округа (района)'!BJ72</f>
        <v>0</v>
      </c>
      <c r="DS72" s="135">
        <f t="shared" si="368"/>
        <v>1</v>
      </c>
      <c r="DT72" s="135">
        <f t="shared" si="369"/>
        <v>1</v>
      </c>
      <c r="DU72" s="135">
        <f t="shared" si="370"/>
        <v>1</v>
      </c>
      <c r="DV72" s="135">
        <f t="shared" si="370"/>
        <v>1</v>
      </c>
      <c r="DW72" s="167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</row>
    <row r="73" spans="1:268" s="64" customFormat="1" ht="18.75" hidden="1" customHeight="1">
      <c r="A73" s="33"/>
      <c r="B73" s="174"/>
      <c r="C73" s="134">
        <f>'бюджет округа (района)'!C73+'бюджеты поселений'!C73</f>
        <v>0</v>
      </c>
      <c r="D73" s="137">
        <f>'бюджет округа (района)'!C73</f>
        <v>0</v>
      </c>
      <c r="E73" s="134">
        <f t="shared" si="371"/>
        <v>0</v>
      </c>
      <c r="F73" s="137">
        <f t="shared" si="371"/>
        <v>0</v>
      </c>
      <c r="G73" s="134">
        <f>'бюджет округа (района)'!E73+'бюджеты поселений'!E73</f>
        <v>0</v>
      </c>
      <c r="H73" s="137">
        <f>'бюджет округа (района)'!E73</f>
        <v>0</v>
      </c>
      <c r="I73" s="134">
        <f>'бюджет округа (района)'!F73+'бюджеты поселений'!F73</f>
        <v>0</v>
      </c>
      <c r="J73" s="137">
        <f>'бюджет округа (района)'!F73</f>
        <v>0</v>
      </c>
      <c r="K73" s="134">
        <f t="shared" si="356"/>
        <v>0</v>
      </c>
      <c r="L73" s="134">
        <f t="shared" si="356"/>
        <v>0</v>
      </c>
      <c r="M73" s="134">
        <f>'бюджет округа (района)'!H73+'бюджеты поселений'!H73</f>
        <v>0</v>
      </c>
      <c r="N73" s="137">
        <f>'бюджет округа (района)'!H73</f>
        <v>0</v>
      </c>
      <c r="O73" s="134"/>
      <c r="P73" s="134"/>
      <c r="Q73" s="134">
        <f>'бюджет округа (района)'!J73+'бюджеты поселений'!J73</f>
        <v>0</v>
      </c>
      <c r="R73" s="137">
        <f>'бюджет округа (района)'!J73</f>
        <v>0</v>
      </c>
      <c r="S73" s="134"/>
      <c r="T73" s="134"/>
      <c r="U73" s="134">
        <f>'бюджет округа (района)'!L73+'бюджеты поселений'!L73</f>
        <v>0</v>
      </c>
      <c r="V73" s="137">
        <f>'бюджет округа (района)'!L73</f>
        <v>0</v>
      </c>
      <c r="W73" s="134"/>
      <c r="X73" s="134"/>
      <c r="Y73" s="134">
        <f>'бюджет округа (района)'!N73+'бюджеты поселений'!N73</f>
        <v>0</v>
      </c>
      <c r="Z73" s="137">
        <f>'бюджет округа (района)'!N73</f>
        <v>0</v>
      </c>
      <c r="AA73" s="134"/>
      <c r="AB73" s="134"/>
      <c r="AC73" s="134">
        <f>'бюджет округа (района)'!P73+'бюджеты поселений'!P73</f>
        <v>0</v>
      </c>
      <c r="AD73" s="137">
        <f>'бюджет округа (района)'!P73</f>
        <v>0</v>
      </c>
      <c r="AE73" s="134"/>
      <c r="AF73" s="134"/>
      <c r="AG73" s="134">
        <f>'бюджет округа (района)'!R73+'бюджеты поселений'!R73</f>
        <v>0</v>
      </c>
      <c r="AH73" s="137">
        <f>'бюджет округа (района)'!R73</f>
        <v>0</v>
      </c>
      <c r="AI73" s="134"/>
      <c r="AJ73" s="134"/>
      <c r="AK73" s="134">
        <f>'бюджет округа (района)'!T73+'бюджеты поселений'!T73</f>
        <v>0</v>
      </c>
      <c r="AL73" s="137">
        <f>'бюджет округа (района)'!T73</f>
        <v>0</v>
      </c>
      <c r="AM73" s="134"/>
      <c r="AN73" s="134"/>
      <c r="AO73" s="134">
        <f>'бюджет округа (района)'!V73+'бюджеты поселений'!V73</f>
        <v>0</v>
      </c>
      <c r="AP73" s="137">
        <f>'бюджет округа (района)'!V73</f>
        <v>0</v>
      </c>
      <c r="AQ73" s="134"/>
      <c r="AR73" s="134"/>
      <c r="AS73" s="134">
        <f>'бюджет округа (района)'!X73+'бюджеты поселений'!X73</f>
        <v>0</v>
      </c>
      <c r="AT73" s="137">
        <f>'бюджет округа (района)'!X73</f>
        <v>0</v>
      </c>
      <c r="AU73" s="134"/>
      <c r="AV73" s="134"/>
      <c r="AW73" s="134">
        <f>'бюджет округа (района)'!Z73+'бюджеты поселений'!Z73</f>
        <v>0</v>
      </c>
      <c r="AX73" s="137">
        <f>'бюджет округа (района)'!Z73</f>
        <v>0</v>
      </c>
      <c r="AY73" s="134">
        <f>'бюджет округа (района)'!AA73+'бюджеты поселений'!AA73</f>
        <v>0</v>
      </c>
      <c r="AZ73" s="137">
        <f>'бюджет округа (района)'!AA73</f>
        <v>0</v>
      </c>
      <c r="BA73" s="135">
        <f t="shared" si="355"/>
        <v>1</v>
      </c>
      <c r="BB73" s="135">
        <f t="shared" si="355"/>
        <v>1</v>
      </c>
      <c r="BC73" s="134">
        <f>'бюджет округа (района)'!AC73+'бюджеты поселений'!AC73</f>
        <v>0</v>
      </c>
      <c r="BD73" s="137">
        <f>'бюджет округа (района)'!AC73</f>
        <v>0</v>
      </c>
      <c r="BE73" s="134">
        <f>'бюджет округа (района)'!AD73+'бюджеты поселений'!AD73</f>
        <v>0</v>
      </c>
      <c r="BF73" s="137">
        <f>'бюджет округа (района)'!AD73</f>
        <v>0</v>
      </c>
      <c r="BG73" s="134">
        <f t="shared" si="357"/>
        <v>0</v>
      </c>
      <c r="BH73" s="134">
        <f t="shared" si="357"/>
        <v>0</v>
      </c>
      <c r="BI73" s="135">
        <f t="shared" si="358"/>
        <v>1</v>
      </c>
      <c r="BJ73" s="135">
        <f t="shared" si="358"/>
        <v>1</v>
      </c>
      <c r="BK73" s="134">
        <f>'бюджет округа (района)'!AG73+'бюджеты поселений'!AG73</f>
        <v>0</v>
      </c>
      <c r="BL73" s="137">
        <f>'бюджет округа (района)'!AG73</f>
        <v>0</v>
      </c>
      <c r="BM73" s="134"/>
      <c r="BN73" s="134"/>
      <c r="BO73" s="135">
        <f t="shared" si="359"/>
        <v>1</v>
      </c>
      <c r="BP73" s="135">
        <f t="shared" si="359"/>
        <v>1</v>
      </c>
      <c r="BQ73" s="134">
        <f>'бюджет округа (района)'!AJ73+'бюджеты поселений'!AJ73</f>
        <v>0</v>
      </c>
      <c r="BR73" s="137">
        <f>'бюджет округа (района)'!AJ73</f>
        <v>0</v>
      </c>
      <c r="BS73" s="134"/>
      <c r="BT73" s="134"/>
      <c r="BU73" s="135">
        <f t="shared" si="360"/>
        <v>1</v>
      </c>
      <c r="BV73" s="135">
        <f t="shared" si="360"/>
        <v>1</v>
      </c>
      <c r="BW73" s="134">
        <f>'бюджет округа (района)'!AM73+'бюджеты поселений'!AM73</f>
        <v>0</v>
      </c>
      <c r="BX73" s="137">
        <f>'бюджет округа (района)'!AM73</f>
        <v>0</v>
      </c>
      <c r="BY73" s="134"/>
      <c r="BZ73" s="134"/>
      <c r="CA73" s="135">
        <f t="shared" si="361"/>
        <v>1</v>
      </c>
      <c r="CB73" s="135">
        <f t="shared" si="361"/>
        <v>1</v>
      </c>
      <c r="CC73" s="134">
        <f>'бюджет округа (района)'!AP73+'бюджеты поселений'!AP73</f>
        <v>0</v>
      </c>
      <c r="CD73" s="137">
        <f>'бюджет округа (района)'!AP73</f>
        <v>0</v>
      </c>
      <c r="CE73" s="134"/>
      <c r="CF73" s="134"/>
      <c r="CG73" s="135">
        <f t="shared" si="362"/>
        <v>1</v>
      </c>
      <c r="CH73" s="135">
        <f t="shared" si="362"/>
        <v>1</v>
      </c>
      <c r="CI73" s="134">
        <f>'бюджет округа (района)'!AS73+'бюджеты поселений'!AS73</f>
        <v>0</v>
      </c>
      <c r="CJ73" s="137">
        <f>'бюджет округа (района)'!AS73</f>
        <v>0</v>
      </c>
      <c r="CK73" s="134"/>
      <c r="CL73" s="134"/>
      <c r="CM73" s="135">
        <f t="shared" si="363"/>
        <v>1</v>
      </c>
      <c r="CN73" s="135">
        <f t="shared" si="363"/>
        <v>1</v>
      </c>
      <c r="CO73" s="134">
        <f>'бюджет округа (района)'!AV73+'бюджеты поселений'!AV73</f>
        <v>0</v>
      </c>
      <c r="CP73" s="137">
        <f>'бюджет округа (района)'!AV73</f>
        <v>0</v>
      </c>
      <c r="CQ73" s="134"/>
      <c r="CR73" s="134"/>
      <c r="CS73" s="135">
        <f t="shared" si="364"/>
        <v>1</v>
      </c>
      <c r="CT73" s="135">
        <f t="shared" si="364"/>
        <v>1</v>
      </c>
      <c r="CU73" s="134">
        <f>'бюджет округа (района)'!AY73+'бюджеты поселений'!AY73</f>
        <v>0</v>
      </c>
      <c r="CV73" s="137">
        <f>'бюджет округа (района)'!AY73</f>
        <v>0</v>
      </c>
      <c r="CW73" s="134"/>
      <c r="CX73" s="134"/>
      <c r="CY73" s="135">
        <f t="shared" si="365"/>
        <v>1</v>
      </c>
      <c r="CZ73" s="135">
        <f t="shared" si="365"/>
        <v>1</v>
      </c>
      <c r="DA73" s="134">
        <f>'бюджет округа (района)'!BB73+'бюджеты поселений'!BB73</f>
        <v>0</v>
      </c>
      <c r="DB73" s="137">
        <f>'бюджет округа (района)'!BB73</f>
        <v>0</v>
      </c>
      <c r="DC73" s="134"/>
      <c r="DD73" s="134"/>
      <c r="DE73" s="135">
        <f t="shared" si="366"/>
        <v>1</v>
      </c>
      <c r="DF73" s="135">
        <f t="shared" si="366"/>
        <v>1</v>
      </c>
      <c r="DG73" s="134">
        <f>'бюджет округа (района)'!BE73+'бюджеты поселений'!BE73</f>
        <v>0</v>
      </c>
      <c r="DH73" s="137">
        <f>'бюджет округа (района)'!BE73</f>
        <v>0</v>
      </c>
      <c r="DI73" s="134"/>
      <c r="DJ73" s="134"/>
      <c r="DK73" s="135">
        <f t="shared" si="367"/>
        <v>1</v>
      </c>
      <c r="DL73" s="135">
        <f t="shared" si="367"/>
        <v>1</v>
      </c>
      <c r="DM73" s="134">
        <f>'бюджет округа (района)'!BH73+'бюджеты поселений'!BH73</f>
        <v>0</v>
      </c>
      <c r="DN73" s="137">
        <f>'бюджет округа (района)'!BH73</f>
        <v>0</v>
      </c>
      <c r="DO73" s="134">
        <f>'бюджет округа (района)'!BI73+'бюджеты поселений'!BI73</f>
        <v>0</v>
      </c>
      <c r="DP73" s="137">
        <f>'бюджет округа (района)'!BI73</f>
        <v>0</v>
      </c>
      <c r="DQ73" s="134">
        <f>'бюджет округа (района)'!BJ73+'бюджеты поселений'!BJ73</f>
        <v>0</v>
      </c>
      <c r="DR73" s="137">
        <f>'бюджет округа (района)'!BJ73</f>
        <v>0</v>
      </c>
      <c r="DS73" s="135">
        <f t="shared" si="368"/>
        <v>1</v>
      </c>
      <c r="DT73" s="135">
        <f t="shared" si="369"/>
        <v>1</v>
      </c>
      <c r="DU73" s="135">
        <f t="shared" si="370"/>
        <v>1</v>
      </c>
      <c r="DV73" s="135">
        <f t="shared" si="370"/>
        <v>1</v>
      </c>
      <c r="DW73" s="167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63"/>
      <c r="JA73" s="63"/>
      <c r="JB73" s="63"/>
      <c r="JC73" s="63"/>
      <c r="JD73" s="63"/>
      <c r="JE73" s="63"/>
      <c r="JF73" s="63"/>
      <c r="JG73" s="63"/>
      <c r="JH73" s="63"/>
    </row>
    <row r="74" spans="1:268" s="72" customFormat="1" ht="16.5">
      <c r="A74" s="279" t="s">
        <v>50</v>
      </c>
      <c r="B74" s="280"/>
      <c r="C74" s="130">
        <f>C9-C37</f>
        <v>0</v>
      </c>
      <c r="D74" s="130">
        <f t="shared" ref="D74:AV74" si="372">D9-D37</f>
        <v>0</v>
      </c>
      <c r="E74" s="130">
        <f t="shared" si="372"/>
        <v>0</v>
      </c>
      <c r="F74" s="130">
        <f t="shared" si="372"/>
        <v>0</v>
      </c>
      <c r="G74" s="130">
        <f>G9-G37</f>
        <v>0</v>
      </c>
      <c r="H74" s="130">
        <f t="shared" ref="H74" si="373">H9-H37</f>
        <v>0</v>
      </c>
      <c r="I74" s="130">
        <f>I9-I37</f>
        <v>0</v>
      </c>
      <c r="J74" s="130">
        <f t="shared" ref="J74" si="374">J9-J37</f>
        <v>0</v>
      </c>
      <c r="K74" s="130">
        <f t="shared" si="372"/>
        <v>0</v>
      </c>
      <c r="L74" s="130">
        <f t="shared" si="372"/>
        <v>0</v>
      </c>
      <c r="M74" s="130">
        <f>M9-M37</f>
        <v>0</v>
      </c>
      <c r="N74" s="130">
        <f t="shared" ref="N74" si="375">N9-N37</f>
        <v>0</v>
      </c>
      <c r="O74" s="130">
        <f t="shared" si="372"/>
        <v>0</v>
      </c>
      <c r="P74" s="130">
        <f t="shared" si="372"/>
        <v>0</v>
      </c>
      <c r="Q74" s="130">
        <f>Q9-Q37</f>
        <v>0</v>
      </c>
      <c r="R74" s="130">
        <f t="shared" ref="R74" si="376">R9-R37</f>
        <v>0</v>
      </c>
      <c r="S74" s="130">
        <f t="shared" si="372"/>
        <v>0</v>
      </c>
      <c r="T74" s="130">
        <f t="shared" si="372"/>
        <v>0</v>
      </c>
      <c r="U74" s="130">
        <f>U9-U37</f>
        <v>0</v>
      </c>
      <c r="V74" s="130">
        <f t="shared" ref="V74" si="377">V9-V37</f>
        <v>0</v>
      </c>
      <c r="W74" s="130">
        <f t="shared" si="372"/>
        <v>0</v>
      </c>
      <c r="X74" s="130">
        <f t="shared" si="372"/>
        <v>0</v>
      </c>
      <c r="Y74" s="130">
        <f>Y9-Y37</f>
        <v>0</v>
      </c>
      <c r="Z74" s="130">
        <f t="shared" ref="Z74" si="378">Z9-Z37</f>
        <v>0</v>
      </c>
      <c r="AA74" s="130">
        <f t="shared" si="372"/>
        <v>0</v>
      </c>
      <c r="AB74" s="130">
        <f t="shared" si="372"/>
        <v>0</v>
      </c>
      <c r="AC74" s="130">
        <f>AC9-AC37</f>
        <v>0</v>
      </c>
      <c r="AD74" s="130">
        <f t="shared" ref="AD74" si="379">AD9-AD37</f>
        <v>0</v>
      </c>
      <c r="AE74" s="130">
        <f t="shared" si="372"/>
        <v>0</v>
      </c>
      <c r="AF74" s="130">
        <f t="shared" si="372"/>
        <v>0</v>
      </c>
      <c r="AG74" s="130">
        <f>AG9-AG37</f>
        <v>0</v>
      </c>
      <c r="AH74" s="130">
        <f t="shared" ref="AH74" si="380">AH9-AH37</f>
        <v>0</v>
      </c>
      <c r="AI74" s="130">
        <f t="shared" si="372"/>
        <v>0</v>
      </c>
      <c r="AJ74" s="130">
        <f t="shared" si="372"/>
        <v>0</v>
      </c>
      <c r="AK74" s="130">
        <f>AK9-AK37</f>
        <v>0</v>
      </c>
      <c r="AL74" s="130">
        <f t="shared" ref="AL74" si="381">AL9-AL37</f>
        <v>0</v>
      </c>
      <c r="AM74" s="130">
        <f t="shared" si="372"/>
        <v>0</v>
      </c>
      <c r="AN74" s="130">
        <f t="shared" si="372"/>
        <v>0</v>
      </c>
      <c r="AO74" s="130">
        <f>AO9-AO37</f>
        <v>0</v>
      </c>
      <c r="AP74" s="130">
        <f t="shared" ref="AP74" si="382">AP9-AP37</f>
        <v>0</v>
      </c>
      <c r="AQ74" s="130">
        <f t="shared" si="372"/>
        <v>0</v>
      </c>
      <c r="AR74" s="130">
        <f t="shared" si="372"/>
        <v>0</v>
      </c>
      <c r="AS74" s="130">
        <f>AS9-AS37</f>
        <v>0</v>
      </c>
      <c r="AT74" s="130">
        <f t="shared" ref="AT74" si="383">AT9-AT37</f>
        <v>0</v>
      </c>
      <c r="AU74" s="130">
        <f t="shared" si="372"/>
        <v>0</v>
      </c>
      <c r="AV74" s="130">
        <f t="shared" si="372"/>
        <v>0</v>
      </c>
      <c r="AW74" s="130">
        <f>AW9-AW37</f>
        <v>0</v>
      </c>
      <c r="AX74" s="130">
        <f t="shared" ref="AX74" si="384">AX9-AX37</f>
        <v>0</v>
      </c>
      <c r="AY74" s="130">
        <f>AY9-AY37</f>
        <v>0</v>
      </c>
      <c r="AZ74" s="130">
        <f t="shared" ref="AZ74" si="385">AZ9-AZ37</f>
        <v>0</v>
      </c>
      <c r="BA74" s="143" t="s">
        <v>51</v>
      </c>
      <c r="BB74" s="143" t="s">
        <v>51</v>
      </c>
      <c r="BC74" s="130">
        <f>BC9-BC37</f>
        <v>0</v>
      </c>
      <c r="BD74" s="130">
        <f t="shared" ref="BD74" si="386">BD9-BD37</f>
        <v>0</v>
      </c>
      <c r="BE74" s="130">
        <f>BE9-BE37</f>
        <v>0</v>
      </c>
      <c r="BF74" s="130">
        <f t="shared" ref="BF74:DJ74" si="387">BF9-BF37</f>
        <v>0</v>
      </c>
      <c r="BG74" s="130">
        <f t="shared" si="387"/>
        <v>0</v>
      </c>
      <c r="BH74" s="130">
        <f t="shared" si="387"/>
        <v>0</v>
      </c>
      <c r="BI74" s="143" t="s">
        <v>51</v>
      </c>
      <c r="BJ74" s="143" t="s">
        <v>51</v>
      </c>
      <c r="BK74" s="130">
        <f>BK9-BK37</f>
        <v>0</v>
      </c>
      <c r="BL74" s="130">
        <f t="shared" ref="BL74" si="388">BL9-BL37</f>
        <v>0</v>
      </c>
      <c r="BM74" s="130">
        <f t="shared" si="387"/>
        <v>0</v>
      </c>
      <c r="BN74" s="130">
        <f t="shared" si="387"/>
        <v>0</v>
      </c>
      <c r="BO74" s="143" t="s">
        <v>51</v>
      </c>
      <c r="BP74" s="143" t="s">
        <v>51</v>
      </c>
      <c r="BQ74" s="130">
        <f>BQ9-BQ37</f>
        <v>0</v>
      </c>
      <c r="BR74" s="130">
        <f t="shared" ref="BR74" si="389">BR9-BR37</f>
        <v>0</v>
      </c>
      <c r="BS74" s="130">
        <f t="shared" si="387"/>
        <v>0</v>
      </c>
      <c r="BT74" s="130">
        <f t="shared" si="387"/>
        <v>0</v>
      </c>
      <c r="BU74" s="143" t="s">
        <v>51</v>
      </c>
      <c r="BV74" s="143" t="s">
        <v>51</v>
      </c>
      <c r="BW74" s="130">
        <f>BW9-BW37</f>
        <v>0</v>
      </c>
      <c r="BX74" s="130">
        <f t="shared" ref="BX74" si="390">BX9-BX37</f>
        <v>0</v>
      </c>
      <c r="BY74" s="130">
        <f t="shared" si="387"/>
        <v>0</v>
      </c>
      <c r="BZ74" s="130">
        <f t="shared" si="387"/>
        <v>0</v>
      </c>
      <c r="CA74" s="143" t="s">
        <v>51</v>
      </c>
      <c r="CB74" s="143" t="s">
        <v>51</v>
      </c>
      <c r="CC74" s="130">
        <f>CC9-CC37</f>
        <v>0</v>
      </c>
      <c r="CD74" s="130">
        <f t="shared" ref="CD74" si="391">CD9-CD37</f>
        <v>0</v>
      </c>
      <c r="CE74" s="130">
        <f t="shared" si="387"/>
        <v>0</v>
      </c>
      <c r="CF74" s="130">
        <f t="shared" si="387"/>
        <v>0</v>
      </c>
      <c r="CG74" s="143" t="s">
        <v>51</v>
      </c>
      <c r="CH74" s="143" t="s">
        <v>51</v>
      </c>
      <c r="CI74" s="130">
        <f>CI9-CI37</f>
        <v>0</v>
      </c>
      <c r="CJ74" s="130">
        <f t="shared" ref="CJ74" si="392">CJ9-CJ37</f>
        <v>0</v>
      </c>
      <c r="CK74" s="130">
        <f t="shared" si="387"/>
        <v>0</v>
      </c>
      <c r="CL74" s="130">
        <f t="shared" si="387"/>
        <v>0</v>
      </c>
      <c r="CM74" s="143" t="s">
        <v>51</v>
      </c>
      <c r="CN74" s="143" t="s">
        <v>51</v>
      </c>
      <c r="CO74" s="130">
        <f>CO9-CO37</f>
        <v>0</v>
      </c>
      <c r="CP74" s="130">
        <f t="shared" ref="CP74" si="393">CP9-CP37</f>
        <v>0</v>
      </c>
      <c r="CQ74" s="130">
        <f t="shared" si="387"/>
        <v>0</v>
      </c>
      <c r="CR74" s="130">
        <f t="shared" si="387"/>
        <v>0</v>
      </c>
      <c r="CS74" s="143" t="s">
        <v>51</v>
      </c>
      <c r="CT74" s="143" t="s">
        <v>51</v>
      </c>
      <c r="CU74" s="130">
        <f>CU9-CU37</f>
        <v>0</v>
      </c>
      <c r="CV74" s="130">
        <f t="shared" ref="CV74" si="394">CV9-CV37</f>
        <v>0</v>
      </c>
      <c r="CW74" s="130">
        <f t="shared" si="387"/>
        <v>0</v>
      </c>
      <c r="CX74" s="130">
        <f t="shared" si="387"/>
        <v>0</v>
      </c>
      <c r="CY74" s="143" t="s">
        <v>51</v>
      </c>
      <c r="CZ74" s="143" t="s">
        <v>51</v>
      </c>
      <c r="DA74" s="130">
        <f>DA9-DA37</f>
        <v>0</v>
      </c>
      <c r="DB74" s="130">
        <f t="shared" ref="DB74" si="395">DB9-DB37</f>
        <v>0</v>
      </c>
      <c r="DC74" s="130">
        <f t="shared" si="387"/>
        <v>0</v>
      </c>
      <c r="DD74" s="130">
        <f t="shared" si="387"/>
        <v>0</v>
      </c>
      <c r="DE74" s="143" t="s">
        <v>51</v>
      </c>
      <c r="DF74" s="143" t="s">
        <v>51</v>
      </c>
      <c r="DG74" s="130">
        <f>DG9-DG37</f>
        <v>0</v>
      </c>
      <c r="DH74" s="130">
        <f t="shared" ref="DH74" si="396">DH9-DH37</f>
        <v>0</v>
      </c>
      <c r="DI74" s="130">
        <f t="shared" si="387"/>
        <v>0</v>
      </c>
      <c r="DJ74" s="130">
        <f t="shared" si="387"/>
        <v>0</v>
      </c>
      <c r="DK74" s="143" t="s">
        <v>51</v>
      </c>
      <c r="DL74" s="143" t="s">
        <v>51</v>
      </c>
      <c r="DM74" s="130">
        <f>DM9-DM37</f>
        <v>0</v>
      </c>
      <c r="DN74" s="130">
        <f t="shared" ref="DN74" si="397">DN9-DN37</f>
        <v>0</v>
      </c>
      <c r="DO74" s="130">
        <f>DO9-DO37</f>
        <v>0</v>
      </c>
      <c r="DP74" s="130">
        <f t="shared" ref="DP74" si="398">DP9-DP37</f>
        <v>0</v>
      </c>
      <c r="DQ74" s="130">
        <f>DQ9-DQ37</f>
        <v>0</v>
      </c>
      <c r="DR74" s="130">
        <f t="shared" ref="DR74" si="399">DR9-DR37</f>
        <v>0</v>
      </c>
      <c r="DS74" s="143" t="s">
        <v>51</v>
      </c>
      <c r="DT74" s="143" t="s">
        <v>51</v>
      </c>
      <c r="DU74" s="143" t="s">
        <v>51</v>
      </c>
      <c r="DV74" s="143" t="s">
        <v>51</v>
      </c>
      <c r="DW74" s="165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  <c r="IV74" s="71"/>
      <c r="IW74" s="71"/>
      <c r="IX74" s="71"/>
      <c r="IY74" s="71"/>
      <c r="IZ74" s="71"/>
      <c r="JA74" s="71"/>
      <c r="JB74" s="71"/>
      <c r="JC74" s="71"/>
      <c r="JD74" s="71"/>
      <c r="JE74" s="71"/>
      <c r="JF74" s="71"/>
      <c r="JG74" s="71"/>
      <c r="JH74" s="71"/>
    </row>
    <row r="75" spans="1:268" s="75" customFormat="1" ht="18" customHeight="1">
      <c r="A75" s="283" t="s">
        <v>52</v>
      </c>
      <c r="B75" s="284"/>
      <c r="C75" s="133" t="e">
        <f t="shared" ref="C75:AH75" si="400">IF(C74&gt;0,"-",-C74/(C10-C12))</f>
        <v>#DIV/0!</v>
      </c>
      <c r="D75" s="133" t="e">
        <f t="shared" si="400"/>
        <v>#DIV/0!</v>
      </c>
      <c r="E75" s="133" t="e">
        <f t="shared" si="400"/>
        <v>#DIV/0!</v>
      </c>
      <c r="F75" s="133" t="e">
        <f t="shared" si="400"/>
        <v>#DIV/0!</v>
      </c>
      <c r="G75" s="133" t="e">
        <f t="shared" si="400"/>
        <v>#DIV/0!</v>
      </c>
      <c r="H75" s="133" t="e">
        <f t="shared" si="400"/>
        <v>#DIV/0!</v>
      </c>
      <c r="I75" s="133" t="e">
        <f t="shared" si="400"/>
        <v>#DIV/0!</v>
      </c>
      <c r="J75" s="133" t="e">
        <f t="shared" si="400"/>
        <v>#DIV/0!</v>
      </c>
      <c r="K75" s="133" t="e">
        <f t="shared" si="400"/>
        <v>#DIV/0!</v>
      </c>
      <c r="L75" s="133" t="e">
        <f t="shared" si="400"/>
        <v>#DIV/0!</v>
      </c>
      <c r="M75" s="133" t="e">
        <f t="shared" si="400"/>
        <v>#DIV/0!</v>
      </c>
      <c r="N75" s="133" t="e">
        <f t="shared" si="400"/>
        <v>#DIV/0!</v>
      </c>
      <c r="O75" s="133" t="e">
        <f t="shared" si="400"/>
        <v>#DIV/0!</v>
      </c>
      <c r="P75" s="133" t="e">
        <f t="shared" si="400"/>
        <v>#DIV/0!</v>
      </c>
      <c r="Q75" s="133" t="e">
        <f t="shared" si="400"/>
        <v>#DIV/0!</v>
      </c>
      <c r="R75" s="133" t="e">
        <f t="shared" si="400"/>
        <v>#DIV/0!</v>
      </c>
      <c r="S75" s="133" t="e">
        <f t="shared" si="400"/>
        <v>#DIV/0!</v>
      </c>
      <c r="T75" s="133" t="e">
        <f t="shared" si="400"/>
        <v>#DIV/0!</v>
      </c>
      <c r="U75" s="133" t="e">
        <f t="shared" si="400"/>
        <v>#DIV/0!</v>
      </c>
      <c r="V75" s="133" t="e">
        <f t="shared" si="400"/>
        <v>#DIV/0!</v>
      </c>
      <c r="W75" s="133" t="e">
        <f t="shared" si="400"/>
        <v>#DIV/0!</v>
      </c>
      <c r="X75" s="133" t="e">
        <f t="shared" si="400"/>
        <v>#DIV/0!</v>
      </c>
      <c r="Y75" s="133" t="e">
        <f t="shared" si="400"/>
        <v>#DIV/0!</v>
      </c>
      <c r="Z75" s="133" t="e">
        <f t="shared" si="400"/>
        <v>#DIV/0!</v>
      </c>
      <c r="AA75" s="133" t="e">
        <f t="shared" si="400"/>
        <v>#DIV/0!</v>
      </c>
      <c r="AB75" s="133" t="e">
        <f t="shared" si="400"/>
        <v>#DIV/0!</v>
      </c>
      <c r="AC75" s="133" t="e">
        <f t="shared" si="400"/>
        <v>#DIV/0!</v>
      </c>
      <c r="AD75" s="133" t="e">
        <f t="shared" si="400"/>
        <v>#DIV/0!</v>
      </c>
      <c r="AE75" s="133" t="e">
        <f t="shared" si="400"/>
        <v>#DIV/0!</v>
      </c>
      <c r="AF75" s="133" t="e">
        <f t="shared" si="400"/>
        <v>#DIV/0!</v>
      </c>
      <c r="AG75" s="133" t="e">
        <f t="shared" si="400"/>
        <v>#DIV/0!</v>
      </c>
      <c r="AH75" s="133" t="e">
        <f t="shared" si="400"/>
        <v>#DIV/0!</v>
      </c>
      <c r="AI75" s="133" t="e">
        <f t="shared" ref="AI75:AZ75" si="401">IF(AI74&gt;0,"-",-AI74/(AI10-AI12))</f>
        <v>#DIV/0!</v>
      </c>
      <c r="AJ75" s="133" t="e">
        <f t="shared" si="401"/>
        <v>#DIV/0!</v>
      </c>
      <c r="AK75" s="133" t="e">
        <f t="shared" si="401"/>
        <v>#DIV/0!</v>
      </c>
      <c r="AL75" s="133" t="e">
        <f t="shared" si="401"/>
        <v>#DIV/0!</v>
      </c>
      <c r="AM75" s="133" t="e">
        <f t="shared" si="401"/>
        <v>#DIV/0!</v>
      </c>
      <c r="AN75" s="133" t="e">
        <f t="shared" si="401"/>
        <v>#DIV/0!</v>
      </c>
      <c r="AO75" s="133" t="e">
        <f t="shared" si="401"/>
        <v>#DIV/0!</v>
      </c>
      <c r="AP75" s="133" t="e">
        <f t="shared" si="401"/>
        <v>#DIV/0!</v>
      </c>
      <c r="AQ75" s="133" t="e">
        <f t="shared" si="401"/>
        <v>#DIV/0!</v>
      </c>
      <c r="AR75" s="133" t="e">
        <f t="shared" si="401"/>
        <v>#DIV/0!</v>
      </c>
      <c r="AS75" s="133" t="e">
        <f t="shared" si="401"/>
        <v>#DIV/0!</v>
      </c>
      <c r="AT75" s="133" t="e">
        <f t="shared" si="401"/>
        <v>#DIV/0!</v>
      </c>
      <c r="AU75" s="133" t="e">
        <f t="shared" si="401"/>
        <v>#DIV/0!</v>
      </c>
      <c r="AV75" s="133" t="e">
        <f t="shared" si="401"/>
        <v>#DIV/0!</v>
      </c>
      <c r="AW75" s="133" t="e">
        <f t="shared" si="401"/>
        <v>#DIV/0!</v>
      </c>
      <c r="AX75" s="133" t="e">
        <f t="shared" si="401"/>
        <v>#DIV/0!</v>
      </c>
      <c r="AY75" s="133" t="e">
        <f t="shared" si="401"/>
        <v>#DIV/0!</v>
      </c>
      <c r="AZ75" s="133" t="e">
        <f t="shared" si="401"/>
        <v>#DIV/0!</v>
      </c>
      <c r="BA75" s="144" t="s">
        <v>51</v>
      </c>
      <c r="BB75" s="144" t="s">
        <v>51</v>
      </c>
      <c r="BC75" s="133" t="e">
        <f t="shared" ref="BC75:BH75" si="402">IF(BC74&gt;0,"-",-BC74/(BC10-BC12))</f>
        <v>#DIV/0!</v>
      </c>
      <c r="BD75" s="133" t="e">
        <f t="shared" si="402"/>
        <v>#DIV/0!</v>
      </c>
      <c r="BE75" s="133" t="e">
        <f t="shared" si="402"/>
        <v>#DIV/0!</v>
      </c>
      <c r="BF75" s="133" t="e">
        <f t="shared" si="402"/>
        <v>#DIV/0!</v>
      </c>
      <c r="BG75" s="133" t="e">
        <f t="shared" si="402"/>
        <v>#DIV/0!</v>
      </c>
      <c r="BH75" s="133" t="e">
        <f t="shared" si="402"/>
        <v>#DIV/0!</v>
      </c>
      <c r="BI75" s="144" t="s">
        <v>51</v>
      </c>
      <c r="BJ75" s="144" t="s">
        <v>51</v>
      </c>
      <c r="BK75" s="133" t="e">
        <f>IF(BK74&gt;0,"-",-BK74/(BK10-BK12))</f>
        <v>#DIV/0!</v>
      </c>
      <c r="BL75" s="133" t="e">
        <f>IF(BL74&gt;0,"-",-BL74/(BL10-BL12))</f>
        <v>#DIV/0!</v>
      </c>
      <c r="BM75" s="133" t="e">
        <f>IF(BM74&gt;0,"-",-BM74/(BM10-BM12))</f>
        <v>#DIV/0!</v>
      </c>
      <c r="BN75" s="133" t="e">
        <f>IF(BN74&gt;0,"-",-BN74/(BN10-BN12))</f>
        <v>#DIV/0!</v>
      </c>
      <c r="BO75" s="144" t="s">
        <v>51</v>
      </c>
      <c r="BP75" s="144" t="s">
        <v>51</v>
      </c>
      <c r="BQ75" s="133" t="e">
        <f>IF(BQ74&gt;0,"-",-BQ74/(BQ10-BQ12))</f>
        <v>#DIV/0!</v>
      </c>
      <c r="BR75" s="133" t="e">
        <f>IF(BR74&gt;0,"-",-BR74/(BR10-BR12))</f>
        <v>#DIV/0!</v>
      </c>
      <c r="BS75" s="133" t="e">
        <f>IF(BS74&gt;0,"-",-BS74/(BS10-BS12))</f>
        <v>#DIV/0!</v>
      </c>
      <c r="BT75" s="133" t="e">
        <f>IF(BT74&gt;0,"-",-BT74/(BT10-BT12))</f>
        <v>#DIV/0!</v>
      </c>
      <c r="BU75" s="144" t="s">
        <v>51</v>
      </c>
      <c r="BV75" s="144" t="s">
        <v>51</v>
      </c>
      <c r="BW75" s="133" t="e">
        <f>IF(BW74&gt;0,"-",-BW74/(BW10-BW12))</f>
        <v>#DIV/0!</v>
      </c>
      <c r="BX75" s="133" t="e">
        <f>IF(BX74&gt;0,"-",-BX74/(BX10-BX12))</f>
        <v>#DIV/0!</v>
      </c>
      <c r="BY75" s="133" t="e">
        <f>IF(BY74&gt;0,"-",-BY74/(BY10-BY12))</f>
        <v>#DIV/0!</v>
      </c>
      <c r="BZ75" s="133" t="e">
        <f>IF(BZ74&gt;0,"-",-BZ74/(BZ10-BZ12))</f>
        <v>#DIV/0!</v>
      </c>
      <c r="CA75" s="144" t="s">
        <v>51</v>
      </c>
      <c r="CB75" s="144" t="s">
        <v>51</v>
      </c>
      <c r="CC75" s="133" t="e">
        <f>IF(CC74&gt;0,"-",-CC74/(CC10-CC12))</f>
        <v>#DIV/0!</v>
      </c>
      <c r="CD75" s="133" t="e">
        <f>IF(CD74&gt;0,"-",-CD74/(CD10-CD12))</f>
        <v>#DIV/0!</v>
      </c>
      <c r="CE75" s="133" t="e">
        <f>IF(CE74&gt;0,"-",-CE74/(CE10-CE12))</f>
        <v>#DIV/0!</v>
      </c>
      <c r="CF75" s="133" t="e">
        <f>IF(CF74&gt;0,"-",-CF74/(CF10-CF12))</f>
        <v>#DIV/0!</v>
      </c>
      <c r="CG75" s="144" t="s">
        <v>51</v>
      </c>
      <c r="CH75" s="144" t="s">
        <v>51</v>
      </c>
      <c r="CI75" s="133" t="e">
        <f>IF(CI74&gt;0,"-",-CI74/(CI10-CI12))</f>
        <v>#DIV/0!</v>
      </c>
      <c r="CJ75" s="133" t="e">
        <f>IF(CJ74&gt;0,"-",-CJ74/(CJ10-CJ12))</f>
        <v>#DIV/0!</v>
      </c>
      <c r="CK75" s="133" t="e">
        <f>IF(CK74&gt;0,"-",-CK74/(CK10-CK12))</f>
        <v>#DIV/0!</v>
      </c>
      <c r="CL75" s="133" t="e">
        <f>IF(CL74&gt;0,"-",-CL74/(CL10-CL12))</f>
        <v>#DIV/0!</v>
      </c>
      <c r="CM75" s="144" t="s">
        <v>51</v>
      </c>
      <c r="CN75" s="144" t="s">
        <v>51</v>
      </c>
      <c r="CO75" s="133" t="e">
        <f>IF(CO74&gt;0,"-",-CO74/(CO10-CO12))</f>
        <v>#DIV/0!</v>
      </c>
      <c r="CP75" s="133" t="e">
        <f>IF(CP74&gt;0,"-",-CP74/(CP10-CP12))</f>
        <v>#DIV/0!</v>
      </c>
      <c r="CQ75" s="133" t="e">
        <f>IF(CQ74&gt;0,"-",-CQ74/(CQ10-CQ12))</f>
        <v>#DIV/0!</v>
      </c>
      <c r="CR75" s="133" t="e">
        <f>IF(CR74&gt;0,"-",-CR74/(CR10-CR12))</f>
        <v>#DIV/0!</v>
      </c>
      <c r="CS75" s="144" t="s">
        <v>51</v>
      </c>
      <c r="CT75" s="144" t="s">
        <v>51</v>
      </c>
      <c r="CU75" s="133" t="e">
        <f>IF(CU74&gt;0,"-",-CU74/(CU10-CU12))</f>
        <v>#DIV/0!</v>
      </c>
      <c r="CV75" s="133" t="e">
        <f>IF(CV74&gt;0,"-",-CV74/(CV10-CV12))</f>
        <v>#DIV/0!</v>
      </c>
      <c r="CW75" s="133" t="e">
        <f>IF(CW74&gt;0,"-",-CW74/(CW10-CW12))</f>
        <v>#DIV/0!</v>
      </c>
      <c r="CX75" s="133" t="e">
        <f>IF(CX74&gt;0,"-",-CX74/(CX10-CX12))</f>
        <v>#DIV/0!</v>
      </c>
      <c r="CY75" s="144" t="s">
        <v>51</v>
      </c>
      <c r="CZ75" s="144" t="s">
        <v>51</v>
      </c>
      <c r="DA75" s="133" t="e">
        <f>IF(DA74&gt;0,"-",-DA74/(DA10-DA12))</f>
        <v>#DIV/0!</v>
      </c>
      <c r="DB75" s="133" t="e">
        <f>IF(DB74&gt;0,"-",-DB74/(DB10-DB12))</f>
        <v>#DIV/0!</v>
      </c>
      <c r="DC75" s="133" t="e">
        <f>IF(DC74&gt;0,"-",-DC74/(DC10-DC12))</f>
        <v>#DIV/0!</v>
      </c>
      <c r="DD75" s="133" t="e">
        <f>IF(DD74&gt;0,"-",-DD74/(DD10-DD12))</f>
        <v>#DIV/0!</v>
      </c>
      <c r="DE75" s="144" t="s">
        <v>51</v>
      </c>
      <c r="DF75" s="144" t="s">
        <v>51</v>
      </c>
      <c r="DG75" s="133" t="e">
        <f>IF(DG74&gt;0,"-",-DG74/(DG10-DG12))</f>
        <v>#DIV/0!</v>
      </c>
      <c r="DH75" s="133" t="e">
        <f>IF(DH74&gt;0,"-",-DH74/(DH10-DH12))</f>
        <v>#DIV/0!</v>
      </c>
      <c r="DI75" s="133" t="e">
        <f>IF(DI74&gt;0,"-",-DI74/(DI10-DI12))</f>
        <v>#DIV/0!</v>
      </c>
      <c r="DJ75" s="133" t="e">
        <f>IF(DJ74&gt;0,"-",-DJ74/(DJ10-DJ12))</f>
        <v>#DIV/0!</v>
      </c>
      <c r="DK75" s="144" t="s">
        <v>51</v>
      </c>
      <c r="DL75" s="144" t="s">
        <v>51</v>
      </c>
      <c r="DM75" s="133" t="e">
        <f t="shared" ref="DM75:DR75" si="403">IF(DM74&gt;0,"-",-DM74/(DM10-DM12))</f>
        <v>#DIV/0!</v>
      </c>
      <c r="DN75" s="133" t="e">
        <f t="shared" si="403"/>
        <v>#DIV/0!</v>
      </c>
      <c r="DO75" s="133" t="e">
        <f t="shared" si="403"/>
        <v>#DIV/0!</v>
      </c>
      <c r="DP75" s="133" t="e">
        <f t="shared" si="403"/>
        <v>#DIV/0!</v>
      </c>
      <c r="DQ75" s="133" t="e">
        <f t="shared" si="403"/>
        <v>#DIV/0!</v>
      </c>
      <c r="DR75" s="133" t="e">
        <f t="shared" si="403"/>
        <v>#DIV/0!</v>
      </c>
      <c r="DS75" s="144" t="s">
        <v>51</v>
      </c>
      <c r="DT75" s="144" t="s">
        <v>51</v>
      </c>
      <c r="DU75" s="144" t="s">
        <v>51</v>
      </c>
      <c r="DV75" s="144" t="s">
        <v>51</v>
      </c>
      <c r="DW75" s="73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4"/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  <c r="IM75" s="74"/>
      <c r="IN75" s="74"/>
      <c r="IO75" s="74"/>
      <c r="IP75" s="74"/>
      <c r="IQ75" s="74"/>
      <c r="IR75" s="74"/>
      <c r="IS75" s="74"/>
      <c r="IT75" s="74"/>
      <c r="IU75" s="74"/>
      <c r="IV75" s="74"/>
      <c r="IW75" s="74"/>
      <c r="IX75" s="74"/>
      <c r="IY75" s="74"/>
      <c r="IZ75" s="74"/>
      <c r="JA75" s="74"/>
      <c r="JB75" s="74"/>
      <c r="JC75" s="74"/>
      <c r="JD75" s="74"/>
      <c r="JE75" s="74"/>
      <c r="JF75" s="74"/>
      <c r="JG75" s="74"/>
      <c r="JH75" s="74"/>
    </row>
    <row r="76" spans="1:268" s="75" customFormat="1" ht="19.5" customHeight="1">
      <c r="A76" s="306" t="s">
        <v>127</v>
      </c>
      <c r="B76" s="307"/>
      <c r="C76" s="145" t="str">
        <f t="shared" ref="C76:AH76" si="404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404"/>
        <v>-</v>
      </c>
      <c r="E76" s="145" t="str">
        <f t="shared" si="404"/>
        <v>-</v>
      </c>
      <c r="F76" s="145" t="str">
        <f t="shared" si="404"/>
        <v>-</v>
      </c>
      <c r="G76" s="145" t="str">
        <f t="shared" si="404"/>
        <v>-</v>
      </c>
      <c r="H76" s="145" t="str">
        <f t="shared" si="404"/>
        <v>-</v>
      </c>
      <c r="I76" s="145" t="str">
        <f t="shared" si="404"/>
        <v>-</v>
      </c>
      <c r="J76" s="145" t="str">
        <f t="shared" si="404"/>
        <v>-</v>
      </c>
      <c r="K76" s="145" t="str">
        <f t="shared" si="404"/>
        <v>-</v>
      </c>
      <c r="L76" s="145" t="str">
        <f t="shared" si="404"/>
        <v>-</v>
      </c>
      <c r="M76" s="145" t="str">
        <f t="shared" si="404"/>
        <v>-</v>
      </c>
      <c r="N76" s="145" t="str">
        <f t="shared" si="404"/>
        <v>-</v>
      </c>
      <c r="O76" s="145" t="str">
        <f t="shared" si="404"/>
        <v>-</v>
      </c>
      <c r="P76" s="145" t="str">
        <f t="shared" si="404"/>
        <v>-</v>
      </c>
      <c r="Q76" s="145" t="str">
        <f t="shared" si="404"/>
        <v>-</v>
      </c>
      <c r="R76" s="145" t="str">
        <f t="shared" si="404"/>
        <v>-</v>
      </c>
      <c r="S76" s="145" t="str">
        <f t="shared" si="404"/>
        <v>-</v>
      </c>
      <c r="T76" s="145" t="str">
        <f t="shared" si="404"/>
        <v>-</v>
      </c>
      <c r="U76" s="145" t="str">
        <f t="shared" si="404"/>
        <v>-</v>
      </c>
      <c r="V76" s="145" t="str">
        <f t="shared" si="404"/>
        <v>-</v>
      </c>
      <c r="W76" s="145" t="str">
        <f t="shared" si="404"/>
        <v>-</v>
      </c>
      <c r="X76" s="145" t="str">
        <f t="shared" si="404"/>
        <v>-</v>
      </c>
      <c r="Y76" s="145" t="str">
        <f t="shared" si="404"/>
        <v>-</v>
      </c>
      <c r="Z76" s="145" t="str">
        <f t="shared" si="404"/>
        <v>-</v>
      </c>
      <c r="AA76" s="145" t="str">
        <f t="shared" si="404"/>
        <v>-</v>
      </c>
      <c r="AB76" s="145" t="str">
        <f t="shared" si="404"/>
        <v>-</v>
      </c>
      <c r="AC76" s="145" t="str">
        <f t="shared" si="404"/>
        <v>-</v>
      </c>
      <c r="AD76" s="145" t="str">
        <f t="shared" si="404"/>
        <v>-</v>
      </c>
      <c r="AE76" s="145" t="str">
        <f t="shared" si="404"/>
        <v>-</v>
      </c>
      <c r="AF76" s="145" t="str">
        <f t="shared" si="404"/>
        <v>-</v>
      </c>
      <c r="AG76" s="145" t="str">
        <f t="shared" si="404"/>
        <v>-</v>
      </c>
      <c r="AH76" s="145" t="str">
        <f t="shared" si="404"/>
        <v>-</v>
      </c>
      <c r="AI76" s="145" t="str">
        <f t="shared" ref="AI76:AZ76" si="405">IF(OR(AI10-AI12=0,AI74&gt;=0),"-",IF(AND(AI78&lt;=0,AI87&lt;=0),(-AI74)/(AI10-AI12),IF(AND(AI87&gt;0,AI78&lt;=0),(-AI74-AI87)/(AI10-AI12),IF(AND(AI87&lt;=0,AI78&gt;0),(-AI74-AI78)/(AI10-AI12),(-AI74-AI78-AI87)/(AI10-AI12)))))</f>
        <v>-</v>
      </c>
      <c r="AJ76" s="145" t="str">
        <f t="shared" si="405"/>
        <v>-</v>
      </c>
      <c r="AK76" s="145" t="str">
        <f t="shared" si="405"/>
        <v>-</v>
      </c>
      <c r="AL76" s="145" t="str">
        <f t="shared" si="405"/>
        <v>-</v>
      </c>
      <c r="AM76" s="145" t="str">
        <f t="shared" si="405"/>
        <v>-</v>
      </c>
      <c r="AN76" s="145" t="str">
        <f t="shared" si="405"/>
        <v>-</v>
      </c>
      <c r="AO76" s="145" t="str">
        <f t="shared" si="405"/>
        <v>-</v>
      </c>
      <c r="AP76" s="145" t="str">
        <f t="shared" si="405"/>
        <v>-</v>
      </c>
      <c r="AQ76" s="145" t="str">
        <f t="shared" si="405"/>
        <v>-</v>
      </c>
      <c r="AR76" s="145" t="str">
        <f t="shared" si="405"/>
        <v>-</v>
      </c>
      <c r="AS76" s="145" t="str">
        <f t="shared" si="405"/>
        <v>-</v>
      </c>
      <c r="AT76" s="145" t="str">
        <f t="shared" si="405"/>
        <v>-</v>
      </c>
      <c r="AU76" s="145" t="str">
        <f t="shared" si="405"/>
        <v>-</v>
      </c>
      <c r="AV76" s="145" t="str">
        <f t="shared" si="405"/>
        <v>-</v>
      </c>
      <c r="AW76" s="145" t="str">
        <f t="shared" si="405"/>
        <v>-</v>
      </c>
      <c r="AX76" s="145" t="str">
        <f t="shared" si="405"/>
        <v>-</v>
      </c>
      <c r="AY76" s="145" t="str">
        <f t="shared" si="405"/>
        <v>-</v>
      </c>
      <c r="AZ76" s="145" t="str">
        <f t="shared" si="405"/>
        <v>-</v>
      </c>
      <c r="BA76" s="144" t="s">
        <v>51</v>
      </c>
      <c r="BB76" s="144" t="s">
        <v>51</v>
      </c>
      <c r="BC76" s="145" t="str">
        <f t="shared" ref="BC76:BH76" si="406"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5" t="str">
        <f t="shared" si="406"/>
        <v>-</v>
      </c>
      <c r="BE76" s="145" t="str">
        <f t="shared" si="406"/>
        <v>-</v>
      </c>
      <c r="BF76" s="145" t="str">
        <f t="shared" si="406"/>
        <v>-</v>
      </c>
      <c r="BG76" s="145" t="str">
        <f t="shared" si="406"/>
        <v>-</v>
      </c>
      <c r="BH76" s="145" t="str">
        <f t="shared" si="406"/>
        <v>-</v>
      </c>
      <c r="BI76" s="144" t="s">
        <v>51</v>
      </c>
      <c r="BJ76" s="144" t="s">
        <v>51</v>
      </c>
      <c r="BK76" s="145" t="str">
        <f>IF(OR(BK10-BK12=0,BK74&gt;=0),"-",IF(AND(BK78&lt;=0,BK87&lt;=0),(-BK74)/(BK10-BK12),IF(AND(BK87&gt;0,BK78&lt;=0),(-BK74-BK87)/(BK10-BK12),IF(AND(BK87&lt;=0,BK78&gt;0),(-BK74-BK78)/(BK10-BK12),(-BK74-BK78-BK87)/(BK10-BK12)))))</f>
        <v>-</v>
      </c>
      <c r="BL76" s="145" t="str">
        <f>IF(OR(BL10-BL12=0,BL74&gt;=0),"-",IF(AND(BL78&lt;=0,BL87&lt;=0),(-BL74)/(BL10-BL12),IF(AND(BL87&gt;0,BL78&lt;=0),(-BL74-BL87)/(BL10-BL12),IF(AND(BL87&lt;=0,BL78&gt;0),(-BL74-BL78)/(BL10-BL12),(-BL74-BL78-BL87)/(BL10-BL12)))))</f>
        <v>-</v>
      </c>
      <c r="BM76" s="145" t="str">
        <f>IF(OR(BM10-BM12=0,BM74&gt;=0),"-",IF(AND(BM78&lt;=0,BM87&lt;=0),(-BM74)/(BM10-BM12),IF(AND(BM87&gt;0,BM78&lt;=0),(-BM74-BM87)/(BM10-BM12),IF(AND(BM87&lt;=0,BM78&gt;0),(-BM74-BM78)/(BM10-BM12),(-BM74-BM78-BM87)/(BM10-BM12)))))</f>
        <v>-</v>
      </c>
      <c r="BN76" s="145" t="str">
        <f>IF(OR(BN10-BN12=0,BN74&gt;=0),"-",IF(AND(BN78&lt;=0,BN87&lt;=0),(-BN74)/(BN10-BN12),IF(AND(BN87&gt;0,BN78&lt;=0),(-BN74-BN87)/(BN10-BN12),IF(AND(BN87&lt;=0,BN78&gt;0),(-BN74-BN78)/(BN10-BN12),(-BN74-BN78-BN87)/(BN10-BN12)))))</f>
        <v>-</v>
      </c>
      <c r="BO76" s="144" t="s">
        <v>51</v>
      </c>
      <c r="BP76" s="144" t="s">
        <v>51</v>
      </c>
      <c r="BQ76" s="145" t="str">
        <f>IF(OR(BQ10-BQ12=0,BQ74&gt;=0),"-",IF(AND(BQ78&lt;=0,BQ87&lt;=0),(-BQ74)/(BQ10-BQ12),IF(AND(BQ87&gt;0,BQ78&lt;=0),(-BQ74-BQ87)/(BQ10-BQ12),IF(AND(BQ87&lt;=0,BQ78&gt;0),(-BQ74-BQ78)/(BQ10-BQ12),(-BQ74-BQ78-BQ87)/(BQ10-BQ12)))))</f>
        <v>-</v>
      </c>
      <c r="BR76" s="145" t="str">
        <f>IF(OR(BR10-BR12=0,BR74&gt;=0),"-",IF(AND(BR78&lt;=0,BR87&lt;=0),(-BR74)/(BR10-BR12),IF(AND(BR87&gt;0,BR78&lt;=0),(-BR74-BR87)/(BR10-BR12),IF(AND(BR87&lt;=0,BR78&gt;0),(-BR74-BR78)/(BR10-BR12),(-BR74-BR78-BR87)/(BR10-BR12)))))</f>
        <v>-</v>
      </c>
      <c r="BS76" s="145" t="str">
        <f>IF(OR(BS10-BS12=0,BS74&gt;=0),"-",IF(AND(BS78&lt;=0,BS87&lt;=0),(-BS74)/(BS10-BS12),IF(AND(BS87&gt;0,BS78&lt;=0),(-BS74-BS87)/(BS10-BS12),IF(AND(BS87&lt;=0,BS78&gt;0),(-BS74-BS78)/(BS10-BS12),(-BS74-BS78-BS87)/(BS10-BS12)))))</f>
        <v>-</v>
      </c>
      <c r="BT76" s="145" t="str">
        <f>IF(OR(BT10-BT12=0,BT74&gt;=0),"-",IF(AND(BT78&lt;=0,BT87&lt;=0),(-BT74)/(BT10-BT12),IF(AND(BT87&gt;0,BT78&lt;=0),(-BT74-BT87)/(BT10-BT12),IF(AND(BT87&lt;=0,BT78&gt;0),(-BT74-BT78)/(BT10-BT12),(-BT74-BT78-BT87)/(BT10-BT12)))))</f>
        <v>-</v>
      </c>
      <c r="BU76" s="144" t="s">
        <v>51</v>
      </c>
      <c r="BV76" s="144" t="s">
        <v>51</v>
      </c>
      <c r="BW76" s="145" t="str">
        <f>IF(OR(BW10-BW12=0,BW74&gt;=0),"-",IF(AND(BW78&lt;=0,BW87&lt;=0),(-BW74)/(BW10-BW12),IF(AND(BW87&gt;0,BW78&lt;=0),(-BW74-BW87)/(BW10-BW12),IF(AND(BW87&lt;=0,BW78&gt;0),(-BW74-BW78)/(BW10-BW12),(-BW74-BW78-BW87)/(BW10-BW12)))))</f>
        <v>-</v>
      </c>
      <c r="BX76" s="145" t="str">
        <f>IF(OR(BX10-BX12=0,BX74&gt;=0),"-",IF(AND(BX78&lt;=0,BX87&lt;=0),(-BX74)/(BX10-BX12),IF(AND(BX87&gt;0,BX78&lt;=0),(-BX74-BX87)/(BX10-BX12),IF(AND(BX87&lt;=0,BX78&gt;0),(-BX74-BX78)/(BX10-BX12),(-BX74-BX78-BX87)/(BX10-BX12)))))</f>
        <v>-</v>
      </c>
      <c r="BY76" s="145" t="str">
        <f>IF(OR(BY10-BY12=0,BY74&gt;=0),"-",IF(AND(BY78&lt;=0,BY87&lt;=0),(-BY74)/(BY10-BY12),IF(AND(BY87&gt;0,BY78&lt;=0),(-BY74-BY87)/(BY10-BY12),IF(AND(BY87&lt;=0,BY78&gt;0),(-BY74-BY78)/(BY10-BY12),(-BY74-BY78-BY87)/(BY10-BY12)))))</f>
        <v>-</v>
      </c>
      <c r="BZ76" s="145" t="str">
        <f>IF(OR(BZ10-BZ12=0,BZ74&gt;=0),"-",IF(AND(BZ78&lt;=0,BZ87&lt;=0),(-BZ74)/(BZ10-BZ12),IF(AND(BZ87&gt;0,BZ78&lt;=0),(-BZ74-BZ87)/(BZ10-BZ12),IF(AND(BZ87&lt;=0,BZ78&gt;0),(-BZ74-BZ78)/(BZ10-BZ12),(-BZ74-BZ78-BZ87)/(BZ10-BZ12)))))</f>
        <v>-</v>
      </c>
      <c r="CA76" s="144" t="s">
        <v>51</v>
      </c>
      <c r="CB76" s="144" t="s">
        <v>51</v>
      </c>
      <c r="CC76" s="145" t="str">
        <f>IF(OR(CC10-CC12=0,CC74&gt;=0),"-",IF(AND(CC78&lt;=0,CC87&lt;=0),(-CC74)/(CC10-CC12),IF(AND(CC87&gt;0,CC78&lt;=0),(-CC74-CC87)/(CC10-CC12),IF(AND(CC87&lt;=0,CC78&gt;0),(-CC74-CC78)/(CC10-CC12),(-CC74-CC78-CC87)/(CC10-CC12)))))</f>
        <v>-</v>
      </c>
      <c r="CD76" s="145" t="str">
        <f>IF(OR(CD10-CD12=0,CD74&gt;=0),"-",IF(AND(CD78&lt;=0,CD87&lt;=0),(-CD74)/(CD10-CD12),IF(AND(CD87&gt;0,CD78&lt;=0),(-CD74-CD87)/(CD10-CD12),IF(AND(CD87&lt;=0,CD78&gt;0),(-CD74-CD78)/(CD10-CD12),(-CD74-CD78-CD87)/(CD10-CD12)))))</f>
        <v>-</v>
      </c>
      <c r="CE76" s="145" t="str">
        <f>IF(OR(CE10-CE12=0,CE74&gt;=0),"-",IF(AND(CE78&lt;=0,CE87&lt;=0),(-CE74)/(CE10-CE12),IF(AND(CE87&gt;0,CE78&lt;=0),(-CE74-CE87)/(CE10-CE12),IF(AND(CE87&lt;=0,CE78&gt;0),(-CE74-CE78)/(CE10-CE12),(-CE74-CE78-CE87)/(CE10-CE12)))))</f>
        <v>-</v>
      </c>
      <c r="CF76" s="145" t="str">
        <f>IF(OR(CF10-CF12=0,CF74&gt;=0),"-",IF(AND(CF78&lt;=0,CF87&lt;=0),(-CF74)/(CF10-CF12),IF(AND(CF87&gt;0,CF78&lt;=0),(-CF74-CF87)/(CF10-CF12),IF(AND(CF87&lt;=0,CF78&gt;0),(-CF74-CF78)/(CF10-CF12),(-CF74-CF78-CF87)/(CF10-CF12)))))</f>
        <v>-</v>
      </c>
      <c r="CG76" s="144" t="s">
        <v>51</v>
      </c>
      <c r="CH76" s="144" t="s">
        <v>51</v>
      </c>
      <c r="CI76" s="145" t="str">
        <f>IF(OR(CI10-CI12=0,CI74&gt;=0),"-",IF(AND(CI78&lt;=0,CI87&lt;=0),(-CI74)/(CI10-CI12),IF(AND(CI87&gt;0,CI78&lt;=0),(-CI74-CI87)/(CI10-CI12),IF(AND(CI87&lt;=0,CI78&gt;0),(-CI74-CI78)/(CI10-CI12),(-CI74-CI78-CI87)/(CI10-CI12)))))</f>
        <v>-</v>
      </c>
      <c r="CJ76" s="145" t="str">
        <f>IF(OR(CJ10-CJ12=0,CJ74&gt;=0),"-",IF(AND(CJ78&lt;=0,CJ87&lt;=0),(-CJ74)/(CJ10-CJ12),IF(AND(CJ87&gt;0,CJ78&lt;=0),(-CJ74-CJ87)/(CJ10-CJ12),IF(AND(CJ87&lt;=0,CJ78&gt;0),(-CJ74-CJ78)/(CJ10-CJ12),(-CJ74-CJ78-CJ87)/(CJ10-CJ12)))))</f>
        <v>-</v>
      </c>
      <c r="CK76" s="145" t="str">
        <f>IF(OR(CK10-CK12=0,CK74&gt;=0),"-",IF(AND(CK78&lt;=0,CK87&lt;=0),(-CK74)/(CK10-CK12),IF(AND(CK87&gt;0,CK78&lt;=0),(-CK74-CK87)/(CK10-CK12),IF(AND(CK87&lt;=0,CK78&gt;0),(-CK74-CK78)/(CK10-CK12),(-CK74-CK78-CK87)/(CK10-CK12)))))</f>
        <v>-</v>
      </c>
      <c r="CL76" s="145" t="str">
        <f>IF(OR(CL10-CL12=0,CL74&gt;=0),"-",IF(AND(CL78&lt;=0,CL87&lt;=0),(-CL74)/(CL10-CL12),IF(AND(CL87&gt;0,CL78&lt;=0),(-CL74-CL87)/(CL10-CL12),IF(AND(CL87&lt;=0,CL78&gt;0),(-CL74-CL78)/(CL10-CL12),(-CL74-CL78-CL87)/(CL10-CL12)))))</f>
        <v>-</v>
      </c>
      <c r="CM76" s="144" t="s">
        <v>51</v>
      </c>
      <c r="CN76" s="144" t="s">
        <v>51</v>
      </c>
      <c r="CO76" s="145" t="str">
        <f>IF(OR(CO10-CO12=0,CO74&gt;=0),"-",IF(AND(CO78&lt;=0,CO87&lt;=0),(-CO74)/(CO10-CO12),IF(AND(CO87&gt;0,CO78&lt;=0),(-CO74-CO87)/(CO10-CO12),IF(AND(CO87&lt;=0,CO78&gt;0),(-CO74-CO78)/(CO10-CO12),(-CO74-CO78-CO87)/(CO10-CO12)))))</f>
        <v>-</v>
      </c>
      <c r="CP76" s="145" t="str">
        <f>IF(OR(CP10-CP12=0,CP74&gt;=0),"-",IF(AND(CP78&lt;=0,CP87&lt;=0),(-CP74)/(CP10-CP12),IF(AND(CP87&gt;0,CP78&lt;=0),(-CP74-CP87)/(CP10-CP12),IF(AND(CP87&lt;=0,CP78&gt;0),(-CP74-CP78)/(CP10-CP12),(-CP74-CP78-CP87)/(CP10-CP12)))))</f>
        <v>-</v>
      </c>
      <c r="CQ76" s="145" t="str">
        <f>IF(OR(CQ10-CQ12=0,CQ74&gt;=0),"-",IF(AND(CQ78&lt;=0,CQ87&lt;=0),(-CQ74)/(CQ10-CQ12),IF(AND(CQ87&gt;0,CQ78&lt;=0),(-CQ74-CQ87)/(CQ10-CQ12),IF(AND(CQ87&lt;=0,CQ78&gt;0),(-CQ74-CQ78)/(CQ10-CQ12),(-CQ74-CQ78-CQ87)/(CQ10-CQ12)))))</f>
        <v>-</v>
      </c>
      <c r="CR76" s="145" t="str">
        <f>IF(OR(CR10-CR12=0,CR74&gt;=0),"-",IF(AND(CR78&lt;=0,CR87&lt;=0),(-CR74)/(CR10-CR12),IF(AND(CR87&gt;0,CR78&lt;=0),(-CR74-CR87)/(CR10-CR12),IF(AND(CR87&lt;=0,CR78&gt;0),(-CR74-CR78)/(CR10-CR12),(-CR74-CR78-CR87)/(CR10-CR12)))))</f>
        <v>-</v>
      </c>
      <c r="CS76" s="144" t="s">
        <v>51</v>
      </c>
      <c r="CT76" s="144" t="s">
        <v>51</v>
      </c>
      <c r="CU76" s="145" t="str">
        <f>IF(OR(CU10-CU12=0,CU74&gt;=0),"-",IF(AND(CU78&lt;=0,CU87&lt;=0),(-CU74)/(CU10-CU12),IF(AND(CU87&gt;0,CU78&lt;=0),(-CU74-CU87)/(CU10-CU12),IF(AND(CU87&lt;=0,CU78&gt;0),(-CU74-CU78)/(CU10-CU12),(-CU74-CU78-CU87)/(CU10-CU12)))))</f>
        <v>-</v>
      </c>
      <c r="CV76" s="145" t="str">
        <f>IF(OR(CV10-CV12=0,CV74&gt;=0),"-",IF(AND(CV78&lt;=0,CV87&lt;=0),(-CV74)/(CV10-CV12),IF(AND(CV87&gt;0,CV78&lt;=0),(-CV74-CV87)/(CV10-CV12),IF(AND(CV87&lt;=0,CV78&gt;0),(-CV74-CV78)/(CV10-CV12),(-CV74-CV78-CV87)/(CV10-CV12)))))</f>
        <v>-</v>
      </c>
      <c r="CW76" s="145" t="str">
        <f>IF(OR(CW10-CW12=0,CW74&gt;=0),"-",IF(AND(CW78&lt;=0,CW87&lt;=0),(-CW74)/(CW10-CW12),IF(AND(CW87&gt;0,CW78&lt;=0),(-CW74-CW87)/(CW10-CW12),IF(AND(CW87&lt;=0,CW78&gt;0),(-CW74-CW78)/(CW10-CW12),(-CW74-CW78-CW87)/(CW10-CW12)))))</f>
        <v>-</v>
      </c>
      <c r="CX76" s="145" t="str">
        <f>IF(OR(CX10-CX12=0,CX74&gt;=0),"-",IF(AND(CX78&lt;=0,CX87&lt;=0),(-CX74)/(CX10-CX12),IF(AND(CX87&gt;0,CX78&lt;=0),(-CX74-CX87)/(CX10-CX12),IF(AND(CX87&lt;=0,CX78&gt;0),(-CX74-CX78)/(CX10-CX12),(-CX74-CX78-CX87)/(CX10-CX12)))))</f>
        <v>-</v>
      </c>
      <c r="CY76" s="144" t="s">
        <v>51</v>
      </c>
      <c r="CZ76" s="144" t="s">
        <v>51</v>
      </c>
      <c r="DA76" s="145" t="str">
        <f>IF(OR(DA10-DA12=0,DA74&gt;=0),"-",IF(AND(DA78&lt;=0,DA87&lt;=0),(-DA74)/(DA10-DA12),IF(AND(DA87&gt;0,DA78&lt;=0),(-DA74-DA87)/(DA10-DA12),IF(AND(DA87&lt;=0,DA78&gt;0),(-DA74-DA78)/(DA10-DA12),(-DA74-DA78-DA87)/(DA10-DA12)))))</f>
        <v>-</v>
      </c>
      <c r="DB76" s="145" t="str">
        <f>IF(OR(DB10-DB12=0,DB74&gt;=0),"-",IF(AND(DB78&lt;=0,DB87&lt;=0),(-DB74)/(DB10-DB12),IF(AND(DB87&gt;0,DB78&lt;=0),(-DB74-DB87)/(DB10-DB12),IF(AND(DB87&lt;=0,DB78&gt;0),(-DB74-DB78)/(DB10-DB12),(-DB74-DB78-DB87)/(DB10-DB12)))))</f>
        <v>-</v>
      </c>
      <c r="DC76" s="145" t="str">
        <f>IF(OR(DC10-DC12=0,DC74&gt;=0),"-",IF(AND(DC78&lt;=0,DC87&lt;=0),(-DC74)/(DC10-DC12),IF(AND(DC87&gt;0,DC78&lt;=0),(-DC74-DC87)/(DC10-DC12),IF(AND(DC87&lt;=0,DC78&gt;0),(-DC74-DC78)/(DC10-DC12),(-DC74-DC78-DC87)/(DC10-DC12)))))</f>
        <v>-</v>
      </c>
      <c r="DD76" s="145" t="str">
        <f>IF(OR(DD10-DD12=0,DD74&gt;=0),"-",IF(AND(DD78&lt;=0,DD87&lt;=0),(-DD74)/(DD10-DD12),IF(AND(DD87&gt;0,DD78&lt;=0),(-DD74-DD87)/(DD10-DD12),IF(AND(DD87&lt;=0,DD78&gt;0),(-DD74-DD78)/(DD10-DD12),(-DD74-DD78-DD87)/(DD10-DD12)))))</f>
        <v>-</v>
      </c>
      <c r="DE76" s="144" t="s">
        <v>51</v>
      </c>
      <c r="DF76" s="144" t="s">
        <v>51</v>
      </c>
      <c r="DG76" s="145" t="str">
        <f>IF(OR(DG10-DG12=0,DG74&gt;=0),"-",IF(AND(DG78&lt;=0,DG87&lt;=0),(-DG74)/(DG10-DG12),IF(AND(DG87&gt;0,DG78&lt;=0),(-DG74-DG87)/(DG10-DG12),IF(AND(DG87&lt;=0,DG78&gt;0),(-DG74-DG78)/(DG10-DG12),(-DG74-DG78-DG87)/(DG10-DG12)))))</f>
        <v>-</v>
      </c>
      <c r="DH76" s="145" t="str">
        <f>IF(OR(DH10-DH12=0,DH74&gt;=0),"-",IF(AND(DH78&lt;=0,DH87&lt;=0),(-DH74)/(DH10-DH12),IF(AND(DH87&gt;0,DH78&lt;=0),(-DH74-DH87)/(DH10-DH12),IF(AND(DH87&lt;=0,DH78&gt;0),(-DH74-DH78)/(DH10-DH12),(-DH74-DH78-DH87)/(DH10-DH12)))))</f>
        <v>-</v>
      </c>
      <c r="DI76" s="145" t="str">
        <f>IF(OR(DI10-DI12=0,DI74&gt;=0),"-",IF(AND(DI78&lt;=0,DI87&lt;=0),(-DI74)/(DI10-DI12),IF(AND(DI87&gt;0,DI78&lt;=0),(-DI74-DI87)/(DI10-DI12),IF(AND(DI87&lt;=0,DI78&gt;0),(-DI74-DI78)/(DI10-DI12),(-DI74-DI78-DI87)/(DI10-DI12)))))</f>
        <v>-</v>
      </c>
      <c r="DJ76" s="145" t="str">
        <f>IF(OR(DJ10-DJ12=0,DJ74&gt;=0),"-",IF(AND(DJ78&lt;=0,DJ87&lt;=0),(-DJ74)/(DJ10-DJ12),IF(AND(DJ87&gt;0,DJ78&lt;=0),(-DJ74-DJ87)/(DJ10-DJ12),IF(AND(DJ87&lt;=0,DJ78&gt;0),(-DJ74-DJ78)/(DJ10-DJ12),(-DJ74-DJ78-DJ87)/(DJ10-DJ12)))))</f>
        <v>-</v>
      </c>
      <c r="DK76" s="144" t="s">
        <v>51</v>
      </c>
      <c r="DL76" s="144" t="s">
        <v>51</v>
      </c>
      <c r="DM76" s="145" t="str">
        <f t="shared" ref="DM76:DR76" si="407">IF(OR(DM10-DM12=0,DM74&gt;=0),"-",IF(AND(DM78&lt;=0,DM87&lt;=0),(-DM74)/(DM10-DM12),IF(AND(DM87&gt;0,DM78&lt;=0),(-DM74-DM87)/(DM10-DM12),IF(AND(DM87&lt;=0,DM78&gt;0),(-DM74-DM78)/(DM10-DM12),(-DM74-DM78-DM87)/(DM10-DM12)))))</f>
        <v>-</v>
      </c>
      <c r="DN76" s="145" t="str">
        <f t="shared" si="407"/>
        <v>-</v>
      </c>
      <c r="DO76" s="145" t="str">
        <f t="shared" si="407"/>
        <v>-</v>
      </c>
      <c r="DP76" s="145" t="str">
        <f t="shared" si="407"/>
        <v>-</v>
      </c>
      <c r="DQ76" s="145" t="str">
        <f t="shared" si="407"/>
        <v>-</v>
      </c>
      <c r="DR76" s="145" t="str">
        <f t="shared" si="407"/>
        <v>-</v>
      </c>
      <c r="DS76" s="144" t="s">
        <v>51</v>
      </c>
      <c r="DT76" s="144" t="s">
        <v>51</v>
      </c>
      <c r="DU76" s="144" t="s">
        <v>51</v>
      </c>
      <c r="DV76" s="144" t="s">
        <v>51</v>
      </c>
      <c r="DW76" s="73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74"/>
      <c r="HK76" s="74"/>
      <c r="HL76" s="74"/>
      <c r="HM76" s="74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74"/>
      <c r="HY76" s="74"/>
      <c r="HZ76" s="74"/>
      <c r="IA76" s="74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74"/>
      <c r="IM76" s="74"/>
      <c r="IN76" s="74"/>
      <c r="IO76" s="74"/>
      <c r="IP76" s="74"/>
      <c r="IQ76" s="74"/>
      <c r="IR76" s="74"/>
      <c r="IS76" s="74"/>
      <c r="IT76" s="74"/>
      <c r="IU76" s="74"/>
      <c r="IV76" s="74"/>
      <c r="IW76" s="74"/>
      <c r="IX76" s="74"/>
      <c r="IY76" s="74"/>
      <c r="IZ76" s="74"/>
      <c r="JA76" s="74"/>
      <c r="JB76" s="74"/>
      <c r="JC76" s="74"/>
      <c r="JD76" s="74"/>
      <c r="JE76" s="74"/>
      <c r="JF76" s="74"/>
      <c r="JG76" s="74"/>
      <c r="JH76" s="74"/>
    </row>
    <row r="77" spans="1:268" s="77" customFormat="1" ht="32.25" customHeight="1">
      <c r="A77" s="279" t="s">
        <v>53</v>
      </c>
      <c r="B77" s="280"/>
      <c r="C77" s="130">
        <f t="shared" ref="C77:D77" si="408">C78+C81+C84+C87</f>
        <v>0</v>
      </c>
      <c r="D77" s="130">
        <f t="shared" si="408"/>
        <v>0</v>
      </c>
      <c r="E77" s="130">
        <f>E78+E81+E84+E87</f>
        <v>0</v>
      </c>
      <c r="F77" s="130">
        <f t="shared" ref="F77:N77" si="409">F78+F81+F84+F87</f>
        <v>0</v>
      </c>
      <c r="G77" s="130">
        <f t="shared" si="409"/>
        <v>0</v>
      </c>
      <c r="H77" s="130">
        <f t="shared" si="409"/>
        <v>0</v>
      </c>
      <c r="I77" s="130">
        <f t="shared" si="409"/>
        <v>0</v>
      </c>
      <c r="J77" s="130">
        <f t="shared" si="409"/>
        <v>0</v>
      </c>
      <c r="K77" s="130">
        <f t="shared" si="409"/>
        <v>0</v>
      </c>
      <c r="L77" s="130">
        <f t="shared" si="409"/>
        <v>0</v>
      </c>
      <c r="M77" s="130">
        <f t="shared" si="409"/>
        <v>0</v>
      </c>
      <c r="N77" s="130">
        <f t="shared" si="409"/>
        <v>0</v>
      </c>
      <c r="O77" s="130">
        <f>O78+O81+O84+O87</f>
        <v>0</v>
      </c>
      <c r="P77" s="130">
        <f t="shared" ref="P77:R77" si="410">P78+P81+P84+P87</f>
        <v>0</v>
      </c>
      <c r="Q77" s="130">
        <f t="shared" si="410"/>
        <v>0</v>
      </c>
      <c r="R77" s="130">
        <f t="shared" si="410"/>
        <v>0</v>
      </c>
      <c r="S77" s="130">
        <f>S78+S81+S84+S87</f>
        <v>0</v>
      </c>
      <c r="T77" s="130">
        <f t="shared" ref="T77:V77" si="411">T78+T81+T84+T87</f>
        <v>0</v>
      </c>
      <c r="U77" s="130">
        <f t="shared" si="411"/>
        <v>0</v>
      </c>
      <c r="V77" s="130">
        <f t="shared" si="411"/>
        <v>0</v>
      </c>
      <c r="W77" s="130">
        <f>W78+W81+W84+W87</f>
        <v>0</v>
      </c>
      <c r="X77" s="130">
        <f t="shared" ref="X77:Z77" si="412">X78+X81+X84+X87</f>
        <v>0</v>
      </c>
      <c r="Y77" s="130">
        <f t="shared" si="412"/>
        <v>0</v>
      </c>
      <c r="Z77" s="130">
        <f t="shared" si="412"/>
        <v>0</v>
      </c>
      <c r="AA77" s="130">
        <f>AA78+AA81+AA84+AA87</f>
        <v>0</v>
      </c>
      <c r="AB77" s="130">
        <f t="shared" ref="AB77:AD77" si="413">AB78+AB81+AB84+AB87</f>
        <v>0</v>
      </c>
      <c r="AC77" s="130">
        <f t="shared" si="413"/>
        <v>0</v>
      </c>
      <c r="AD77" s="130">
        <f t="shared" si="413"/>
        <v>0</v>
      </c>
      <c r="AE77" s="130">
        <f>AE78+AE81+AE84+AE87</f>
        <v>0</v>
      </c>
      <c r="AF77" s="130">
        <f t="shared" ref="AF77:AH77" si="414">AF78+AF81+AF84+AF87</f>
        <v>0</v>
      </c>
      <c r="AG77" s="130">
        <f t="shared" si="414"/>
        <v>0</v>
      </c>
      <c r="AH77" s="130">
        <f t="shared" si="414"/>
        <v>0</v>
      </c>
      <c r="AI77" s="130">
        <f>AI78+AI81+AI84+AI87</f>
        <v>0</v>
      </c>
      <c r="AJ77" s="130">
        <f t="shared" ref="AJ77:AL77" si="415">AJ78+AJ81+AJ84+AJ87</f>
        <v>0</v>
      </c>
      <c r="AK77" s="130">
        <f t="shared" si="415"/>
        <v>0</v>
      </c>
      <c r="AL77" s="130">
        <f t="shared" si="415"/>
        <v>0</v>
      </c>
      <c r="AM77" s="130">
        <f>AM78+AM81+AM84+AM87</f>
        <v>0</v>
      </c>
      <c r="AN77" s="130">
        <f t="shared" ref="AN77:AP77" si="416">AN78+AN81+AN84+AN87</f>
        <v>0</v>
      </c>
      <c r="AO77" s="130">
        <f t="shared" si="416"/>
        <v>0</v>
      </c>
      <c r="AP77" s="130">
        <f t="shared" si="416"/>
        <v>0</v>
      </c>
      <c r="AQ77" s="130">
        <f>AQ78+AQ81+AQ84+AQ87</f>
        <v>0</v>
      </c>
      <c r="AR77" s="130">
        <f t="shared" ref="AR77:AT77" si="417">AR78+AR81+AR84+AR87</f>
        <v>0</v>
      </c>
      <c r="AS77" s="130">
        <f t="shared" si="417"/>
        <v>0</v>
      </c>
      <c r="AT77" s="130">
        <f t="shared" si="417"/>
        <v>0</v>
      </c>
      <c r="AU77" s="130">
        <f>AU78+AU81+AU84+AU87</f>
        <v>0</v>
      </c>
      <c r="AV77" s="130">
        <f t="shared" ref="AV77:AZ77" si="418">AV78+AV81+AV84+AV87</f>
        <v>0</v>
      </c>
      <c r="AW77" s="130">
        <f t="shared" si="418"/>
        <v>0</v>
      </c>
      <c r="AX77" s="130">
        <f t="shared" si="418"/>
        <v>0</v>
      </c>
      <c r="AY77" s="130">
        <f t="shared" si="418"/>
        <v>0</v>
      </c>
      <c r="AZ77" s="130">
        <f t="shared" si="418"/>
        <v>0</v>
      </c>
      <c r="BA77" s="143" t="s">
        <v>51</v>
      </c>
      <c r="BB77" s="143" t="s">
        <v>51</v>
      </c>
      <c r="BC77" s="130">
        <f t="shared" ref="BC77:DJ77" si="419">BC78+BC81+BC84+BC87</f>
        <v>0</v>
      </c>
      <c r="BD77" s="130">
        <f t="shared" si="419"/>
        <v>0</v>
      </c>
      <c r="BE77" s="130">
        <f t="shared" si="419"/>
        <v>0</v>
      </c>
      <c r="BF77" s="130">
        <f t="shared" si="419"/>
        <v>0</v>
      </c>
      <c r="BG77" s="130">
        <f t="shared" si="419"/>
        <v>0</v>
      </c>
      <c r="BH77" s="130">
        <f t="shared" si="419"/>
        <v>0</v>
      </c>
      <c r="BI77" s="143" t="s">
        <v>51</v>
      </c>
      <c r="BJ77" s="143" t="s">
        <v>51</v>
      </c>
      <c r="BK77" s="130">
        <f t="shared" ref="BK77:BL77" si="420">BK78+BK81+BK84+BK87</f>
        <v>0</v>
      </c>
      <c r="BL77" s="130">
        <f t="shared" si="420"/>
        <v>0</v>
      </c>
      <c r="BM77" s="130">
        <f t="shared" si="419"/>
        <v>0</v>
      </c>
      <c r="BN77" s="130">
        <f t="shared" si="419"/>
        <v>0</v>
      </c>
      <c r="BO77" s="143" t="s">
        <v>51</v>
      </c>
      <c r="BP77" s="143" t="s">
        <v>51</v>
      </c>
      <c r="BQ77" s="130">
        <f t="shared" ref="BQ77:BR77" si="421">BQ78+BQ81+BQ84+BQ87</f>
        <v>0</v>
      </c>
      <c r="BR77" s="130">
        <f t="shared" si="421"/>
        <v>0</v>
      </c>
      <c r="BS77" s="130">
        <f t="shared" si="419"/>
        <v>0</v>
      </c>
      <c r="BT77" s="130">
        <f t="shared" si="419"/>
        <v>0</v>
      </c>
      <c r="BU77" s="143" t="s">
        <v>51</v>
      </c>
      <c r="BV77" s="143" t="s">
        <v>51</v>
      </c>
      <c r="BW77" s="130">
        <f t="shared" ref="BW77:BX77" si="422">BW78+BW81+BW84+BW87</f>
        <v>0</v>
      </c>
      <c r="BX77" s="130">
        <f t="shared" si="422"/>
        <v>0</v>
      </c>
      <c r="BY77" s="130">
        <f t="shared" si="419"/>
        <v>0</v>
      </c>
      <c r="BZ77" s="130">
        <f t="shared" si="419"/>
        <v>0</v>
      </c>
      <c r="CA77" s="143" t="s">
        <v>51</v>
      </c>
      <c r="CB77" s="143" t="s">
        <v>51</v>
      </c>
      <c r="CC77" s="130">
        <f t="shared" ref="CC77:CD77" si="423">CC78+CC81+CC84+CC87</f>
        <v>0</v>
      </c>
      <c r="CD77" s="130">
        <f t="shared" si="423"/>
        <v>0</v>
      </c>
      <c r="CE77" s="130">
        <f t="shared" si="419"/>
        <v>0</v>
      </c>
      <c r="CF77" s="130">
        <f t="shared" si="419"/>
        <v>0</v>
      </c>
      <c r="CG77" s="143" t="s">
        <v>51</v>
      </c>
      <c r="CH77" s="143" t="s">
        <v>51</v>
      </c>
      <c r="CI77" s="130">
        <f t="shared" ref="CI77:CJ77" si="424">CI78+CI81+CI84+CI87</f>
        <v>0</v>
      </c>
      <c r="CJ77" s="130">
        <f t="shared" si="424"/>
        <v>0</v>
      </c>
      <c r="CK77" s="130">
        <f t="shared" si="419"/>
        <v>0</v>
      </c>
      <c r="CL77" s="130">
        <f t="shared" si="419"/>
        <v>0</v>
      </c>
      <c r="CM77" s="143" t="s">
        <v>51</v>
      </c>
      <c r="CN77" s="143" t="s">
        <v>51</v>
      </c>
      <c r="CO77" s="130">
        <f t="shared" ref="CO77:CP77" si="425">CO78+CO81+CO84+CO87</f>
        <v>0</v>
      </c>
      <c r="CP77" s="130">
        <f t="shared" si="425"/>
        <v>0</v>
      </c>
      <c r="CQ77" s="130">
        <f t="shared" si="419"/>
        <v>0</v>
      </c>
      <c r="CR77" s="130">
        <f t="shared" si="419"/>
        <v>0</v>
      </c>
      <c r="CS77" s="143" t="s">
        <v>51</v>
      </c>
      <c r="CT77" s="143" t="s">
        <v>51</v>
      </c>
      <c r="CU77" s="130">
        <f t="shared" ref="CU77:CV77" si="426">CU78+CU81+CU84+CU87</f>
        <v>0</v>
      </c>
      <c r="CV77" s="130">
        <f t="shared" si="426"/>
        <v>0</v>
      </c>
      <c r="CW77" s="130">
        <f t="shared" si="419"/>
        <v>0</v>
      </c>
      <c r="CX77" s="130">
        <f t="shared" si="419"/>
        <v>0</v>
      </c>
      <c r="CY77" s="143" t="s">
        <v>51</v>
      </c>
      <c r="CZ77" s="143" t="s">
        <v>51</v>
      </c>
      <c r="DA77" s="130">
        <f t="shared" ref="DA77:DB77" si="427">DA78+DA81+DA84+DA87</f>
        <v>0</v>
      </c>
      <c r="DB77" s="130">
        <f t="shared" si="427"/>
        <v>0</v>
      </c>
      <c r="DC77" s="130">
        <f t="shared" si="419"/>
        <v>0</v>
      </c>
      <c r="DD77" s="130">
        <f t="shared" si="419"/>
        <v>0</v>
      </c>
      <c r="DE77" s="143" t="s">
        <v>51</v>
      </c>
      <c r="DF77" s="143" t="s">
        <v>51</v>
      </c>
      <c r="DG77" s="130">
        <f t="shared" ref="DG77:DH77" si="428">DG78+DG81+DG84+DG87</f>
        <v>0</v>
      </c>
      <c r="DH77" s="130">
        <f t="shared" si="428"/>
        <v>0</v>
      </c>
      <c r="DI77" s="130">
        <f t="shared" si="419"/>
        <v>0</v>
      </c>
      <c r="DJ77" s="130">
        <f t="shared" si="419"/>
        <v>0</v>
      </c>
      <c r="DK77" s="143" t="s">
        <v>51</v>
      </c>
      <c r="DL77" s="143" t="s">
        <v>51</v>
      </c>
      <c r="DM77" s="130">
        <f t="shared" ref="DM77:DR77" si="429">DM78+DM81+DM84+DM87</f>
        <v>0</v>
      </c>
      <c r="DN77" s="130">
        <f t="shared" si="429"/>
        <v>0</v>
      </c>
      <c r="DO77" s="130">
        <f t="shared" si="429"/>
        <v>0</v>
      </c>
      <c r="DP77" s="130">
        <f t="shared" si="429"/>
        <v>0</v>
      </c>
      <c r="DQ77" s="130">
        <f t="shared" si="429"/>
        <v>0</v>
      </c>
      <c r="DR77" s="130">
        <f t="shared" si="429"/>
        <v>0</v>
      </c>
      <c r="DS77" s="143" t="s">
        <v>51</v>
      </c>
      <c r="DT77" s="143" t="s">
        <v>51</v>
      </c>
      <c r="DU77" s="143" t="s">
        <v>51</v>
      </c>
      <c r="DV77" s="143" t="s">
        <v>51</v>
      </c>
      <c r="DW77" s="168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</row>
    <row r="78" spans="1:268" s="75" customFormat="1" ht="18" customHeight="1">
      <c r="A78" s="300" t="s">
        <v>54</v>
      </c>
      <c r="B78" s="301"/>
      <c r="C78" s="148">
        <f t="shared" ref="C78:AZ78" si="430">C79-C80</f>
        <v>0</v>
      </c>
      <c r="D78" s="148">
        <f t="shared" si="430"/>
        <v>0</v>
      </c>
      <c r="E78" s="148">
        <f>E79-E80</f>
        <v>0</v>
      </c>
      <c r="F78" s="148">
        <f t="shared" si="430"/>
        <v>0</v>
      </c>
      <c r="G78" s="148">
        <f t="shared" si="430"/>
        <v>0</v>
      </c>
      <c r="H78" s="148">
        <f t="shared" si="430"/>
        <v>0</v>
      </c>
      <c r="I78" s="148">
        <f t="shared" si="430"/>
        <v>0</v>
      </c>
      <c r="J78" s="148">
        <f t="shared" si="430"/>
        <v>0</v>
      </c>
      <c r="K78" s="148">
        <f t="shared" si="430"/>
        <v>0</v>
      </c>
      <c r="L78" s="148">
        <f t="shared" si="430"/>
        <v>0</v>
      </c>
      <c r="M78" s="148">
        <f t="shared" si="430"/>
        <v>0</v>
      </c>
      <c r="N78" s="148">
        <f t="shared" si="430"/>
        <v>0</v>
      </c>
      <c r="O78" s="148">
        <f t="shared" si="430"/>
        <v>0</v>
      </c>
      <c r="P78" s="148">
        <f t="shared" si="430"/>
        <v>0</v>
      </c>
      <c r="Q78" s="148">
        <f t="shared" si="430"/>
        <v>0</v>
      </c>
      <c r="R78" s="148">
        <f t="shared" si="430"/>
        <v>0</v>
      </c>
      <c r="S78" s="148">
        <f t="shared" si="430"/>
        <v>0</v>
      </c>
      <c r="T78" s="148">
        <f t="shared" si="430"/>
        <v>0</v>
      </c>
      <c r="U78" s="148">
        <f t="shared" si="430"/>
        <v>0</v>
      </c>
      <c r="V78" s="148">
        <f t="shared" si="430"/>
        <v>0</v>
      </c>
      <c r="W78" s="148">
        <f t="shared" si="430"/>
        <v>0</v>
      </c>
      <c r="X78" s="148">
        <f t="shared" si="430"/>
        <v>0</v>
      </c>
      <c r="Y78" s="148">
        <f t="shared" si="430"/>
        <v>0</v>
      </c>
      <c r="Z78" s="148">
        <f t="shared" si="430"/>
        <v>0</v>
      </c>
      <c r="AA78" s="148">
        <f t="shared" si="430"/>
        <v>0</v>
      </c>
      <c r="AB78" s="148">
        <f t="shared" si="430"/>
        <v>0</v>
      </c>
      <c r="AC78" s="148">
        <f t="shared" si="430"/>
        <v>0</v>
      </c>
      <c r="AD78" s="148">
        <f t="shared" si="430"/>
        <v>0</v>
      </c>
      <c r="AE78" s="148">
        <f t="shared" si="430"/>
        <v>0</v>
      </c>
      <c r="AF78" s="148">
        <f t="shared" si="430"/>
        <v>0</v>
      </c>
      <c r="AG78" s="148">
        <f t="shared" si="430"/>
        <v>0</v>
      </c>
      <c r="AH78" s="148">
        <f t="shared" si="430"/>
        <v>0</v>
      </c>
      <c r="AI78" s="148">
        <f t="shared" si="430"/>
        <v>0</v>
      </c>
      <c r="AJ78" s="148">
        <f t="shared" si="430"/>
        <v>0</v>
      </c>
      <c r="AK78" s="148">
        <f t="shared" si="430"/>
        <v>0</v>
      </c>
      <c r="AL78" s="148">
        <f t="shared" si="430"/>
        <v>0</v>
      </c>
      <c r="AM78" s="148">
        <f t="shared" si="430"/>
        <v>0</v>
      </c>
      <c r="AN78" s="148">
        <f t="shared" si="430"/>
        <v>0</v>
      </c>
      <c r="AO78" s="148">
        <f t="shared" si="430"/>
        <v>0</v>
      </c>
      <c r="AP78" s="148">
        <f t="shared" si="430"/>
        <v>0</v>
      </c>
      <c r="AQ78" s="148">
        <f t="shared" si="430"/>
        <v>0</v>
      </c>
      <c r="AR78" s="148">
        <f t="shared" si="430"/>
        <v>0</v>
      </c>
      <c r="AS78" s="148">
        <f t="shared" si="430"/>
        <v>0</v>
      </c>
      <c r="AT78" s="148">
        <f t="shared" si="430"/>
        <v>0</v>
      </c>
      <c r="AU78" s="148">
        <f t="shared" si="430"/>
        <v>0</v>
      </c>
      <c r="AV78" s="148">
        <f t="shared" si="430"/>
        <v>0</v>
      </c>
      <c r="AW78" s="148">
        <f t="shared" si="430"/>
        <v>0</v>
      </c>
      <c r="AX78" s="148">
        <f t="shared" si="430"/>
        <v>0</v>
      </c>
      <c r="AY78" s="148">
        <f t="shared" si="430"/>
        <v>0</v>
      </c>
      <c r="AZ78" s="148">
        <f t="shared" si="430"/>
        <v>0</v>
      </c>
      <c r="BA78" s="133">
        <f t="shared" ref="BA78:BB87" si="431">IF(E78=0,1,AY78/E78-1)</f>
        <v>1</v>
      </c>
      <c r="BB78" s="133">
        <f t="shared" si="431"/>
        <v>1</v>
      </c>
      <c r="BC78" s="148">
        <f t="shared" ref="BC78:DJ78" si="432">BC79-BC80</f>
        <v>0</v>
      </c>
      <c r="BD78" s="148">
        <f t="shared" si="432"/>
        <v>0</v>
      </c>
      <c r="BE78" s="148">
        <f t="shared" si="432"/>
        <v>0</v>
      </c>
      <c r="BF78" s="148">
        <f t="shared" si="432"/>
        <v>0</v>
      </c>
      <c r="BG78" s="148">
        <f t="shared" si="432"/>
        <v>0</v>
      </c>
      <c r="BH78" s="148">
        <f t="shared" si="432"/>
        <v>0</v>
      </c>
      <c r="BI78" s="133">
        <f t="shared" ref="BI78:BJ87" si="433">IF(K78=0,1,BG78/K78-1)</f>
        <v>1</v>
      </c>
      <c r="BJ78" s="133">
        <f t="shared" si="433"/>
        <v>1</v>
      </c>
      <c r="BK78" s="148">
        <f t="shared" ref="BK78:BL78" si="434">BK79-BK80</f>
        <v>0</v>
      </c>
      <c r="BL78" s="148">
        <f t="shared" si="434"/>
        <v>0</v>
      </c>
      <c r="BM78" s="148">
        <f t="shared" si="432"/>
        <v>0</v>
      </c>
      <c r="BN78" s="148">
        <f t="shared" si="432"/>
        <v>0</v>
      </c>
      <c r="BO78" s="133">
        <f t="shared" ref="BO78:BP87" si="435">IF(O78=0,1,BM78/O78-1)</f>
        <v>1</v>
      </c>
      <c r="BP78" s="133">
        <f t="shared" si="435"/>
        <v>1</v>
      </c>
      <c r="BQ78" s="148">
        <f t="shared" ref="BQ78:BR78" si="436">BQ79-BQ80</f>
        <v>0</v>
      </c>
      <c r="BR78" s="148">
        <f t="shared" si="436"/>
        <v>0</v>
      </c>
      <c r="BS78" s="148">
        <f t="shared" si="432"/>
        <v>0</v>
      </c>
      <c r="BT78" s="148">
        <f t="shared" si="432"/>
        <v>0</v>
      </c>
      <c r="BU78" s="133">
        <f t="shared" ref="BU78:BV87" si="437">IF(S78=0,1,BS78/S78-1)</f>
        <v>1</v>
      </c>
      <c r="BV78" s="133">
        <f t="shared" si="437"/>
        <v>1</v>
      </c>
      <c r="BW78" s="148">
        <f t="shared" ref="BW78:BX78" si="438">BW79-BW80</f>
        <v>0</v>
      </c>
      <c r="BX78" s="148">
        <f t="shared" si="438"/>
        <v>0</v>
      </c>
      <c r="BY78" s="148">
        <f t="shared" si="432"/>
        <v>0</v>
      </c>
      <c r="BZ78" s="148">
        <f t="shared" si="432"/>
        <v>0</v>
      </c>
      <c r="CA78" s="133">
        <f t="shared" ref="CA78:CB87" si="439">IF(W78=0,1,BY78/W78-1)</f>
        <v>1</v>
      </c>
      <c r="CB78" s="133">
        <f t="shared" si="439"/>
        <v>1</v>
      </c>
      <c r="CC78" s="148">
        <f t="shared" ref="CC78:CD78" si="440">CC79-CC80</f>
        <v>0</v>
      </c>
      <c r="CD78" s="148">
        <f t="shared" si="440"/>
        <v>0</v>
      </c>
      <c r="CE78" s="148">
        <f t="shared" si="432"/>
        <v>0</v>
      </c>
      <c r="CF78" s="148">
        <f t="shared" si="432"/>
        <v>0</v>
      </c>
      <c r="CG78" s="133">
        <f t="shared" ref="CG78:CH87" si="441">IF(AA78=0,1,CE78/AA78-1)</f>
        <v>1</v>
      </c>
      <c r="CH78" s="133">
        <f t="shared" si="441"/>
        <v>1</v>
      </c>
      <c r="CI78" s="148">
        <f t="shared" ref="CI78:CJ78" si="442">CI79-CI80</f>
        <v>0</v>
      </c>
      <c r="CJ78" s="148">
        <f t="shared" si="442"/>
        <v>0</v>
      </c>
      <c r="CK78" s="148">
        <f t="shared" si="432"/>
        <v>0</v>
      </c>
      <c r="CL78" s="148">
        <f t="shared" si="432"/>
        <v>0</v>
      </c>
      <c r="CM78" s="133">
        <f t="shared" ref="CM78:CN87" si="443">IF(AE78=0,1,CK78/AE78-1)</f>
        <v>1</v>
      </c>
      <c r="CN78" s="133">
        <f t="shared" si="443"/>
        <v>1</v>
      </c>
      <c r="CO78" s="148">
        <f t="shared" ref="CO78:CP78" si="444">CO79-CO80</f>
        <v>0</v>
      </c>
      <c r="CP78" s="148">
        <f t="shared" si="444"/>
        <v>0</v>
      </c>
      <c r="CQ78" s="148">
        <f t="shared" si="432"/>
        <v>0</v>
      </c>
      <c r="CR78" s="148">
        <f t="shared" si="432"/>
        <v>0</v>
      </c>
      <c r="CS78" s="133">
        <f t="shared" ref="CS78:CT87" si="445">IF(AI78=0,1,CQ78/AI78-1)</f>
        <v>1</v>
      </c>
      <c r="CT78" s="133">
        <f t="shared" si="445"/>
        <v>1</v>
      </c>
      <c r="CU78" s="148">
        <f t="shared" ref="CU78:CV78" si="446">CU79-CU80</f>
        <v>0</v>
      </c>
      <c r="CV78" s="148">
        <f t="shared" si="446"/>
        <v>0</v>
      </c>
      <c r="CW78" s="148">
        <f t="shared" si="432"/>
        <v>0</v>
      </c>
      <c r="CX78" s="148">
        <f t="shared" si="432"/>
        <v>0</v>
      </c>
      <c r="CY78" s="133">
        <f t="shared" ref="CY78:CZ87" si="447">IF(AM78=0,1,CW78/AM78-1)</f>
        <v>1</v>
      </c>
      <c r="CZ78" s="133">
        <f t="shared" si="447"/>
        <v>1</v>
      </c>
      <c r="DA78" s="148">
        <f t="shared" ref="DA78:DB78" si="448">DA79-DA80</f>
        <v>0</v>
      </c>
      <c r="DB78" s="148">
        <f t="shared" si="448"/>
        <v>0</v>
      </c>
      <c r="DC78" s="148">
        <f t="shared" si="432"/>
        <v>0</v>
      </c>
      <c r="DD78" s="148">
        <f t="shared" si="432"/>
        <v>0</v>
      </c>
      <c r="DE78" s="133">
        <f t="shared" ref="DE78:DF87" si="449">IF(AQ78=0,1,DC78/AQ78-1)</f>
        <v>1</v>
      </c>
      <c r="DF78" s="133">
        <f t="shared" si="449"/>
        <v>1</v>
      </c>
      <c r="DG78" s="148">
        <f t="shared" ref="DG78:DH78" si="450">DG79-DG80</f>
        <v>0</v>
      </c>
      <c r="DH78" s="148">
        <f t="shared" si="450"/>
        <v>0</v>
      </c>
      <c r="DI78" s="148">
        <f t="shared" si="432"/>
        <v>0</v>
      </c>
      <c r="DJ78" s="148">
        <f t="shared" si="432"/>
        <v>0</v>
      </c>
      <c r="DK78" s="133">
        <f t="shared" ref="DK78:DL87" si="451">IF(AU78=0,1,DI78/AU78-1)</f>
        <v>1</v>
      </c>
      <c r="DL78" s="133">
        <f t="shared" si="451"/>
        <v>1</v>
      </c>
      <c r="DM78" s="148">
        <f t="shared" ref="DM78:DR78" si="452">DM79-DM80</f>
        <v>0</v>
      </c>
      <c r="DN78" s="148">
        <f t="shared" si="452"/>
        <v>0</v>
      </c>
      <c r="DO78" s="148">
        <f t="shared" si="452"/>
        <v>0</v>
      </c>
      <c r="DP78" s="148">
        <f t="shared" si="452"/>
        <v>0</v>
      </c>
      <c r="DQ78" s="148">
        <f t="shared" si="452"/>
        <v>0</v>
      </c>
      <c r="DR78" s="148">
        <f t="shared" si="452"/>
        <v>0</v>
      </c>
      <c r="DS78" s="133">
        <f>IF($AY$78=0,1,DQ78/$AY$78-1)</f>
        <v>1</v>
      </c>
      <c r="DT78" s="133">
        <f>IF($AZ$78=0,1,DR78/$AZ$78-1)</f>
        <v>1</v>
      </c>
      <c r="DU78" s="133">
        <f t="shared" ref="DU78:DU87" si="453">IF($E78=0,1,DQ78/$E78-1)</f>
        <v>1</v>
      </c>
      <c r="DV78" s="133">
        <f t="shared" ref="DV78:DV87" si="454">IF($F78=0,1,DR78/$F78-1)</f>
        <v>1</v>
      </c>
      <c r="DW78" s="169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4"/>
      <c r="IE78" s="74"/>
      <c r="IF78" s="74"/>
      <c r="IG78" s="74"/>
      <c r="IH78" s="74"/>
      <c r="II78" s="74"/>
      <c r="IJ78" s="74"/>
      <c r="IK78" s="74"/>
      <c r="IL78" s="74"/>
      <c r="IM78" s="74"/>
      <c r="IN78" s="74"/>
      <c r="IO78" s="74"/>
      <c r="IP78" s="74"/>
      <c r="IQ78" s="74"/>
      <c r="IR78" s="74"/>
      <c r="IS78" s="74"/>
      <c r="IT78" s="74"/>
      <c r="IU78" s="74"/>
      <c r="IV78" s="74"/>
      <c r="IW78" s="74"/>
      <c r="IX78" s="74"/>
      <c r="IY78" s="74"/>
      <c r="IZ78" s="74"/>
      <c r="JA78" s="74"/>
      <c r="JB78" s="74"/>
      <c r="JC78" s="74"/>
      <c r="JD78" s="74"/>
      <c r="JE78" s="74"/>
      <c r="JF78" s="74"/>
      <c r="JG78" s="74"/>
      <c r="JH78" s="74"/>
    </row>
    <row r="79" spans="1:268" s="66" customFormat="1" ht="18" customHeight="1">
      <c r="A79" s="298" t="s">
        <v>144</v>
      </c>
      <c r="B79" s="299"/>
      <c r="C79" s="134">
        <f>'бюджет округа (района)'!C79+'бюджеты поселений'!C79</f>
        <v>0</v>
      </c>
      <c r="D79" s="137">
        <f>'бюджет округа (района)'!C79</f>
        <v>0</v>
      </c>
      <c r="E79" s="134">
        <f t="shared" ref="E79:F80" si="455">G79+I79+M79+Q79+U79+Y79+AC79+AG79+AK79+AO79+AS79+AW79</f>
        <v>0</v>
      </c>
      <c r="F79" s="137">
        <f t="shared" si="455"/>
        <v>0</v>
      </c>
      <c r="G79" s="134">
        <f>'бюджет округа (района)'!E79+'бюджеты поселений'!E79</f>
        <v>0</v>
      </c>
      <c r="H79" s="137">
        <f>'бюджет округа (района)'!E79</f>
        <v>0</v>
      </c>
      <c r="I79" s="134">
        <f>'бюджет округа (района)'!F79+'бюджеты поселений'!F79</f>
        <v>0</v>
      </c>
      <c r="J79" s="137">
        <f>'бюджет округа (района)'!F79</f>
        <v>0</v>
      </c>
      <c r="K79" s="137">
        <f>G79+I79</f>
        <v>0</v>
      </c>
      <c r="L79" s="137">
        <f>H79+J79</f>
        <v>0</v>
      </c>
      <c r="M79" s="134">
        <f>'бюджет округа (района)'!H79+'бюджеты поселений'!H79</f>
        <v>0</v>
      </c>
      <c r="N79" s="137">
        <f>'бюджет округа (района)'!H79</f>
        <v>0</v>
      </c>
      <c r="O79" s="137">
        <f>K79+M79</f>
        <v>0</v>
      </c>
      <c r="P79" s="137">
        <f>L79+N79</f>
        <v>0</v>
      </c>
      <c r="Q79" s="134">
        <f>'бюджет округа (района)'!J79+'бюджеты поселений'!J79</f>
        <v>0</v>
      </c>
      <c r="R79" s="137">
        <f>'бюджет округа (района)'!J79</f>
        <v>0</v>
      </c>
      <c r="S79" s="137">
        <f>O79+Q79</f>
        <v>0</v>
      </c>
      <c r="T79" s="137">
        <f>P79+R79</f>
        <v>0</v>
      </c>
      <c r="U79" s="134">
        <f>'бюджет округа (района)'!L79+'бюджеты поселений'!L79</f>
        <v>0</v>
      </c>
      <c r="V79" s="137">
        <f>'бюджет округа (района)'!L79</f>
        <v>0</v>
      </c>
      <c r="W79" s="137">
        <f>S79+U79</f>
        <v>0</v>
      </c>
      <c r="X79" s="137">
        <f>T79+V79</f>
        <v>0</v>
      </c>
      <c r="Y79" s="134">
        <f>'бюджет округа (района)'!N79+'бюджеты поселений'!N79</f>
        <v>0</v>
      </c>
      <c r="Z79" s="137">
        <f>'бюджет округа (района)'!N79</f>
        <v>0</v>
      </c>
      <c r="AA79" s="137">
        <f>W79+Y79</f>
        <v>0</v>
      </c>
      <c r="AB79" s="137">
        <f>X79+Z79</f>
        <v>0</v>
      </c>
      <c r="AC79" s="134">
        <f>'бюджет округа (района)'!P79+'бюджеты поселений'!P79</f>
        <v>0</v>
      </c>
      <c r="AD79" s="137">
        <f>'бюджет округа (района)'!P79</f>
        <v>0</v>
      </c>
      <c r="AE79" s="137">
        <f>AA79+AC79</f>
        <v>0</v>
      </c>
      <c r="AF79" s="137">
        <f>AB79+AD79</f>
        <v>0</v>
      </c>
      <c r="AG79" s="134">
        <f>'бюджет округа (района)'!R79+'бюджеты поселений'!R79</f>
        <v>0</v>
      </c>
      <c r="AH79" s="137">
        <f>'бюджет округа (района)'!R79</f>
        <v>0</v>
      </c>
      <c r="AI79" s="137">
        <f>AE79+AG79</f>
        <v>0</v>
      </c>
      <c r="AJ79" s="137">
        <f>AF79+AH79</f>
        <v>0</v>
      </c>
      <c r="AK79" s="134">
        <f>'бюджет округа (района)'!T79+'бюджеты поселений'!T79</f>
        <v>0</v>
      </c>
      <c r="AL79" s="137">
        <f>'бюджет округа (района)'!T79</f>
        <v>0</v>
      </c>
      <c r="AM79" s="137">
        <f>AI79+AK79</f>
        <v>0</v>
      </c>
      <c r="AN79" s="137">
        <f>AJ79+AL79</f>
        <v>0</v>
      </c>
      <c r="AO79" s="134">
        <f>'бюджет округа (района)'!V79+'бюджеты поселений'!V79</f>
        <v>0</v>
      </c>
      <c r="AP79" s="137">
        <f>'бюджет округа (района)'!V79</f>
        <v>0</v>
      </c>
      <c r="AQ79" s="137">
        <f>AM79+AO79</f>
        <v>0</v>
      </c>
      <c r="AR79" s="137">
        <f>AN79+AP79</f>
        <v>0</v>
      </c>
      <c r="AS79" s="134">
        <f>'бюджет округа (района)'!X79+'бюджеты поселений'!X79</f>
        <v>0</v>
      </c>
      <c r="AT79" s="137">
        <f>'бюджет округа (района)'!X79</f>
        <v>0</v>
      </c>
      <c r="AU79" s="137">
        <f>AQ79+AS79</f>
        <v>0</v>
      </c>
      <c r="AV79" s="137">
        <f>AR79+AT79</f>
        <v>0</v>
      </c>
      <c r="AW79" s="134">
        <f>'бюджет округа (района)'!Z79+'бюджеты поселений'!Z79</f>
        <v>0</v>
      </c>
      <c r="AX79" s="137">
        <f>'бюджет округа (района)'!Z79</f>
        <v>0</v>
      </c>
      <c r="AY79" s="134">
        <f>'бюджет округа (района)'!AA79+'бюджеты поселений'!AA79</f>
        <v>0</v>
      </c>
      <c r="AZ79" s="137">
        <f>'бюджет округа (района)'!AA79</f>
        <v>0</v>
      </c>
      <c r="BA79" s="135">
        <f t="shared" si="431"/>
        <v>1</v>
      </c>
      <c r="BB79" s="135">
        <f t="shared" si="431"/>
        <v>1</v>
      </c>
      <c r="BC79" s="134">
        <f>'бюджет округа (района)'!AC79+'бюджеты поселений'!AC79</f>
        <v>0</v>
      </c>
      <c r="BD79" s="137">
        <f>'бюджет округа (района)'!AC79</f>
        <v>0</v>
      </c>
      <c r="BE79" s="134">
        <f>'бюджет округа (района)'!AD79+'бюджеты поселений'!AD79</f>
        <v>0</v>
      </c>
      <c r="BF79" s="137">
        <f>'бюджет округа (района)'!AD79</f>
        <v>0</v>
      </c>
      <c r="BG79" s="137">
        <f>BC79+BE79</f>
        <v>0</v>
      </c>
      <c r="BH79" s="137">
        <f>BD79+BF79</f>
        <v>0</v>
      </c>
      <c r="BI79" s="135">
        <f t="shared" si="433"/>
        <v>1</v>
      </c>
      <c r="BJ79" s="135">
        <f t="shared" si="433"/>
        <v>1</v>
      </c>
      <c r="BK79" s="134">
        <f>'бюджет округа (района)'!AG79+'бюджеты поселений'!AG79</f>
        <v>0</v>
      </c>
      <c r="BL79" s="137">
        <f>'бюджет округа (района)'!AG79</f>
        <v>0</v>
      </c>
      <c r="BM79" s="137">
        <f>BG79+BK79</f>
        <v>0</v>
      </c>
      <c r="BN79" s="137">
        <f>BH79+BL79</f>
        <v>0</v>
      </c>
      <c r="BO79" s="135">
        <f t="shared" si="435"/>
        <v>1</v>
      </c>
      <c r="BP79" s="135">
        <f t="shared" si="435"/>
        <v>1</v>
      </c>
      <c r="BQ79" s="134">
        <f>'бюджет округа (района)'!AJ79+'бюджеты поселений'!AJ79</f>
        <v>0</v>
      </c>
      <c r="BR79" s="137">
        <f>'бюджет округа (района)'!AJ79</f>
        <v>0</v>
      </c>
      <c r="BS79" s="137">
        <f>BM79+BQ79</f>
        <v>0</v>
      </c>
      <c r="BT79" s="137">
        <f>BN79+BR79</f>
        <v>0</v>
      </c>
      <c r="BU79" s="135">
        <f t="shared" si="437"/>
        <v>1</v>
      </c>
      <c r="BV79" s="135">
        <f t="shared" si="437"/>
        <v>1</v>
      </c>
      <c r="BW79" s="134">
        <f>'бюджет округа (района)'!AM79+'бюджеты поселений'!AM79</f>
        <v>0</v>
      </c>
      <c r="BX79" s="137">
        <f>'бюджет округа (района)'!AM79</f>
        <v>0</v>
      </c>
      <c r="BY79" s="137">
        <f>BS79+BW79</f>
        <v>0</v>
      </c>
      <c r="BZ79" s="137">
        <f>BT79+BX79</f>
        <v>0</v>
      </c>
      <c r="CA79" s="135">
        <f t="shared" si="439"/>
        <v>1</v>
      </c>
      <c r="CB79" s="135">
        <f t="shared" si="439"/>
        <v>1</v>
      </c>
      <c r="CC79" s="134">
        <f>'бюджет округа (района)'!AP79+'бюджеты поселений'!AP79</f>
        <v>0</v>
      </c>
      <c r="CD79" s="137">
        <f>'бюджет округа (района)'!AP79</f>
        <v>0</v>
      </c>
      <c r="CE79" s="137">
        <f>BY79+CC79</f>
        <v>0</v>
      </c>
      <c r="CF79" s="137">
        <f>BZ79+CD79</f>
        <v>0</v>
      </c>
      <c r="CG79" s="135">
        <f t="shared" si="441"/>
        <v>1</v>
      </c>
      <c r="CH79" s="135">
        <f t="shared" si="441"/>
        <v>1</v>
      </c>
      <c r="CI79" s="134">
        <f>'бюджет округа (района)'!AS79+'бюджеты поселений'!AS79</f>
        <v>0</v>
      </c>
      <c r="CJ79" s="137">
        <f>'бюджет округа (района)'!AS79</f>
        <v>0</v>
      </c>
      <c r="CK79" s="137">
        <f>CE79+CI79</f>
        <v>0</v>
      </c>
      <c r="CL79" s="137">
        <f>CF79+CJ79</f>
        <v>0</v>
      </c>
      <c r="CM79" s="135">
        <f t="shared" si="443"/>
        <v>1</v>
      </c>
      <c r="CN79" s="135">
        <f t="shared" si="443"/>
        <v>1</v>
      </c>
      <c r="CO79" s="134">
        <f>'бюджет округа (района)'!AV79+'бюджеты поселений'!AV79</f>
        <v>0</v>
      </c>
      <c r="CP79" s="137">
        <f>'бюджет округа (района)'!AV79</f>
        <v>0</v>
      </c>
      <c r="CQ79" s="137">
        <f>CK79+CO79</f>
        <v>0</v>
      </c>
      <c r="CR79" s="137">
        <f>CL79+CP79</f>
        <v>0</v>
      </c>
      <c r="CS79" s="135">
        <f t="shared" si="445"/>
        <v>1</v>
      </c>
      <c r="CT79" s="135">
        <f t="shared" si="445"/>
        <v>1</v>
      </c>
      <c r="CU79" s="134">
        <f>'бюджет округа (района)'!AY79+'бюджеты поселений'!AY79</f>
        <v>0</v>
      </c>
      <c r="CV79" s="137">
        <f>'бюджет округа (района)'!AY79</f>
        <v>0</v>
      </c>
      <c r="CW79" s="137">
        <f>CQ79+CU79</f>
        <v>0</v>
      </c>
      <c r="CX79" s="137">
        <f>CR79+CV79</f>
        <v>0</v>
      </c>
      <c r="CY79" s="135">
        <f t="shared" si="447"/>
        <v>1</v>
      </c>
      <c r="CZ79" s="135">
        <f t="shared" si="447"/>
        <v>1</v>
      </c>
      <c r="DA79" s="134">
        <f>'бюджет округа (района)'!BB79+'бюджеты поселений'!BB79</f>
        <v>0</v>
      </c>
      <c r="DB79" s="137">
        <f>'бюджет округа (района)'!BB79</f>
        <v>0</v>
      </c>
      <c r="DC79" s="137">
        <f>CW79+DA79</f>
        <v>0</v>
      </c>
      <c r="DD79" s="137">
        <f>CX79+DB79</f>
        <v>0</v>
      </c>
      <c r="DE79" s="135">
        <f t="shared" si="449"/>
        <v>1</v>
      </c>
      <c r="DF79" s="135">
        <f t="shared" si="449"/>
        <v>1</v>
      </c>
      <c r="DG79" s="134">
        <f>'бюджет округа (района)'!BE79+'бюджеты поселений'!BE79</f>
        <v>0</v>
      </c>
      <c r="DH79" s="137">
        <f>'бюджет округа (района)'!BE79</f>
        <v>0</v>
      </c>
      <c r="DI79" s="137">
        <f>DC79+DG79</f>
        <v>0</v>
      </c>
      <c r="DJ79" s="137">
        <f>DD79+DH79</f>
        <v>0</v>
      </c>
      <c r="DK79" s="135">
        <f t="shared" si="451"/>
        <v>1</v>
      </c>
      <c r="DL79" s="135">
        <f t="shared" si="451"/>
        <v>1</v>
      </c>
      <c r="DM79" s="134">
        <f>'бюджет округа (района)'!BH79+'бюджеты поселений'!BH79</f>
        <v>0</v>
      </c>
      <c r="DN79" s="137">
        <f>'бюджет округа (района)'!BH79</f>
        <v>0</v>
      </c>
      <c r="DO79" s="134">
        <f>'бюджет округа (района)'!BI79+'бюджеты поселений'!BI79</f>
        <v>0</v>
      </c>
      <c r="DP79" s="137">
        <f>'бюджет округа (района)'!BI79</f>
        <v>0</v>
      </c>
      <c r="DQ79" s="134">
        <f>'бюджет округа (района)'!BJ79+'бюджеты поселений'!BJ79</f>
        <v>0</v>
      </c>
      <c r="DR79" s="137">
        <f>'бюджет округа (района)'!BJ79</f>
        <v>0</v>
      </c>
      <c r="DS79" s="135">
        <f>IF($AY$79=0,1,DQ79/$AY$79-1)</f>
        <v>1</v>
      </c>
      <c r="DT79" s="135">
        <f>IF($AZ$79=0,1,DR79/$AZ$79-1)</f>
        <v>1</v>
      </c>
      <c r="DU79" s="135">
        <f t="shared" si="453"/>
        <v>1</v>
      </c>
      <c r="DV79" s="135">
        <f t="shared" si="454"/>
        <v>1</v>
      </c>
      <c r="DW79" s="167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  <c r="IW79" s="65"/>
      <c r="IX79" s="65"/>
      <c r="IY79" s="65"/>
      <c r="IZ79" s="65"/>
      <c r="JA79" s="65"/>
      <c r="JB79" s="65"/>
      <c r="JC79" s="65"/>
      <c r="JD79" s="65"/>
      <c r="JE79" s="65"/>
      <c r="JF79" s="65"/>
      <c r="JG79" s="65"/>
      <c r="JH79" s="65"/>
    </row>
    <row r="80" spans="1:268" s="66" customFormat="1" ht="18" customHeight="1">
      <c r="A80" s="298" t="s">
        <v>145</v>
      </c>
      <c r="B80" s="299"/>
      <c r="C80" s="134">
        <f>'бюджет округа (района)'!C80+'бюджеты поселений'!C80</f>
        <v>0</v>
      </c>
      <c r="D80" s="137">
        <f>'бюджет округа (района)'!C80</f>
        <v>0</v>
      </c>
      <c r="E80" s="134">
        <f t="shared" si="455"/>
        <v>0</v>
      </c>
      <c r="F80" s="137">
        <f t="shared" si="455"/>
        <v>0</v>
      </c>
      <c r="G80" s="134">
        <f>'бюджет округа (района)'!E80+'бюджеты поселений'!E80</f>
        <v>0</v>
      </c>
      <c r="H80" s="137">
        <f>'бюджет округа (района)'!E80</f>
        <v>0</v>
      </c>
      <c r="I80" s="134">
        <f>'бюджет округа (района)'!F80+'бюджеты поселений'!F80</f>
        <v>0</v>
      </c>
      <c r="J80" s="137">
        <f>'бюджет округа (района)'!F80</f>
        <v>0</v>
      </c>
      <c r="K80" s="137">
        <f>G80+I80</f>
        <v>0</v>
      </c>
      <c r="L80" s="137">
        <f>H80+J80</f>
        <v>0</v>
      </c>
      <c r="M80" s="134">
        <f>'бюджет округа (района)'!H80+'бюджеты поселений'!H80</f>
        <v>0</v>
      </c>
      <c r="N80" s="137">
        <f>'бюджет округа (района)'!H80</f>
        <v>0</v>
      </c>
      <c r="O80" s="137">
        <f>K80+M80</f>
        <v>0</v>
      </c>
      <c r="P80" s="137">
        <f>L80+N80</f>
        <v>0</v>
      </c>
      <c r="Q80" s="134">
        <f>'бюджет округа (района)'!J80+'бюджеты поселений'!J80</f>
        <v>0</v>
      </c>
      <c r="R80" s="137">
        <f>'бюджет округа (района)'!J80</f>
        <v>0</v>
      </c>
      <c r="S80" s="137">
        <f>O80+Q80</f>
        <v>0</v>
      </c>
      <c r="T80" s="137">
        <f>P80+R80</f>
        <v>0</v>
      </c>
      <c r="U80" s="134">
        <f>'бюджет округа (района)'!L80+'бюджеты поселений'!L80</f>
        <v>0</v>
      </c>
      <c r="V80" s="137">
        <f>'бюджет округа (района)'!L80</f>
        <v>0</v>
      </c>
      <c r="W80" s="137">
        <f>S80+U80</f>
        <v>0</v>
      </c>
      <c r="X80" s="137">
        <f>T80+V80</f>
        <v>0</v>
      </c>
      <c r="Y80" s="134">
        <f>'бюджет округа (района)'!N80+'бюджеты поселений'!N80</f>
        <v>0</v>
      </c>
      <c r="Z80" s="137">
        <f>'бюджет округа (района)'!N80</f>
        <v>0</v>
      </c>
      <c r="AA80" s="137">
        <f>W80+Y80</f>
        <v>0</v>
      </c>
      <c r="AB80" s="137">
        <f>X80+Z80</f>
        <v>0</v>
      </c>
      <c r="AC80" s="134">
        <f>'бюджет округа (района)'!P80+'бюджеты поселений'!P80</f>
        <v>0</v>
      </c>
      <c r="AD80" s="137">
        <f>'бюджет округа (района)'!P80</f>
        <v>0</v>
      </c>
      <c r="AE80" s="137">
        <f>AA80+AC80</f>
        <v>0</v>
      </c>
      <c r="AF80" s="137">
        <f>AB80+AD80</f>
        <v>0</v>
      </c>
      <c r="AG80" s="134">
        <f>'бюджет округа (района)'!R80+'бюджеты поселений'!R80</f>
        <v>0</v>
      </c>
      <c r="AH80" s="137">
        <f>'бюджет округа (района)'!R80</f>
        <v>0</v>
      </c>
      <c r="AI80" s="137">
        <f>AE80+AG80</f>
        <v>0</v>
      </c>
      <c r="AJ80" s="137">
        <f>AF80+AH80</f>
        <v>0</v>
      </c>
      <c r="AK80" s="134">
        <f>'бюджет округа (района)'!T80+'бюджеты поселений'!T80</f>
        <v>0</v>
      </c>
      <c r="AL80" s="137">
        <f>'бюджет округа (района)'!T80</f>
        <v>0</v>
      </c>
      <c r="AM80" s="137">
        <f>AI80+AK80</f>
        <v>0</v>
      </c>
      <c r="AN80" s="137">
        <f>AJ80+AL80</f>
        <v>0</v>
      </c>
      <c r="AO80" s="134">
        <f>'бюджет округа (района)'!V80+'бюджеты поселений'!V80</f>
        <v>0</v>
      </c>
      <c r="AP80" s="137">
        <f>'бюджет округа (района)'!V80</f>
        <v>0</v>
      </c>
      <c r="AQ80" s="137">
        <f>AM80+AO80</f>
        <v>0</v>
      </c>
      <c r="AR80" s="137">
        <f>AN80+AP80</f>
        <v>0</v>
      </c>
      <c r="AS80" s="134">
        <f>'бюджет округа (района)'!X80+'бюджеты поселений'!X80</f>
        <v>0</v>
      </c>
      <c r="AT80" s="137">
        <f>'бюджет округа (района)'!X80</f>
        <v>0</v>
      </c>
      <c r="AU80" s="137">
        <f>AQ80+AS80</f>
        <v>0</v>
      </c>
      <c r="AV80" s="137">
        <f>AR80+AT80</f>
        <v>0</v>
      </c>
      <c r="AW80" s="134">
        <f>'бюджет округа (района)'!Z80+'бюджеты поселений'!Z80</f>
        <v>0</v>
      </c>
      <c r="AX80" s="137">
        <f>'бюджет округа (района)'!Z80</f>
        <v>0</v>
      </c>
      <c r="AY80" s="134">
        <f>'бюджет округа (района)'!AA80+'бюджеты поселений'!AA80</f>
        <v>0</v>
      </c>
      <c r="AZ80" s="137">
        <f>'бюджет округа (района)'!AA80</f>
        <v>0</v>
      </c>
      <c r="BA80" s="135">
        <f t="shared" si="431"/>
        <v>1</v>
      </c>
      <c r="BB80" s="135">
        <f t="shared" si="431"/>
        <v>1</v>
      </c>
      <c r="BC80" s="134">
        <f>'бюджет округа (района)'!AC80+'бюджеты поселений'!AC80</f>
        <v>0</v>
      </c>
      <c r="BD80" s="137">
        <f>'бюджет округа (района)'!AC80</f>
        <v>0</v>
      </c>
      <c r="BE80" s="134">
        <f>'бюджет округа (района)'!AD80+'бюджеты поселений'!AD80</f>
        <v>0</v>
      </c>
      <c r="BF80" s="137">
        <f>'бюджет округа (района)'!AD80</f>
        <v>0</v>
      </c>
      <c r="BG80" s="137">
        <f>BC80+BE80</f>
        <v>0</v>
      </c>
      <c r="BH80" s="137">
        <f>BD80+BF80</f>
        <v>0</v>
      </c>
      <c r="BI80" s="135">
        <f t="shared" si="433"/>
        <v>1</v>
      </c>
      <c r="BJ80" s="135">
        <f t="shared" si="433"/>
        <v>1</v>
      </c>
      <c r="BK80" s="134">
        <f>'бюджет округа (района)'!AG80+'бюджеты поселений'!AG80</f>
        <v>0</v>
      </c>
      <c r="BL80" s="137">
        <f>'бюджет округа (района)'!AG80</f>
        <v>0</v>
      </c>
      <c r="BM80" s="137">
        <f>BG80+BK80</f>
        <v>0</v>
      </c>
      <c r="BN80" s="137">
        <f>BH80+BL80</f>
        <v>0</v>
      </c>
      <c r="BO80" s="135">
        <f t="shared" si="435"/>
        <v>1</v>
      </c>
      <c r="BP80" s="135">
        <f t="shared" si="435"/>
        <v>1</v>
      </c>
      <c r="BQ80" s="134">
        <f>'бюджет округа (района)'!AJ80+'бюджеты поселений'!AJ80</f>
        <v>0</v>
      </c>
      <c r="BR80" s="137">
        <f>'бюджет округа (района)'!AJ80</f>
        <v>0</v>
      </c>
      <c r="BS80" s="137">
        <f>BM80+BQ80</f>
        <v>0</v>
      </c>
      <c r="BT80" s="137">
        <f>BN80+BR80</f>
        <v>0</v>
      </c>
      <c r="BU80" s="135">
        <f t="shared" si="437"/>
        <v>1</v>
      </c>
      <c r="BV80" s="135">
        <f t="shared" si="437"/>
        <v>1</v>
      </c>
      <c r="BW80" s="134">
        <f>'бюджет округа (района)'!AM80+'бюджеты поселений'!AM80</f>
        <v>0</v>
      </c>
      <c r="BX80" s="137">
        <f>'бюджет округа (района)'!AM80</f>
        <v>0</v>
      </c>
      <c r="BY80" s="137">
        <f>BS80+BW80</f>
        <v>0</v>
      </c>
      <c r="BZ80" s="137">
        <f>BT80+BX80</f>
        <v>0</v>
      </c>
      <c r="CA80" s="135">
        <f t="shared" si="439"/>
        <v>1</v>
      </c>
      <c r="CB80" s="135">
        <f t="shared" si="439"/>
        <v>1</v>
      </c>
      <c r="CC80" s="134">
        <f>'бюджет округа (района)'!AP80+'бюджеты поселений'!AP80</f>
        <v>0</v>
      </c>
      <c r="CD80" s="137">
        <f>'бюджет округа (района)'!AP80</f>
        <v>0</v>
      </c>
      <c r="CE80" s="137">
        <f>BY80+CC80</f>
        <v>0</v>
      </c>
      <c r="CF80" s="137">
        <f>BZ80+CD80</f>
        <v>0</v>
      </c>
      <c r="CG80" s="135">
        <f t="shared" si="441"/>
        <v>1</v>
      </c>
      <c r="CH80" s="135">
        <f t="shared" si="441"/>
        <v>1</v>
      </c>
      <c r="CI80" s="134">
        <f>'бюджет округа (района)'!AS80+'бюджеты поселений'!AS80</f>
        <v>0</v>
      </c>
      <c r="CJ80" s="137">
        <f>'бюджет округа (района)'!AS80</f>
        <v>0</v>
      </c>
      <c r="CK80" s="137">
        <f>CE80+CI80</f>
        <v>0</v>
      </c>
      <c r="CL80" s="137">
        <f>CF80+CJ80</f>
        <v>0</v>
      </c>
      <c r="CM80" s="135">
        <f t="shared" si="443"/>
        <v>1</v>
      </c>
      <c r="CN80" s="135">
        <f t="shared" si="443"/>
        <v>1</v>
      </c>
      <c r="CO80" s="134">
        <f>'бюджет округа (района)'!AV80+'бюджеты поселений'!AV80</f>
        <v>0</v>
      </c>
      <c r="CP80" s="137">
        <f>'бюджет округа (района)'!AV80</f>
        <v>0</v>
      </c>
      <c r="CQ80" s="137">
        <f>CK80+CO80</f>
        <v>0</v>
      </c>
      <c r="CR80" s="137">
        <f>CL80+CP80</f>
        <v>0</v>
      </c>
      <c r="CS80" s="135">
        <f t="shared" si="445"/>
        <v>1</v>
      </c>
      <c r="CT80" s="135">
        <f t="shared" si="445"/>
        <v>1</v>
      </c>
      <c r="CU80" s="134">
        <f>'бюджет округа (района)'!AY80+'бюджеты поселений'!AY80</f>
        <v>0</v>
      </c>
      <c r="CV80" s="137">
        <f>'бюджет округа (района)'!AY80</f>
        <v>0</v>
      </c>
      <c r="CW80" s="137">
        <f>CQ80+CU80</f>
        <v>0</v>
      </c>
      <c r="CX80" s="137">
        <f>CR80+CV80</f>
        <v>0</v>
      </c>
      <c r="CY80" s="135">
        <f t="shared" si="447"/>
        <v>1</v>
      </c>
      <c r="CZ80" s="135">
        <f t="shared" si="447"/>
        <v>1</v>
      </c>
      <c r="DA80" s="134">
        <f>'бюджет округа (района)'!BB80+'бюджеты поселений'!BB80</f>
        <v>0</v>
      </c>
      <c r="DB80" s="137">
        <f>'бюджет округа (района)'!BB80</f>
        <v>0</v>
      </c>
      <c r="DC80" s="137">
        <f>CW80+DA80</f>
        <v>0</v>
      </c>
      <c r="DD80" s="137">
        <f>CX80+DB80</f>
        <v>0</v>
      </c>
      <c r="DE80" s="135">
        <f t="shared" si="449"/>
        <v>1</v>
      </c>
      <c r="DF80" s="135">
        <f t="shared" si="449"/>
        <v>1</v>
      </c>
      <c r="DG80" s="134">
        <f>'бюджет округа (района)'!BE80+'бюджеты поселений'!BE80</f>
        <v>0</v>
      </c>
      <c r="DH80" s="137">
        <f>'бюджет округа (района)'!BE80</f>
        <v>0</v>
      </c>
      <c r="DI80" s="137">
        <f>DC80+DG80</f>
        <v>0</v>
      </c>
      <c r="DJ80" s="137">
        <f>DD80+DH80</f>
        <v>0</v>
      </c>
      <c r="DK80" s="135">
        <f t="shared" si="451"/>
        <v>1</v>
      </c>
      <c r="DL80" s="135">
        <f t="shared" si="451"/>
        <v>1</v>
      </c>
      <c r="DM80" s="134">
        <f>'бюджет округа (района)'!BH80+'бюджеты поселений'!BH80</f>
        <v>0</v>
      </c>
      <c r="DN80" s="137">
        <f>'бюджет округа (района)'!BH80</f>
        <v>0</v>
      </c>
      <c r="DO80" s="134">
        <f>'бюджет округа (района)'!BI80+'бюджеты поселений'!BI80</f>
        <v>0</v>
      </c>
      <c r="DP80" s="137">
        <f>'бюджет округа (района)'!BI80</f>
        <v>0</v>
      </c>
      <c r="DQ80" s="134">
        <f>'бюджет округа (района)'!BJ80+'бюджеты поселений'!BJ80</f>
        <v>0</v>
      </c>
      <c r="DR80" s="137">
        <f>'бюджет округа (района)'!BJ80</f>
        <v>0</v>
      </c>
      <c r="DS80" s="135">
        <f>IF($AY$80=0,1,DQ80/$AY$80-1)</f>
        <v>1</v>
      </c>
      <c r="DT80" s="135">
        <f>IF($AZ$80=0,1,DR80/$AZ$80-1)</f>
        <v>1</v>
      </c>
      <c r="DU80" s="135">
        <f t="shared" si="453"/>
        <v>1</v>
      </c>
      <c r="DV80" s="135">
        <f t="shared" si="454"/>
        <v>1</v>
      </c>
      <c r="DW80" s="167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  <c r="IW80" s="65"/>
      <c r="IX80" s="65"/>
      <c r="IY80" s="65"/>
      <c r="IZ80" s="65"/>
      <c r="JA80" s="65"/>
      <c r="JB80" s="65"/>
      <c r="JC80" s="65"/>
      <c r="JD80" s="65"/>
      <c r="JE80" s="65"/>
      <c r="JF80" s="65"/>
      <c r="JG80" s="65"/>
      <c r="JH80" s="65"/>
    </row>
    <row r="81" spans="1:268" s="79" customFormat="1" ht="18" customHeight="1">
      <c r="A81" s="300" t="s">
        <v>57</v>
      </c>
      <c r="B81" s="301"/>
      <c r="C81" s="148">
        <f>C82-C83</f>
        <v>0</v>
      </c>
      <c r="D81" s="148">
        <f t="shared" ref="D81:P81" si="456">D82-D83</f>
        <v>0</v>
      </c>
      <c r="E81" s="148">
        <f t="shared" si="456"/>
        <v>0</v>
      </c>
      <c r="F81" s="148">
        <f t="shared" si="456"/>
        <v>0</v>
      </c>
      <c r="G81" s="148">
        <f>G82-G83</f>
        <v>0</v>
      </c>
      <c r="H81" s="148">
        <f t="shared" ref="H81" si="457">H82-H83</f>
        <v>0</v>
      </c>
      <c r="I81" s="148">
        <f>I82-I83</f>
        <v>0</v>
      </c>
      <c r="J81" s="148">
        <f t="shared" ref="J81" si="458">J82-J83</f>
        <v>0</v>
      </c>
      <c r="K81" s="148">
        <f t="shared" si="456"/>
        <v>0</v>
      </c>
      <c r="L81" s="148">
        <f t="shared" si="456"/>
        <v>0</v>
      </c>
      <c r="M81" s="148">
        <f>M82-M83</f>
        <v>0</v>
      </c>
      <c r="N81" s="148">
        <f t="shared" ref="N81" si="459">N82-N83</f>
        <v>0</v>
      </c>
      <c r="O81" s="148">
        <f t="shared" si="456"/>
        <v>0</v>
      </c>
      <c r="P81" s="148">
        <f t="shared" si="456"/>
        <v>0</v>
      </c>
      <c r="Q81" s="148">
        <f>Q82-Q83</f>
        <v>0</v>
      </c>
      <c r="R81" s="148">
        <f t="shared" ref="R81:T81" si="460">R82-R83</f>
        <v>0</v>
      </c>
      <c r="S81" s="148">
        <f t="shared" si="460"/>
        <v>0</v>
      </c>
      <c r="T81" s="148">
        <f t="shared" si="460"/>
        <v>0</v>
      </c>
      <c r="U81" s="148">
        <f>U82-U83</f>
        <v>0</v>
      </c>
      <c r="V81" s="148">
        <f t="shared" ref="V81:X81" si="461">V82-V83</f>
        <v>0</v>
      </c>
      <c r="W81" s="148">
        <f t="shared" si="461"/>
        <v>0</v>
      </c>
      <c r="X81" s="148">
        <f t="shared" si="461"/>
        <v>0</v>
      </c>
      <c r="Y81" s="148">
        <f>Y82-Y83</f>
        <v>0</v>
      </c>
      <c r="Z81" s="148">
        <f t="shared" ref="Z81:AB81" si="462">Z82-Z83</f>
        <v>0</v>
      </c>
      <c r="AA81" s="148">
        <f t="shared" si="462"/>
        <v>0</v>
      </c>
      <c r="AB81" s="148">
        <f t="shared" si="462"/>
        <v>0</v>
      </c>
      <c r="AC81" s="148">
        <f>AC82-AC83</f>
        <v>0</v>
      </c>
      <c r="AD81" s="148">
        <f t="shared" ref="AD81:AF81" si="463">AD82-AD83</f>
        <v>0</v>
      </c>
      <c r="AE81" s="148">
        <f t="shared" si="463"/>
        <v>0</v>
      </c>
      <c r="AF81" s="148">
        <f t="shared" si="463"/>
        <v>0</v>
      </c>
      <c r="AG81" s="148">
        <f>AG82-AG83</f>
        <v>0</v>
      </c>
      <c r="AH81" s="148">
        <f t="shared" ref="AH81:AJ81" si="464">AH82-AH83</f>
        <v>0</v>
      </c>
      <c r="AI81" s="148">
        <f t="shared" si="464"/>
        <v>0</v>
      </c>
      <c r="AJ81" s="148">
        <f t="shared" si="464"/>
        <v>0</v>
      </c>
      <c r="AK81" s="148">
        <f>AK82-AK83</f>
        <v>0</v>
      </c>
      <c r="AL81" s="148">
        <f t="shared" ref="AL81:AN81" si="465">AL82-AL83</f>
        <v>0</v>
      </c>
      <c r="AM81" s="148">
        <f t="shared" si="465"/>
        <v>0</v>
      </c>
      <c r="AN81" s="148">
        <f t="shared" si="465"/>
        <v>0</v>
      </c>
      <c r="AO81" s="148">
        <f>AO82-AO83</f>
        <v>0</v>
      </c>
      <c r="AP81" s="148">
        <f t="shared" ref="AP81:AR81" si="466">AP82-AP83</f>
        <v>0</v>
      </c>
      <c r="AQ81" s="148">
        <f t="shared" si="466"/>
        <v>0</v>
      </c>
      <c r="AR81" s="148">
        <f t="shared" si="466"/>
        <v>0</v>
      </c>
      <c r="AS81" s="148">
        <f>AS82-AS83</f>
        <v>0</v>
      </c>
      <c r="AT81" s="148">
        <f t="shared" ref="AT81:AV81" si="467">AT82-AT83</f>
        <v>0</v>
      </c>
      <c r="AU81" s="148">
        <f t="shared" si="467"/>
        <v>0</v>
      </c>
      <c r="AV81" s="148">
        <f t="shared" si="467"/>
        <v>0</v>
      </c>
      <c r="AW81" s="148">
        <f>AW82-AW83</f>
        <v>0</v>
      </c>
      <c r="AX81" s="148">
        <f t="shared" ref="AX81" si="468">AX82-AX83</f>
        <v>0</v>
      </c>
      <c r="AY81" s="148">
        <f>AY82-AY83</f>
        <v>0</v>
      </c>
      <c r="AZ81" s="148">
        <f t="shared" ref="AZ81" si="469">AZ82-AZ83</f>
        <v>0</v>
      </c>
      <c r="BA81" s="133">
        <f t="shared" si="431"/>
        <v>1</v>
      </c>
      <c r="BB81" s="133">
        <f t="shared" si="431"/>
        <v>1</v>
      </c>
      <c r="BC81" s="148">
        <f>BC82-BC83</f>
        <v>0</v>
      </c>
      <c r="BD81" s="148">
        <f t="shared" ref="BD81" si="470">BD82-BD83</f>
        <v>0</v>
      </c>
      <c r="BE81" s="148">
        <f>BE82-BE83</f>
        <v>0</v>
      </c>
      <c r="BF81" s="148">
        <f t="shared" ref="BF81:DJ81" si="471">BF82-BF83</f>
        <v>0</v>
      </c>
      <c r="BG81" s="148">
        <f t="shared" si="471"/>
        <v>0</v>
      </c>
      <c r="BH81" s="148">
        <f t="shared" si="471"/>
        <v>0</v>
      </c>
      <c r="BI81" s="133">
        <f t="shared" si="433"/>
        <v>1</v>
      </c>
      <c r="BJ81" s="133">
        <f t="shared" si="433"/>
        <v>1</v>
      </c>
      <c r="BK81" s="148">
        <f>BK82-BK83</f>
        <v>0</v>
      </c>
      <c r="BL81" s="148">
        <f t="shared" ref="BL81" si="472">BL82-BL83</f>
        <v>0</v>
      </c>
      <c r="BM81" s="148">
        <f t="shared" si="471"/>
        <v>0</v>
      </c>
      <c r="BN81" s="148">
        <f t="shared" si="471"/>
        <v>0</v>
      </c>
      <c r="BO81" s="133">
        <f t="shared" si="435"/>
        <v>1</v>
      </c>
      <c r="BP81" s="133">
        <f t="shared" si="435"/>
        <v>1</v>
      </c>
      <c r="BQ81" s="148">
        <f>BQ82-BQ83</f>
        <v>0</v>
      </c>
      <c r="BR81" s="148">
        <f t="shared" ref="BR81" si="473">BR82-BR83</f>
        <v>0</v>
      </c>
      <c r="BS81" s="148">
        <f t="shared" si="471"/>
        <v>0</v>
      </c>
      <c r="BT81" s="148">
        <f t="shared" si="471"/>
        <v>0</v>
      </c>
      <c r="BU81" s="133">
        <f t="shared" si="437"/>
        <v>1</v>
      </c>
      <c r="BV81" s="133">
        <f t="shared" si="437"/>
        <v>1</v>
      </c>
      <c r="BW81" s="148">
        <f>BW82-BW83</f>
        <v>0</v>
      </c>
      <c r="BX81" s="148">
        <f t="shared" ref="BX81" si="474">BX82-BX83</f>
        <v>0</v>
      </c>
      <c r="BY81" s="148">
        <f t="shared" si="471"/>
        <v>0</v>
      </c>
      <c r="BZ81" s="148">
        <f t="shared" si="471"/>
        <v>0</v>
      </c>
      <c r="CA81" s="133">
        <f t="shared" si="439"/>
        <v>1</v>
      </c>
      <c r="CB81" s="133">
        <f t="shared" si="439"/>
        <v>1</v>
      </c>
      <c r="CC81" s="148">
        <f>CC82-CC83</f>
        <v>0</v>
      </c>
      <c r="CD81" s="148">
        <f t="shared" ref="CD81" si="475">CD82-CD83</f>
        <v>0</v>
      </c>
      <c r="CE81" s="148">
        <f t="shared" si="471"/>
        <v>0</v>
      </c>
      <c r="CF81" s="148">
        <f t="shared" si="471"/>
        <v>0</v>
      </c>
      <c r="CG81" s="133">
        <f t="shared" si="441"/>
        <v>1</v>
      </c>
      <c r="CH81" s="133">
        <f t="shared" si="441"/>
        <v>1</v>
      </c>
      <c r="CI81" s="148">
        <f>CI82-CI83</f>
        <v>0</v>
      </c>
      <c r="CJ81" s="148">
        <f t="shared" ref="CJ81" si="476">CJ82-CJ83</f>
        <v>0</v>
      </c>
      <c r="CK81" s="148">
        <f t="shared" si="471"/>
        <v>0</v>
      </c>
      <c r="CL81" s="148">
        <f t="shared" si="471"/>
        <v>0</v>
      </c>
      <c r="CM81" s="133">
        <f t="shared" si="443"/>
        <v>1</v>
      </c>
      <c r="CN81" s="133">
        <f t="shared" si="443"/>
        <v>1</v>
      </c>
      <c r="CO81" s="148">
        <f>CO82-CO83</f>
        <v>0</v>
      </c>
      <c r="CP81" s="148">
        <f t="shared" ref="CP81" si="477">CP82-CP83</f>
        <v>0</v>
      </c>
      <c r="CQ81" s="148">
        <f t="shared" si="471"/>
        <v>0</v>
      </c>
      <c r="CR81" s="148">
        <f t="shared" si="471"/>
        <v>0</v>
      </c>
      <c r="CS81" s="133">
        <f t="shared" si="445"/>
        <v>1</v>
      </c>
      <c r="CT81" s="133">
        <f t="shared" si="445"/>
        <v>1</v>
      </c>
      <c r="CU81" s="148">
        <f>CU82-CU83</f>
        <v>0</v>
      </c>
      <c r="CV81" s="148">
        <f t="shared" ref="CV81" si="478">CV82-CV83</f>
        <v>0</v>
      </c>
      <c r="CW81" s="148">
        <f t="shared" si="471"/>
        <v>0</v>
      </c>
      <c r="CX81" s="148">
        <f t="shared" si="471"/>
        <v>0</v>
      </c>
      <c r="CY81" s="133">
        <f t="shared" si="447"/>
        <v>1</v>
      </c>
      <c r="CZ81" s="133">
        <f t="shared" si="447"/>
        <v>1</v>
      </c>
      <c r="DA81" s="148">
        <f>DA82-DA83</f>
        <v>0</v>
      </c>
      <c r="DB81" s="148">
        <f t="shared" ref="DB81" si="479">DB82-DB83</f>
        <v>0</v>
      </c>
      <c r="DC81" s="148">
        <f t="shared" si="471"/>
        <v>0</v>
      </c>
      <c r="DD81" s="148">
        <f t="shared" si="471"/>
        <v>0</v>
      </c>
      <c r="DE81" s="133">
        <f t="shared" si="449"/>
        <v>1</v>
      </c>
      <c r="DF81" s="133">
        <f t="shared" si="449"/>
        <v>1</v>
      </c>
      <c r="DG81" s="148">
        <f>DG82-DG83</f>
        <v>0</v>
      </c>
      <c r="DH81" s="148">
        <f t="shared" ref="DH81" si="480">DH82-DH83</f>
        <v>0</v>
      </c>
      <c r="DI81" s="148">
        <f t="shared" si="471"/>
        <v>0</v>
      </c>
      <c r="DJ81" s="148">
        <f t="shared" si="471"/>
        <v>0</v>
      </c>
      <c r="DK81" s="133">
        <f t="shared" si="451"/>
        <v>1</v>
      </c>
      <c r="DL81" s="133">
        <f t="shared" si="451"/>
        <v>1</v>
      </c>
      <c r="DM81" s="148">
        <f>DM82-DM83</f>
        <v>0</v>
      </c>
      <c r="DN81" s="148">
        <f t="shared" ref="DN81" si="481">DN82-DN83</f>
        <v>0</v>
      </c>
      <c r="DO81" s="148">
        <f>DO82-DO83</f>
        <v>0</v>
      </c>
      <c r="DP81" s="148">
        <f t="shared" ref="DP81" si="482">DP82-DP83</f>
        <v>0</v>
      </c>
      <c r="DQ81" s="148">
        <f>DQ82-DQ83</f>
        <v>0</v>
      </c>
      <c r="DR81" s="148">
        <f t="shared" ref="DR81" si="483">DR82-DR83</f>
        <v>0</v>
      </c>
      <c r="DS81" s="133">
        <f>IF($AY$81=0,1,DQ81/$AY$81-1)</f>
        <v>1</v>
      </c>
      <c r="DT81" s="133">
        <f>IF($AZ$81=0,1,DR81/$AZ$81-1)</f>
        <v>1</v>
      </c>
      <c r="DU81" s="133">
        <f t="shared" si="453"/>
        <v>1</v>
      </c>
      <c r="DV81" s="133">
        <f t="shared" si="454"/>
        <v>1</v>
      </c>
      <c r="DW81" s="169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  <c r="IT81" s="78"/>
      <c r="IU81" s="78"/>
      <c r="IV81" s="78"/>
      <c r="IW81" s="78"/>
      <c r="IX81" s="78"/>
      <c r="IY81" s="78"/>
      <c r="IZ81" s="78"/>
      <c r="JA81" s="78"/>
      <c r="JB81" s="78"/>
      <c r="JC81" s="78"/>
      <c r="JD81" s="78"/>
      <c r="JE81" s="78"/>
      <c r="JF81" s="78"/>
      <c r="JG81" s="78"/>
      <c r="JH81" s="78"/>
    </row>
    <row r="82" spans="1:268" s="64" customFormat="1" ht="18" customHeight="1">
      <c r="A82" s="298" t="s">
        <v>144</v>
      </c>
      <c r="B82" s="299"/>
      <c r="C82" s="134">
        <f>'бюджет округа (района)'!C82+'бюджеты поселений'!C82</f>
        <v>0</v>
      </c>
      <c r="D82" s="137">
        <f>'бюджет округа (района)'!C82</f>
        <v>0</v>
      </c>
      <c r="E82" s="134">
        <f t="shared" ref="E82:F83" si="484">G82+I82+M82+Q82+U82+Y82+AC82+AG82+AK82+AO82+AS82+AW82</f>
        <v>0</v>
      </c>
      <c r="F82" s="137">
        <f t="shared" si="484"/>
        <v>0</v>
      </c>
      <c r="G82" s="134">
        <f>'бюджет округа (района)'!E82+'бюджеты поселений'!E82</f>
        <v>0</v>
      </c>
      <c r="H82" s="137">
        <f>'бюджет округа (района)'!E82</f>
        <v>0</v>
      </c>
      <c r="I82" s="134">
        <f>'бюджет округа (района)'!F82+'бюджеты поселений'!F82</f>
        <v>0</v>
      </c>
      <c r="J82" s="137">
        <f>'бюджет округа (района)'!F82</f>
        <v>0</v>
      </c>
      <c r="K82" s="137">
        <f t="shared" ref="K82:L83" si="485">G82+I82</f>
        <v>0</v>
      </c>
      <c r="L82" s="137">
        <f t="shared" si="485"/>
        <v>0</v>
      </c>
      <c r="M82" s="134">
        <f>'бюджет округа (района)'!H82+'бюджеты поселений'!H82</f>
        <v>0</v>
      </c>
      <c r="N82" s="137">
        <f>'бюджет округа (района)'!H82</f>
        <v>0</v>
      </c>
      <c r="O82" s="137">
        <f t="shared" ref="O82:P83" si="486">K82+M82</f>
        <v>0</v>
      </c>
      <c r="P82" s="137">
        <f t="shared" si="486"/>
        <v>0</v>
      </c>
      <c r="Q82" s="134">
        <f>'бюджет округа (района)'!J82+'бюджеты поселений'!J82</f>
        <v>0</v>
      </c>
      <c r="R82" s="137">
        <f>'бюджет округа (района)'!J82</f>
        <v>0</v>
      </c>
      <c r="S82" s="137">
        <f t="shared" ref="S82:T83" si="487">O82+Q82</f>
        <v>0</v>
      </c>
      <c r="T82" s="137">
        <f t="shared" si="487"/>
        <v>0</v>
      </c>
      <c r="U82" s="134">
        <f>'бюджет округа (района)'!L82+'бюджеты поселений'!L82</f>
        <v>0</v>
      </c>
      <c r="V82" s="137">
        <f>'бюджет округа (района)'!L82</f>
        <v>0</v>
      </c>
      <c r="W82" s="137">
        <f t="shared" ref="W82:X83" si="488">S82+U82</f>
        <v>0</v>
      </c>
      <c r="X82" s="137">
        <f t="shared" si="488"/>
        <v>0</v>
      </c>
      <c r="Y82" s="134">
        <f>'бюджет округа (района)'!N82+'бюджеты поселений'!N82</f>
        <v>0</v>
      </c>
      <c r="Z82" s="137">
        <f>'бюджет округа (района)'!N82</f>
        <v>0</v>
      </c>
      <c r="AA82" s="137">
        <f t="shared" ref="AA82:AB83" si="489">W82+Y82</f>
        <v>0</v>
      </c>
      <c r="AB82" s="137">
        <f t="shared" si="489"/>
        <v>0</v>
      </c>
      <c r="AC82" s="134">
        <f>'бюджет округа (района)'!P82+'бюджеты поселений'!P82</f>
        <v>0</v>
      </c>
      <c r="AD82" s="137">
        <f>'бюджет округа (района)'!P82</f>
        <v>0</v>
      </c>
      <c r="AE82" s="137">
        <f t="shared" ref="AE82:AF83" si="490">AA82+AC82</f>
        <v>0</v>
      </c>
      <c r="AF82" s="137">
        <f t="shared" si="490"/>
        <v>0</v>
      </c>
      <c r="AG82" s="134">
        <f>'бюджет округа (района)'!R82+'бюджеты поселений'!R82</f>
        <v>0</v>
      </c>
      <c r="AH82" s="137">
        <f>'бюджет округа (района)'!R82</f>
        <v>0</v>
      </c>
      <c r="AI82" s="137">
        <f t="shared" ref="AI82:AJ83" si="491">AE82+AG82</f>
        <v>0</v>
      </c>
      <c r="AJ82" s="137">
        <f t="shared" si="491"/>
        <v>0</v>
      </c>
      <c r="AK82" s="134">
        <f>'бюджет округа (района)'!T82+'бюджеты поселений'!T82</f>
        <v>0</v>
      </c>
      <c r="AL82" s="137">
        <f>'бюджет округа (района)'!T82</f>
        <v>0</v>
      </c>
      <c r="AM82" s="137">
        <f t="shared" ref="AM82:AN83" si="492">AI82+AK82</f>
        <v>0</v>
      </c>
      <c r="AN82" s="137">
        <f t="shared" si="492"/>
        <v>0</v>
      </c>
      <c r="AO82" s="134">
        <f>'бюджет округа (района)'!V82+'бюджеты поселений'!V82</f>
        <v>0</v>
      </c>
      <c r="AP82" s="137">
        <f>'бюджет округа (района)'!V82</f>
        <v>0</v>
      </c>
      <c r="AQ82" s="137">
        <f t="shared" ref="AQ82:AR83" si="493">AM82+AO82</f>
        <v>0</v>
      </c>
      <c r="AR82" s="137">
        <f t="shared" si="493"/>
        <v>0</v>
      </c>
      <c r="AS82" s="134">
        <f>'бюджет округа (района)'!X82+'бюджеты поселений'!X82</f>
        <v>0</v>
      </c>
      <c r="AT82" s="137">
        <f>'бюджет округа (района)'!X82</f>
        <v>0</v>
      </c>
      <c r="AU82" s="137">
        <f t="shared" ref="AU82:AV83" si="494">AQ82+AS82</f>
        <v>0</v>
      </c>
      <c r="AV82" s="137">
        <f t="shared" si="494"/>
        <v>0</v>
      </c>
      <c r="AW82" s="134">
        <f>'бюджет округа (района)'!Z82+'бюджеты поселений'!Z82</f>
        <v>0</v>
      </c>
      <c r="AX82" s="137">
        <f>'бюджет округа (района)'!Z82</f>
        <v>0</v>
      </c>
      <c r="AY82" s="134">
        <f>'бюджет округа (района)'!AA82+'бюджеты поселений'!AA82</f>
        <v>0</v>
      </c>
      <c r="AZ82" s="137">
        <f>'бюджет округа (района)'!AA82</f>
        <v>0</v>
      </c>
      <c r="BA82" s="135">
        <f t="shared" si="431"/>
        <v>1</v>
      </c>
      <c r="BB82" s="135">
        <f t="shared" si="431"/>
        <v>1</v>
      </c>
      <c r="BC82" s="134">
        <f>'бюджет округа (района)'!AC82+'бюджеты поселений'!AC82</f>
        <v>0</v>
      </c>
      <c r="BD82" s="137">
        <f>'бюджет округа (района)'!AC82</f>
        <v>0</v>
      </c>
      <c r="BE82" s="134">
        <f>'бюджет округа (района)'!AD82+'бюджеты поселений'!AD82</f>
        <v>0</v>
      </c>
      <c r="BF82" s="137">
        <f>'бюджет округа (района)'!AD82</f>
        <v>0</v>
      </c>
      <c r="BG82" s="137">
        <f t="shared" ref="BG82:BH83" si="495">BC82+BE82</f>
        <v>0</v>
      </c>
      <c r="BH82" s="137">
        <f t="shared" si="495"/>
        <v>0</v>
      </c>
      <c r="BI82" s="135">
        <f t="shared" si="433"/>
        <v>1</v>
      </c>
      <c r="BJ82" s="135">
        <f t="shared" si="433"/>
        <v>1</v>
      </c>
      <c r="BK82" s="134">
        <f>'бюджет округа (района)'!AG82+'бюджеты поселений'!AG82</f>
        <v>0</v>
      </c>
      <c r="BL82" s="137">
        <f>'бюджет округа (района)'!AG82</f>
        <v>0</v>
      </c>
      <c r="BM82" s="137">
        <f t="shared" ref="BM82:BN83" si="496">BG82+BK82</f>
        <v>0</v>
      </c>
      <c r="BN82" s="137">
        <f t="shared" si="496"/>
        <v>0</v>
      </c>
      <c r="BO82" s="135">
        <f t="shared" si="435"/>
        <v>1</v>
      </c>
      <c r="BP82" s="135">
        <f t="shared" si="435"/>
        <v>1</v>
      </c>
      <c r="BQ82" s="134">
        <f>'бюджет округа (района)'!AJ82+'бюджеты поселений'!AJ82</f>
        <v>0</v>
      </c>
      <c r="BR82" s="137">
        <f>'бюджет округа (района)'!AJ82</f>
        <v>0</v>
      </c>
      <c r="BS82" s="137">
        <f t="shared" ref="BS82:BT83" si="497">BM82+BQ82</f>
        <v>0</v>
      </c>
      <c r="BT82" s="137">
        <f t="shared" si="497"/>
        <v>0</v>
      </c>
      <c r="BU82" s="135">
        <f t="shared" si="437"/>
        <v>1</v>
      </c>
      <c r="BV82" s="135">
        <f t="shared" si="437"/>
        <v>1</v>
      </c>
      <c r="BW82" s="134">
        <f>'бюджет округа (района)'!AM82+'бюджеты поселений'!AM82</f>
        <v>0</v>
      </c>
      <c r="BX82" s="137">
        <f>'бюджет округа (района)'!AM82</f>
        <v>0</v>
      </c>
      <c r="BY82" s="137">
        <f t="shared" ref="BY82:BZ83" si="498">BS82+BW82</f>
        <v>0</v>
      </c>
      <c r="BZ82" s="137">
        <f t="shared" si="498"/>
        <v>0</v>
      </c>
      <c r="CA82" s="135">
        <f t="shared" si="439"/>
        <v>1</v>
      </c>
      <c r="CB82" s="135">
        <f t="shared" si="439"/>
        <v>1</v>
      </c>
      <c r="CC82" s="134">
        <f>'бюджет округа (района)'!AP82+'бюджеты поселений'!AP82</f>
        <v>0</v>
      </c>
      <c r="CD82" s="137">
        <f>'бюджет округа (района)'!AP82</f>
        <v>0</v>
      </c>
      <c r="CE82" s="137">
        <f t="shared" ref="CE82:CF83" si="499">BY82+CC82</f>
        <v>0</v>
      </c>
      <c r="CF82" s="137">
        <f t="shared" si="499"/>
        <v>0</v>
      </c>
      <c r="CG82" s="135">
        <f t="shared" si="441"/>
        <v>1</v>
      </c>
      <c r="CH82" s="135">
        <f t="shared" si="441"/>
        <v>1</v>
      </c>
      <c r="CI82" s="134">
        <f>'бюджет округа (района)'!AS82+'бюджеты поселений'!AS82</f>
        <v>0</v>
      </c>
      <c r="CJ82" s="137">
        <f>'бюджет округа (района)'!AS82</f>
        <v>0</v>
      </c>
      <c r="CK82" s="137">
        <f t="shared" ref="CK82:CL83" si="500">CE82+CI82</f>
        <v>0</v>
      </c>
      <c r="CL82" s="137">
        <f t="shared" si="500"/>
        <v>0</v>
      </c>
      <c r="CM82" s="135">
        <f t="shared" si="443"/>
        <v>1</v>
      </c>
      <c r="CN82" s="135">
        <f t="shared" si="443"/>
        <v>1</v>
      </c>
      <c r="CO82" s="134">
        <f>'бюджет округа (района)'!AV82+'бюджеты поселений'!AV82</f>
        <v>0</v>
      </c>
      <c r="CP82" s="137">
        <f>'бюджет округа (района)'!AV82</f>
        <v>0</v>
      </c>
      <c r="CQ82" s="137">
        <f t="shared" ref="CQ82:CR83" si="501">CK82+CO82</f>
        <v>0</v>
      </c>
      <c r="CR82" s="137">
        <f t="shared" si="501"/>
        <v>0</v>
      </c>
      <c r="CS82" s="135">
        <f t="shared" si="445"/>
        <v>1</v>
      </c>
      <c r="CT82" s="135">
        <f t="shared" si="445"/>
        <v>1</v>
      </c>
      <c r="CU82" s="134">
        <f>'бюджет округа (района)'!AY82+'бюджеты поселений'!AY82</f>
        <v>0</v>
      </c>
      <c r="CV82" s="137">
        <f>'бюджет округа (района)'!AY82</f>
        <v>0</v>
      </c>
      <c r="CW82" s="137">
        <f t="shared" ref="CW82:CX83" si="502">CQ82+CU82</f>
        <v>0</v>
      </c>
      <c r="CX82" s="137">
        <f t="shared" si="502"/>
        <v>0</v>
      </c>
      <c r="CY82" s="135">
        <f t="shared" si="447"/>
        <v>1</v>
      </c>
      <c r="CZ82" s="135">
        <f t="shared" si="447"/>
        <v>1</v>
      </c>
      <c r="DA82" s="134">
        <f>'бюджет округа (района)'!BB82+'бюджеты поселений'!BB82</f>
        <v>0</v>
      </c>
      <c r="DB82" s="137">
        <f>'бюджет округа (района)'!BB82</f>
        <v>0</v>
      </c>
      <c r="DC82" s="137">
        <f t="shared" ref="DC82:DD83" si="503">CW82+DA82</f>
        <v>0</v>
      </c>
      <c r="DD82" s="137">
        <f t="shared" si="503"/>
        <v>0</v>
      </c>
      <c r="DE82" s="135">
        <f t="shared" si="449"/>
        <v>1</v>
      </c>
      <c r="DF82" s="135">
        <f t="shared" si="449"/>
        <v>1</v>
      </c>
      <c r="DG82" s="134">
        <f>'бюджет округа (района)'!BE82+'бюджеты поселений'!BE82</f>
        <v>0</v>
      </c>
      <c r="DH82" s="137">
        <f>'бюджет округа (района)'!BE82</f>
        <v>0</v>
      </c>
      <c r="DI82" s="137">
        <f t="shared" ref="DI82:DJ83" si="504">DC82+DG82</f>
        <v>0</v>
      </c>
      <c r="DJ82" s="137">
        <f t="shared" si="504"/>
        <v>0</v>
      </c>
      <c r="DK82" s="135">
        <f t="shared" si="451"/>
        <v>1</v>
      </c>
      <c r="DL82" s="135">
        <f t="shared" si="451"/>
        <v>1</v>
      </c>
      <c r="DM82" s="134">
        <f>'бюджет округа (района)'!BH82+'бюджеты поселений'!BH82</f>
        <v>0</v>
      </c>
      <c r="DN82" s="137">
        <f>'бюджет округа (района)'!BH82</f>
        <v>0</v>
      </c>
      <c r="DO82" s="134">
        <f>'бюджет округа (района)'!BI82+'бюджеты поселений'!BI82</f>
        <v>0</v>
      </c>
      <c r="DP82" s="137">
        <f>'бюджет округа (района)'!BI82</f>
        <v>0</v>
      </c>
      <c r="DQ82" s="134">
        <f>'бюджет округа (района)'!BJ82+'бюджеты поселений'!BJ82</f>
        <v>0</v>
      </c>
      <c r="DR82" s="137">
        <f>'бюджет округа (района)'!BJ82</f>
        <v>0</v>
      </c>
      <c r="DS82" s="135">
        <f>IF($AY$82=0,1,DQ82/$AY$82-1)</f>
        <v>1</v>
      </c>
      <c r="DT82" s="135">
        <f>IF($AZ$82=0,1,DR82/$AZ$82-1)</f>
        <v>1</v>
      </c>
      <c r="DU82" s="135">
        <f t="shared" si="453"/>
        <v>1</v>
      </c>
      <c r="DV82" s="135">
        <f t="shared" si="454"/>
        <v>1</v>
      </c>
      <c r="DW82" s="167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63"/>
      <c r="JA82" s="63"/>
      <c r="JB82" s="63"/>
      <c r="JC82" s="63"/>
      <c r="JD82" s="63"/>
      <c r="JE82" s="63"/>
      <c r="JF82" s="63"/>
      <c r="JG82" s="63"/>
      <c r="JH82" s="63"/>
    </row>
    <row r="83" spans="1:268" s="64" customFormat="1" ht="18" customHeight="1">
      <c r="A83" s="298" t="s">
        <v>146</v>
      </c>
      <c r="B83" s="299"/>
      <c r="C83" s="134">
        <f>'бюджет округа (района)'!C83+'бюджеты поселений'!C83</f>
        <v>0</v>
      </c>
      <c r="D83" s="137">
        <f>'бюджет округа (района)'!C83</f>
        <v>0</v>
      </c>
      <c r="E83" s="134">
        <f t="shared" si="484"/>
        <v>0</v>
      </c>
      <c r="F83" s="137">
        <f t="shared" si="484"/>
        <v>0</v>
      </c>
      <c r="G83" s="134">
        <f>'бюджет округа (района)'!E83+'бюджеты поселений'!E83</f>
        <v>0</v>
      </c>
      <c r="H83" s="137">
        <f>'бюджет округа (района)'!E83</f>
        <v>0</v>
      </c>
      <c r="I83" s="134">
        <f>'бюджет округа (района)'!F83+'бюджеты поселений'!F83</f>
        <v>0</v>
      </c>
      <c r="J83" s="137">
        <f>'бюджет округа (района)'!F83</f>
        <v>0</v>
      </c>
      <c r="K83" s="137">
        <f t="shared" si="485"/>
        <v>0</v>
      </c>
      <c r="L83" s="137">
        <f t="shared" si="485"/>
        <v>0</v>
      </c>
      <c r="M83" s="134">
        <f>'бюджет округа (района)'!H83+'бюджеты поселений'!H83</f>
        <v>0</v>
      </c>
      <c r="N83" s="137">
        <f>'бюджет округа (района)'!H83</f>
        <v>0</v>
      </c>
      <c r="O83" s="137">
        <f t="shared" si="486"/>
        <v>0</v>
      </c>
      <c r="P83" s="137">
        <f t="shared" si="486"/>
        <v>0</v>
      </c>
      <c r="Q83" s="134">
        <f>'бюджет округа (района)'!J83+'бюджеты поселений'!J83</f>
        <v>0</v>
      </c>
      <c r="R83" s="137">
        <f>'бюджет округа (района)'!J83</f>
        <v>0</v>
      </c>
      <c r="S83" s="137">
        <f t="shared" si="487"/>
        <v>0</v>
      </c>
      <c r="T83" s="137">
        <f t="shared" si="487"/>
        <v>0</v>
      </c>
      <c r="U83" s="134">
        <f>'бюджет округа (района)'!L83+'бюджеты поселений'!L83</f>
        <v>0</v>
      </c>
      <c r="V83" s="137">
        <f>'бюджет округа (района)'!L83</f>
        <v>0</v>
      </c>
      <c r="W83" s="137">
        <f t="shared" si="488"/>
        <v>0</v>
      </c>
      <c r="X83" s="137">
        <f t="shared" si="488"/>
        <v>0</v>
      </c>
      <c r="Y83" s="134">
        <f>'бюджет округа (района)'!N83+'бюджеты поселений'!N83</f>
        <v>0</v>
      </c>
      <c r="Z83" s="137">
        <f>'бюджет округа (района)'!N83</f>
        <v>0</v>
      </c>
      <c r="AA83" s="137">
        <f t="shared" si="489"/>
        <v>0</v>
      </c>
      <c r="AB83" s="137">
        <f t="shared" si="489"/>
        <v>0</v>
      </c>
      <c r="AC83" s="134">
        <f>'бюджет округа (района)'!P83+'бюджеты поселений'!P83</f>
        <v>0</v>
      </c>
      <c r="AD83" s="137">
        <f>'бюджет округа (района)'!P83</f>
        <v>0</v>
      </c>
      <c r="AE83" s="137">
        <f t="shared" si="490"/>
        <v>0</v>
      </c>
      <c r="AF83" s="137">
        <f t="shared" si="490"/>
        <v>0</v>
      </c>
      <c r="AG83" s="134">
        <f>'бюджет округа (района)'!R83+'бюджеты поселений'!R83</f>
        <v>0</v>
      </c>
      <c r="AH83" s="137">
        <f>'бюджет округа (района)'!R83</f>
        <v>0</v>
      </c>
      <c r="AI83" s="137">
        <f t="shared" si="491"/>
        <v>0</v>
      </c>
      <c r="AJ83" s="137">
        <f t="shared" si="491"/>
        <v>0</v>
      </c>
      <c r="AK83" s="134">
        <f>'бюджет округа (района)'!T83+'бюджеты поселений'!T83</f>
        <v>0</v>
      </c>
      <c r="AL83" s="137">
        <f>'бюджет округа (района)'!T83</f>
        <v>0</v>
      </c>
      <c r="AM83" s="137">
        <f t="shared" si="492"/>
        <v>0</v>
      </c>
      <c r="AN83" s="137">
        <f t="shared" si="492"/>
        <v>0</v>
      </c>
      <c r="AO83" s="134">
        <f>'бюджет округа (района)'!V83+'бюджеты поселений'!V83</f>
        <v>0</v>
      </c>
      <c r="AP83" s="137">
        <f>'бюджет округа (района)'!V83</f>
        <v>0</v>
      </c>
      <c r="AQ83" s="137">
        <f t="shared" si="493"/>
        <v>0</v>
      </c>
      <c r="AR83" s="137">
        <f t="shared" si="493"/>
        <v>0</v>
      </c>
      <c r="AS83" s="134">
        <f>'бюджет округа (района)'!X83+'бюджеты поселений'!X83</f>
        <v>0</v>
      </c>
      <c r="AT83" s="137">
        <f>'бюджет округа (района)'!X83</f>
        <v>0</v>
      </c>
      <c r="AU83" s="137">
        <f t="shared" si="494"/>
        <v>0</v>
      </c>
      <c r="AV83" s="137">
        <f t="shared" si="494"/>
        <v>0</v>
      </c>
      <c r="AW83" s="134">
        <f>'бюджет округа (района)'!Z83+'бюджеты поселений'!Z83</f>
        <v>0</v>
      </c>
      <c r="AX83" s="137">
        <f>'бюджет округа (района)'!Z83</f>
        <v>0</v>
      </c>
      <c r="AY83" s="134">
        <f>'бюджет округа (района)'!AA83+'бюджеты поселений'!AA83</f>
        <v>0</v>
      </c>
      <c r="AZ83" s="137">
        <f>'бюджет округа (района)'!AA83</f>
        <v>0</v>
      </c>
      <c r="BA83" s="135">
        <f t="shared" si="431"/>
        <v>1</v>
      </c>
      <c r="BB83" s="135">
        <f t="shared" si="431"/>
        <v>1</v>
      </c>
      <c r="BC83" s="134">
        <f>'бюджет округа (района)'!AC83+'бюджеты поселений'!AC83</f>
        <v>0</v>
      </c>
      <c r="BD83" s="137">
        <f>'бюджет округа (района)'!AC83</f>
        <v>0</v>
      </c>
      <c r="BE83" s="134">
        <f>'бюджет округа (района)'!AD83+'бюджеты поселений'!AD83</f>
        <v>0</v>
      </c>
      <c r="BF83" s="137">
        <f>'бюджет округа (района)'!AD83</f>
        <v>0</v>
      </c>
      <c r="BG83" s="137">
        <f t="shared" si="495"/>
        <v>0</v>
      </c>
      <c r="BH83" s="137">
        <f t="shared" si="495"/>
        <v>0</v>
      </c>
      <c r="BI83" s="135">
        <f t="shared" si="433"/>
        <v>1</v>
      </c>
      <c r="BJ83" s="135">
        <f t="shared" si="433"/>
        <v>1</v>
      </c>
      <c r="BK83" s="134">
        <f>'бюджет округа (района)'!AG83+'бюджеты поселений'!AG83</f>
        <v>0</v>
      </c>
      <c r="BL83" s="137">
        <f>'бюджет округа (района)'!AG83</f>
        <v>0</v>
      </c>
      <c r="BM83" s="137">
        <f t="shared" si="496"/>
        <v>0</v>
      </c>
      <c r="BN83" s="137">
        <f t="shared" si="496"/>
        <v>0</v>
      </c>
      <c r="BO83" s="135">
        <f t="shared" si="435"/>
        <v>1</v>
      </c>
      <c r="BP83" s="135">
        <f t="shared" si="435"/>
        <v>1</v>
      </c>
      <c r="BQ83" s="134">
        <f>'бюджет округа (района)'!AJ83+'бюджеты поселений'!AJ83</f>
        <v>0</v>
      </c>
      <c r="BR83" s="137">
        <f>'бюджет округа (района)'!AJ83</f>
        <v>0</v>
      </c>
      <c r="BS83" s="137">
        <f t="shared" si="497"/>
        <v>0</v>
      </c>
      <c r="BT83" s="137">
        <f t="shared" si="497"/>
        <v>0</v>
      </c>
      <c r="BU83" s="135">
        <f t="shared" si="437"/>
        <v>1</v>
      </c>
      <c r="BV83" s="135">
        <f t="shared" si="437"/>
        <v>1</v>
      </c>
      <c r="BW83" s="134">
        <f>'бюджет округа (района)'!AM83+'бюджеты поселений'!AM83</f>
        <v>0</v>
      </c>
      <c r="BX83" s="137">
        <f>'бюджет округа (района)'!AM83</f>
        <v>0</v>
      </c>
      <c r="BY83" s="137">
        <f t="shared" si="498"/>
        <v>0</v>
      </c>
      <c r="BZ83" s="137">
        <f t="shared" si="498"/>
        <v>0</v>
      </c>
      <c r="CA83" s="135">
        <f t="shared" si="439"/>
        <v>1</v>
      </c>
      <c r="CB83" s="135">
        <f t="shared" si="439"/>
        <v>1</v>
      </c>
      <c r="CC83" s="134">
        <f>'бюджет округа (района)'!AP83+'бюджеты поселений'!AP83</f>
        <v>0</v>
      </c>
      <c r="CD83" s="137">
        <f>'бюджет округа (района)'!AP83</f>
        <v>0</v>
      </c>
      <c r="CE83" s="137">
        <f t="shared" si="499"/>
        <v>0</v>
      </c>
      <c r="CF83" s="137">
        <f t="shared" si="499"/>
        <v>0</v>
      </c>
      <c r="CG83" s="135">
        <f t="shared" si="441"/>
        <v>1</v>
      </c>
      <c r="CH83" s="135">
        <f t="shared" si="441"/>
        <v>1</v>
      </c>
      <c r="CI83" s="134">
        <f>'бюджет округа (района)'!AS83+'бюджеты поселений'!AS83</f>
        <v>0</v>
      </c>
      <c r="CJ83" s="137">
        <f>'бюджет округа (района)'!AS83</f>
        <v>0</v>
      </c>
      <c r="CK83" s="137">
        <f t="shared" si="500"/>
        <v>0</v>
      </c>
      <c r="CL83" s="137">
        <f t="shared" si="500"/>
        <v>0</v>
      </c>
      <c r="CM83" s="135">
        <f t="shared" si="443"/>
        <v>1</v>
      </c>
      <c r="CN83" s="135">
        <f t="shared" si="443"/>
        <v>1</v>
      </c>
      <c r="CO83" s="134">
        <f>'бюджет округа (района)'!AV83+'бюджеты поселений'!AV83</f>
        <v>0</v>
      </c>
      <c r="CP83" s="137">
        <f>'бюджет округа (района)'!AV83</f>
        <v>0</v>
      </c>
      <c r="CQ83" s="137">
        <f t="shared" si="501"/>
        <v>0</v>
      </c>
      <c r="CR83" s="137">
        <f t="shared" si="501"/>
        <v>0</v>
      </c>
      <c r="CS83" s="135">
        <f t="shared" si="445"/>
        <v>1</v>
      </c>
      <c r="CT83" s="135">
        <f t="shared" si="445"/>
        <v>1</v>
      </c>
      <c r="CU83" s="134">
        <f>'бюджет округа (района)'!AY83+'бюджеты поселений'!AY83</f>
        <v>0</v>
      </c>
      <c r="CV83" s="137">
        <f>'бюджет округа (района)'!AY83</f>
        <v>0</v>
      </c>
      <c r="CW83" s="137">
        <f t="shared" si="502"/>
        <v>0</v>
      </c>
      <c r="CX83" s="137">
        <f t="shared" si="502"/>
        <v>0</v>
      </c>
      <c r="CY83" s="135">
        <f t="shared" si="447"/>
        <v>1</v>
      </c>
      <c r="CZ83" s="135">
        <f t="shared" si="447"/>
        <v>1</v>
      </c>
      <c r="DA83" s="134">
        <f>'бюджет округа (района)'!BB83+'бюджеты поселений'!BB83</f>
        <v>0</v>
      </c>
      <c r="DB83" s="137">
        <f>'бюджет округа (района)'!BB83</f>
        <v>0</v>
      </c>
      <c r="DC83" s="137">
        <f t="shared" si="503"/>
        <v>0</v>
      </c>
      <c r="DD83" s="137">
        <f t="shared" si="503"/>
        <v>0</v>
      </c>
      <c r="DE83" s="135">
        <f t="shared" si="449"/>
        <v>1</v>
      </c>
      <c r="DF83" s="135">
        <f t="shared" si="449"/>
        <v>1</v>
      </c>
      <c r="DG83" s="134">
        <f>'бюджет округа (района)'!BE83+'бюджеты поселений'!BE83</f>
        <v>0</v>
      </c>
      <c r="DH83" s="137">
        <f>'бюджет округа (района)'!BE83</f>
        <v>0</v>
      </c>
      <c r="DI83" s="137">
        <f t="shared" si="504"/>
        <v>0</v>
      </c>
      <c r="DJ83" s="137">
        <f t="shared" si="504"/>
        <v>0</v>
      </c>
      <c r="DK83" s="135">
        <f t="shared" si="451"/>
        <v>1</v>
      </c>
      <c r="DL83" s="135">
        <f t="shared" si="451"/>
        <v>1</v>
      </c>
      <c r="DM83" s="134">
        <f>'бюджет округа (района)'!BH83+'бюджеты поселений'!BH83</f>
        <v>0</v>
      </c>
      <c r="DN83" s="137">
        <f>'бюджет округа (района)'!BH83</f>
        <v>0</v>
      </c>
      <c r="DO83" s="134">
        <f>'бюджет округа (района)'!BI83+'бюджеты поселений'!BI83</f>
        <v>0</v>
      </c>
      <c r="DP83" s="137">
        <f>'бюджет округа (района)'!BI83</f>
        <v>0</v>
      </c>
      <c r="DQ83" s="134">
        <f>'бюджет округа (района)'!BJ83+'бюджеты поселений'!BJ83</f>
        <v>0</v>
      </c>
      <c r="DR83" s="137">
        <f>'бюджет округа (района)'!BJ83</f>
        <v>0</v>
      </c>
      <c r="DS83" s="135">
        <f>IF($AY$83=0,1,DQ83/$AY$83-1)</f>
        <v>1</v>
      </c>
      <c r="DT83" s="135">
        <f>IF($AZ$83=0,1,DR83/$AZ$83-1)</f>
        <v>1</v>
      </c>
      <c r="DU83" s="135">
        <f t="shared" si="453"/>
        <v>1</v>
      </c>
      <c r="DV83" s="135">
        <f t="shared" si="454"/>
        <v>1</v>
      </c>
      <c r="DW83" s="167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  <c r="IV83" s="63"/>
      <c r="IW83" s="63"/>
      <c r="IX83" s="63"/>
      <c r="IY83" s="63"/>
      <c r="IZ83" s="63"/>
      <c r="JA83" s="63"/>
      <c r="JB83" s="63"/>
      <c r="JC83" s="63"/>
      <c r="JD83" s="63"/>
      <c r="JE83" s="63"/>
      <c r="JF83" s="63"/>
      <c r="JG83" s="63"/>
      <c r="JH83" s="63"/>
    </row>
    <row r="84" spans="1:268" s="75" customFormat="1" ht="18" customHeight="1">
      <c r="A84" s="300" t="s">
        <v>58</v>
      </c>
      <c r="B84" s="301"/>
      <c r="C84" s="148">
        <f t="shared" ref="C84:AZ84" si="505">C85-C86</f>
        <v>0</v>
      </c>
      <c r="D84" s="148">
        <f t="shared" si="505"/>
        <v>0</v>
      </c>
      <c r="E84" s="148">
        <f t="shared" si="505"/>
        <v>0</v>
      </c>
      <c r="F84" s="148">
        <f t="shared" si="505"/>
        <v>0</v>
      </c>
      <c r="G84" s="148">
        <f t="shared" si="505"/>
        <v>0</v>
      </c>
      <c r="H84" s="148">
        <f t="shared" si="505"/>
        <v>0</v>
      </c>
      <c r="I84" s="148">
        <f t="shared" si="505"/>
        <v>0</v>
      </c>
      <c r="J84" s="148">
        <f t="shared" si="505"/>
        <v>0</v>
      </c>
      <c r="K84" s="148">
        <f t="shared" si="505"/>
        <v>0</v>
      </c>
      <c r="L84" s="148">
        <f t="shared" si="505"/>
        <v>0</v>
      </c>
      <c r="M84" s="148">
        <f t="shared" si="505"/>
        <v>0</v>
      </c>
      <c r="N84" s="148">
        <f t="shared" si="505"/>
        <v>0</v>
      </c>
      <c r="O84" s="148">
        <f t="shared" si="505"/>
        <v>0</v>
      </c>
      <c r="P84" s="148">
        <f t="shared" si="505"/>
        <v>0</v>
      </c>
      <c r="Q84" s="148">
        <f t="shared" si="505"/>
        <v>0</v>
      </c>
      <c r="R84" s="148">
        <f t="shared" si="505"/>
        <v>0</v>
      </c>
      <c r="S84" s="148">
        <f t="shared" si="505"/>
        <v>0</v>
      </c>
      <c r="T84" s="148">
        <f t="shared" si="505"/>
        <v>0</v>
      </c>
      <c r="U84" s="148">
        <f t="shared" si="505"/>
        <v>0</v>
      </c>
      <c r="V84" s="148">
        <f t="shared" si="505"/>
        <v>0</v>
      </c>
      <c r="W84" s="148">
        <f t="shared" si="505"/>
        <v>0</v>
      </c>
      <c r="X84" s="148">
        <f t="shared" si="505"/>
        <v>0</v>
      </c>
      <c r="Y84" s="148">
        <f t="shared" si="505"/>
        <v>0</v>
      </c>
      <c r="Z84" s="148">
        <f t="shared" si="505"/>
        <v>0</v>
      </c>
      <c r="AA84" s="148">
        <f t="shared" si="505"/>
        <v>0</v>
      </c>
      <c r="AB84" s="148">
        <f t="shared" si="505"/>
        <v>0</v>
      </c>
      <c r="AC84" s="148">
        <f t="shared" si="505"/>
        <v>0</v>
      </c>
      <c r="AD84" s="148">
        <f t="shared" si="505"/>
        <v>0</v>
      </c>
      <c r="AE84" s="148">
        <f t="shared" si="505"/>
        <v>0</v>
      </c>
      <c r="AF84" s="148">
        <f t="shared" si="505"/>
        <v>0</v>
      </c>
      <c r="AG84" s="148">
        <f t="shared" si="505"/>
        <v>0</v>
      </c>
      <c r="AH84" s="148">
        <f t="shared" si="505"/>
        <v>0</v>
      </c>
      <c r="AI84" s="148">
        <f t="shared" si="505"/>
        <v>0</v>
      </c>
      <c r="AJ84" s="148">
        <f t="shared" si="505"/>
        <v>0</v>
      </c>
      <c r="AK84" s="148">
        <f t="shared" si="505"/>
        <v>0</v>
      </c>
      <c r="AL84" s="148">
        <f t="shared" si="505"/>
        <v>0</v>
      </c>
      <c r="AM84" s="148">
        <f t="shared" si="505"/>
        <v>0</v>
      </c>
      <c r="AN84" s="148">
        <f t="shared" si="505"/>
        <v>0</v>
      </c>
      <c r="AO84" s="148">
        <f t="shared" si="505"/>
        <v>0</v>
      </c>
      <c r="AP84" s="148">
        <f t="shared" si="505"/>
        <v>0</v>
      </c>
      <c r="AQ84" s="148">
        <f t="shared" si="505"/>
        <v>0</v>
      </c>
      <c r="AR84" s="148">
        <f t="shared" si="505"/>
        <v>0</v>
      </c>
      <c r="AS84" s="148">
        <f t="shared" si="505"/>
        <v>0</v>
      </c>
      <c r="AT84" s="148">
        <f t="shared" si="505"/>
        <v>0</v>
      </c>
      <c r="AU84" s="148">
        <f t="shared" si="505"/>
        <v>0</v>
      </c>
      <c r="AV84" s="148">
        <f t="shared" si="505"/>
        <v>0</v>
      </c>
      <c r="AW84" s="148">
        <f t="shared" si="505"/>
        <v>0</v>
      </c>
      <c r="AX84" s="148">
        <f t="shared" si="505"/>
        <v>0</v>
      </c>
      <c r="AY84" s="148">
        <f t="shared" si="505"/>
        <v>0</v>
      </c>
      <c r="AZ84" s="148">
        <f t="shared" si="505"/>
        <v>0</v>
      </c>
      <c r="BA84" s="133">
        <f t="shared" si="431"/>
        <v>1</v>
      </c>
      <c r="BB84" s="133">
        <f t="shared" si="431"/>
        <v>1</v>
      </c>
      <c r="BC84" s="148">
        <f t="shared" ref="BC84:DJ84" si="506">BC85-BC86</f>
        <v>0</v>
      </c>
      <c r="BD84" s="148">
        <f t="shared" si="506"/>
        <v>0</v>
      </c>
      <c r="BE84" s="148">
        <f t="shared" si="506"/>
        <v>0</v>
      </c>
      <c r="BF84" s="148">
        <f t="shared" si="506"/>
        <v>0</v>
      </c>
      <c r="BG84" s="148">
        <f t="shared" si="506"/>
        <v>0</v>
      </c>
      <c r="BH84" s="148">
        <f t="shared" si="506"/>
        <v>0</v>
      </c>
      <c r="BI84" s="133">
        <f t="shared" si="433"/>
        <v>1</v>
      </c>
      <c r="BJ84" s="133">
        <f t="shared" si="433"/>
        <v>1</v>
      </c>
      <c r="BK84" s="148">
        <f t="shared" ref="BK84:BL84" si="507">BK85-BK86</f>
        <v>0</v>
      </c>
      <c r="BL84" s="148">
        <f t="shared" si="507"/>
        <v>0</v>
      </c>
      <c r="BM84" s="148">
        <f t="shared" si="506"/>
        <v>0</v>
      </c>
      <c r="BN84" s="148">
        <f t="shared" si="506"/>
        <v>0</v>
      </c>
      <c r="BO84" s="133">
        <f t="shared" si="435"/>
        <v>1</v>
      </c>
      <c r="BP84" s="133">
        <f t="shared" si="435"/>
        <v>1</v>
      </c>
      <c r="BQ84" s="148">
        <f t="shared" ref="BQ84:BR84" si="508">BQ85-BQ86</f>
        <v>0</v>
      </c>
      <c r="BR84" s="148">
        <f t="shared" si="508"/>
        <v>0</v>
      </c>
      <c r="BS84" s="148">
        <f t="shared" si="506"/>
        <v>0</v>
      </c>
      <c r="BT84" s="148">
        <f t="shared" si="506"/>
        <v>0</v>
      </c>
      <c r="BU84" s="133">
        <f t="shared" si="437"/>
        <v>1</v>
      </c>
      <c r="BV84" s="133">
        <f t="shared" si="437"/>
        <v>1</v>
      </c>
      <c r="BW84" s="148">
        <f t="shared" ref="BW84:BX84" si="509">BW85-BW86</f>
        <v>0</v>
      </c>
      <c r="BX84" s="148">
        <f t="shared" si="509"/>
        <v>0</v>
      </c>
      <c r="BY84" s="148">
        <f t="shared" si="506"/>
        <v>0</v>
      </c>
      <c r="BZ84" s="148">
        <f t="shared" si="506"/>
        <v>0</v>
      </c>
      <c r="CA84" s="133">
        <f t="shared" si="439"/>
        <v>1</v>
      </c>
      <c r="CB84" s="133">
        <f t="shared" si="439"/>
        <v>1</v>
      </c>
      <c r="CC84" s="148">
        <f t="shared" ref="CC84:CD84" si="510">CC85-CC86</f>
        <v>0</v>
      </c>
      <c r="CD84" s="148">
        <f t="shared" si="510"/>
        <v>0</v>
      </c>
      <c r="CE84" s="148">
        <f t="shared" si="506"/>
        <v>0</v>
      </c>
      <c r="CF84" s="148">
        <f t="shared" si="506"/>
        <v>0</v>
      </c>
      <c r="CG84" s="133">
        <f t="shared" si="441"/>
        <v>1</v>
      </c>
      <c r="CH84" s="133">
        <f t="shared" si="441"/>
        <v>1</v>
      </c>
      <c r="CI84" s="148">
        <f t="shared" ref="CI84:CJ84" si="511">CI85-CI86</f>
        <v>0</v>
      </c>
      <c r="CJ84" s="148">
        <f t="shared" si="511"/>
        <v>0</v>
      </c>
      <c r="CK84" s="148">
        <f t="shared" si="506"/>
        <v>0</v>
      </c>
      <c r="CL84" s="148">
        <f t="shared" si="506"/>
        <v>0</v>
      </c>
      <c r="CM84" s="133">
        <f t="shared" si="443"/>
        <v>1</v>
      </c>
      <c r="CN84" s="133">
        <f t="shared" si="443"/>
        <v>1</v>
      </c>
      <c r="CO84" s="148">
        <f t="shared" ref="CO84:CP84" si="512">CO85-CO86</f>
        <v>0</v>
      </c>
      <c r="CP84" s="148">
        <f t="shared" si="512"/>
        <v>0</v>
      </c>
      <c r="CQ84" s="148">
        <f t="shared" si="506"/>
        <v>0</v>
      </c>
      <c r="CR84" s="148">
        <f t="shared" si="506"/>
        <v>0</v>
      </c>
      <c r="CS84" s="133">
        <f t="shared" si="445"/>
        <v>1</v>
      </c>
      <c r="CT84" s="133">
        <f t="shared" si="445"/>
        <v>1</v>
      </c>
      <c r="CU84" s="148">
        <f t="shared" ref="CU84:CV84" si="513">CU85-CU86</f>
        <v>0</v>
      </c>
      <c r="CV84" s="148">
        <f t="shared" si="513"/>
        <v>0</v>
      </c>
      <c r="CW84" s="148">
        <f t="shared" si="506"/>
        <v>0</v>
      </c>
      <c r="CX84" s="148">
        <f t="shared" si="506"/>
        <v>0</v>
      </c>
      <c r="CY84" s="133">
        <f t="shared" si="447"/>
        <v>1</v>
      </c>
      <c r="CZ84" s="133">
        <f t="shared" si="447"/>
        <v>1</v>
      </c>
      <c r="DA84" s="148">
        <f t="shared" ref="DA84:DB84" si="514">DA85-DA86</f>
        <v>0</v>
      </c>
      <c r="DB84" s="148">
        <f t="shared" si="514"/>
        <v>0</v>
      </c>
      <c r="DC84" s="148">
        <f t="shared" si="506"/>
        <v>0</v>
      </c>
      <c r="DD84" s="148">
        <f t="shared" si="506"/>
        <v>0</v>
      </c>
      <c r="DE84" s="133">
        <f t="shared" si="449"/>
        <v>1</v>
      </c>
      <c r="DF84" s="133">
        <f t="shared" si="449"/>
        <v>1</v>
      </c>
      <c r="DG84" s="148">
        <f t="shared" ref="DG84:DH84" si="515">DG85-DG86</f>
        <v>0</v>
      </c>
      <c r="DH84" s="148">
        <f t="shared" si="515"/>
        <v>0</v>
      </c>
      <c r="DI84" s="148">
        <f t="shared" si="506"/>
        <v>0</v>
      </c>
      <c r="DJ84" s="148">
        <f t="shared" si="506"/>
        <v>0</v>
      </c>
      <c r="DK84" s="133">
        <f t="shared" si="451"/>
        <v>1</v>
      </c>
      <c r="DL84" s="133">
        <f t="shared" si="451"/>
        <v>1</v>
      </c>
      <c r="DM84" s="148">
        <f t="shared" ref="DM84:DR84" si="516">DM85-DM86</f>
        <v>0</v>
      </c>
      <c r="DN84" s="148">
        <f t="shared" si="516"/>
        <v>0</v>
      </c>
      <c r="DO84" s="148">
        <f t="shared" si="516"/>
        <v>0</v>
      </c>
      <c r="DP84" s="148">
        <f t="shared" si="516"/>
        <v>0</v>
      </c>
      <c r="DQ84" s="148">
        <f t="shared" si="516"/>
        <v>0</v>
      </c>
      <c r="DR84" s="148">
        <f t="shared" si="516"/>
        <v>0</v>
      </c>
      <c r="DS84" s="133">
        <f>IF($AY$84=0,1,DQ84/$AY$84-1)</f>
        <v>1</v>
      </c>
      <c r="DT84" s="133">
        <f>IF($AZ$84=0,1,DR84/$AZ$84-1)</f>
        <v>1</v>
      </c>
      <c r="DU84" s="133">
        <f t="shared" si="453"/>
        <v>1</v>
      </c>
      <c r="DV84" s="133">
        <f t="shared" si="454"/>
        <v>1</v>
      </c>
      <c r="DW84" s="169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  <c r="GY84" s="74"/>
      <c r="GZ84" s="74"/>
      <c r="HA84" s="74"/>
      <c r="HB84" s="74"/>
      <c r="HC84" s="74"/>
      <c r="HD84" s="74"/>
      <c r="HE84" s="74"/>
      <c r="HF84" s="74"/>
      <c r="HG84" s="74"/>
      <c r="HH84" s="74"/>
      <c r="HI84" s="74"/>
      <c r="HJ84" s="74"/>
      <c r="HK84" s="74"/>
      <c r="HL84" s="74"/>
      <c r="HM84" s="74"/>
      <c r="HN84" s="74"/>
      <c r="HO84" s="74"/>
      <c r="HP84" s="74"/>
      <c r="HQ84" s="74"/>
      <c r="HR84" s="74"/>
      <c r="HS84" s="74"/>
      <c r="HT84" s="74"/>
      <c r="HU84" s="74"/>
      <c r="HV84" s="74"/>
      <c r="HW84" s="74"/>
      <c r="HX84" s="74"/>
      <c r="HY84" s="74"/>
      <c r="HZ84" s="74"/>
      <c r="IA84" s="74"/>
      <c r="IB84" s="74"/>
      <c r="IC84" s="74"/>
      <c r="ID84" s="74"/>
      <c r="IE84" s="74"/>
      <c r="IF84" s="74"/>
      <c r="IG84" s="74"/>
      <c r="IH84" s="74"/>
      <c r="II84" s="74"/>
      <c r="IJ84" s="74"/>
      <c r="IK84" s="74"/>
      <c r="IL84" s="74"/>
      <c r="IM84" s="74"/>
      <c r="IN84" s="74"/>
      <c r="IO84" s="74"/>
      <c r="IP84" s="74"/>
      <c r="IQ84" s="74"/>
      <c r="IR84" s="74"/>
      <c r="IS84" s="74"/>
      <c r="IT84" s="74"/>
      <c r="IU84" s="74"/>
      <c r="IV84" s="74"/>
      <c r="IW84" s="74"/>
      <c r="IX84" s="74"/>
      <c r="IY84" s="74"/>
      <c r="IZ84" s="74"/>
      <c r="JA84" s="74"/>
      <c r="JB84" s="74"/>
      <c r="JC84" s="74"/>
      <c r="JD84" s="74"/>
      <c r="JE84" s="74"/>
      <c r="JF84" s="74"/>
      <c r="JG84" s="74"/>
      <c r="JH84" s="74"/>
    </row>
    <row r="85" spans="1:268" s="66" customFormat="1" ht="18" customHeight="1">
      <c r="A85" s="298" t="s">
        <v>147</v>
      </c>
      <c r="B85" s="299"/>
      <c r="C85" s="134">
        <f>'бюджет округа (района)'!C85+'бюджеты поселений'!C85</f>
        <v>0</v>
      </c>
      <c r="D85" s="137">
        <f>'бюджет округа (района)'!C85</f>
        <v>0</v>
      </c>
      <c r="E85" s="134">
        <f t="shared" ref="E85:F86" si="517">G85+I85+M85+Q85+U85+Y85+AC85+AG85+AK85+AO85+AS85+AW85</f>
        <v>0</v>
      </c>
      <c r="F85" s="137">
        <f t="shared" si="517"/>
        <v>0</v>
      </c>
      <c r="G85" s="134">
        <f>'бюджет округа (района)'!E85+'бюджеты поселений'!E85</f>
        <v>0</v>
      </c>
      <c r="H85" s="137">
        <f>'бюджет округа (района)'!E85</f>
        <v>0</v>
      </c>
      <c r="I85" s="134">
        <f>'бюджет округа (района)'!F85+'бюджеты поселений'!F85</f>
        <v>0</v>
      </c>
      <c r="J85" s="137">
        <f>'бюджет округа (района)'!F85</f>
        <v>0</v>
      </c>
      <c r="K85" s="137">
        <f t="shared" ref="K85:L86" si="518">G85+I85</f>
        <v>0</v>
      </c>
      <c r="L85" s="137">
        <f t="shared" si="518"/>
        <v>0</v>
      </c>
      <c r="M85" s="134">
        <f>'бюджет округа (района)'!H85+'бюджеты поселений'!H85</f>
        <v>0</v>
      </c>
      <c r="N85" s="137">
        <f>'бюджет округа (района)'!H85</f>
        <v>0</v>
      </c>
      <c r="O85" s="137">
        <f t="shared" ref="O85:P86" si="519">K85+M85</f>
        <v>0</v>
      </c>
      <c r="P85" s="137">
        <f t="shared" si="519"/>
        <v>0</v>
      </c>
      <c r="Q85" s="134">
        <f>'бюджет округа (района)'!J85+'бюджеты поселений'!J85</f>
        <v>0</v>
      </c>
      <c r="R85" s="137">
        <f>'бюджет округа (района)'!J85</f>
        <v>0</v>
      </c>
      <c r="S85" s="137">
        <f t="shared" ref="S85:T86" si="520">O85+Q85</f>
        <v>0</v>
      </c>
      <c r="T85" s="137">
        <f t="shared" si="520"/>
        <v>0</v>
      </c>
      <c r="U85" s="134">
        <f>'бюджет округа (района)'!L85+'бюджеты поселений'!L85</f>
        <v>0</v>
      </c>
      <c r="V85" s="137">
        <f>'бюджет округа (района)'!L85</f>
        <v>0</v>
      </c>
      <c r="W85" s="137">
        <f t="shared" ref="W85:X86" si="521">S85+U85</f>
        <v>0</v>
      </c>
      <c r="X85" s="137">
        <f t="shared" si="521"/>
        <v>0</v>
      </c>
      <c r="Y85" s="134">
        <f>'бюджет округа (района)'!N85+'бюджеты поселений'!N85</f>
        <v>0</v>
      </c>
      <c r="Z85" s="137">
        <f>'бюджет округа (района)'!N85</f>
        <v>0</v>
      </c>
      <c r="AA85" s="137">
        <f t="shared" ref="AA85:AB86" si="522">W85+Y85</f>
        <v>0</v>
      </c>
      <c r="AB85" s="137">
        <f t="shared" si="522"/>
        <v>0</v>
      </c>
      <c r="AC85" s="134">
        <f>'бюджет округа (района)'!P85+'бюджеты поселений'!P85</f>
        <v>0</v>
      </c>
      <c r="AD85" s="137">
        <f>'бюджет округа (района)'!P85</f>
        <v>0</v>
      </c>
      <c r="AE85" s="137">
        <f t="shared" ref="AE85:AF86" si="523">AA85+AC85</f>
        <v>0</v>
      </c>
      <c r="AF85" s="137">
        <f t="shared" si="523"/>
        <v>0</v>
      </c>
      <c r="AG85" s="134">
        <f>'бюджет округа (района)'!R85+'бюджеты поселений'!R85</f>
        <v>0</v>
      </c>
      <c r="AH85" s="137">
        <f>'бюджет округа (района)'!R85</f>
        <v>0</v>
      </c>
      <c r="AI85" s="137">
        <f t="shared" ref="AI85:AJ86" si="524">AE85+AG85</f>
        <v>0</v>
      </c>
      <c r="AJ85" s="137">
        <f t="shared" si="524"/>
        <v>0</v>
      </c>
      <c r="AK85" s="134">
        <f>'бюджет округа (района)'!T85+'бюджеты поселений'!T85</f>
        <v>0</v>
      </c>
      <c r="AL85" s="137">
        <f>'бюджет округа (района)'!T85</f>
        <v>0</v>
      </c>
      <c r="AM85" s="137">
        <f t="shared" ref="AM85:AN86" si="525">AI85+AK85</f>
        <v>0</v>
      </c>
      <c r="AN85" s="137">
        <f t="shared" si="525"/>
        <v>0</v>
      </c>
      <c r="AO85" s="134">
        <f>'бюджет округа (района)'!V85+'бюджеты поселений'!V85</f>
        <v>0</v>
      </c>
      <c r="AP85" s="137">
        <f>'бюджет округа (района)'!V85</f>
        <v>0</v>
      </c>
      <c r="AQ85" s="137">
        <f t="shared" ref="AQ85:AR86" si="526">AM85+AO85</f>
        <v>0</v>
      </c>
      <c r="AR85" s="137">
        <f t="shared" si="526"/>
        <v>0</v>
      </c>
      <c r="AS85" s="134">
        <f>'бюджет округа (района)'!X85+'бюджеты поселений'!X85</f>
        <v>0</v>
      </c>
      <c r="AT85" s="137">
        <f>'бюджет округа (района)'!X85</f>
        <v>0</v>
      </c>
      <c r="AU85" s="137">
        <f t="shared" ref="AU85:AV86" si="527">AQ85+AS85</f>
        <v>0</v>
      </c>
      <c r="AV85" s="137">
        <f t="shared" si="527"/>
        <v>0</v>
      </c>
      <c r="AW85" s="134">
        <f>'бюджет округа (района)'!Z85+'бюджеты поселений'!Z85</f>
        <v>0</v>
      </c>
      <c r="AX85" s="137">
        <f>'бюджет округа (района)'!Z85</f>
        <v>0</v>
      </c>
      <c r="AY85" s="134">
        <f>'бюджет округа (района)'!AA85+'бюджеты поселений'!AA85</f>
        <v>0</v>
      </c>
      <c r="AZ85" s="137">
        <f>'бюджет округа (района)'!AA85</f>
        <v>0</v>
      </c>
      <c r="BA85" s="135">
        <f t="shared" si="431"/>
        <v>1</v>
      </c>
      <c r="BB85" s="135">
        <f t="shared" si="431"/>
        <v>1</v>
      </c>
      <c r="BC85" s="134">
        <f>'бюджет округа (района)'!AC85+'бюджеты поселений'!AC85</f>
        <v>0</v>
      </c>
      <c r="BD85" s="137">
        <f>'бюджет округа (района)'!AC85</f>
        <v>0</v>
      </c>
      <c r="BE85" s="134">
        <f>'бюджет округа (района)'!AD85+'бюджеты поселений'!AD85</f>
        <v>0</v>
      </c>
      <c r="BF85" s="137">
        <f>'бюджет округа (района)'!AD85</f>
        <v>0</v>
      </c>
      <c r="BG85" s="137">
        <f t="shared" ref="BG85:BH86" si="528">BC85+BE85</f>
        <v>0</v>
      </c>
      <c r="BH85" s="137">
        <f t="shared" si="528"/>
        <v>0</v>
      </c>
      <c r="BI85" s="135">
        <f t="shared" si="433"/>
        <v>1</v>
      </c>
      <c r="BJ85" s="135">
        <f t="shared" si="433"/>
        <v>1</v>
      </c>
      <c r="BK85" s="134">
        <f>'бюджет округа (района)'!AG85+'бюджеты поселений'!AG85</f>
        <v>0</v>
      </c>
      <c r="BL85" s="137">
        <f>'бюджет округа (района)'!AG85</f>
        <v>0</v>
      </c>
      <c r="BM85" s="137">
        <f t="shared" ref="BM85:BN86" si="529">BG85+BK85</f>
        <v>0</v>
      </c>
      <c r="BN85" s="137">
        <f t="shared" si="529"/>
        <v>0</v>
      </c>
      <c r="BO85" s="135">
        <f t="shared" si="435"/>
        <v>1</v>
      </c>
      <c r="BP85" s="135">
        <f t="shared" si="435"/>
        <v>1</v>
      </c>
      <c r="BQ85" s="134">
        <f>'бюджет округа (района)'!AJ85+'бюджеты поселений'!AJ85</f>
        <v>0</v>
      </c>
      <c r="BR85" s="137">
        <f>'бюджет округа (района)'!AJ85</f>
        <v>0</v>
      </c>
      <c r="BS85" s="137">
        <f t="shared" ref="BS85:BT86" si="530">BM85+BQ85</f>
        <v>0</v>
      </c>
      <c r="BT85" s="137">
        <f t="shared" si="530"/>
        <v>0</v>
      </c>
      <c r="BU85" s="135">
        <f t="shared" si="437"/>
        <v>1</v>
      </c>
      <c r="BV85" s="135">
        <f t="shared" si="437"/>
        <v>1</v>
      </c>
      <c r="BW85" s="134">
        <f>'бюджет округа (района)'!AM85+'бюджеты поселений'!AM85</f>
        <v>0</v>
      </c>
      <c r="BX85" s="137">
        <f>'бюджет округа (района)'!AM85</f>
        <v>0</v>
      </c>
      <c r="BY85" s="137">
        <f t="shared" ref="BY85:BZ86" si="531">BS85+BW85</f>
        <v>0</v>
      </c>
      <c r="BZ85" s="137">
        <f t="shared" si="531"/>
        <v>0</v>
      </c>
      <c r="CA85" s="135">
        <f t="shared" si="439"/>
        <v>1</v>
      </c>
      <c r="CB85" s="135">
        <f t="shared" si="439"/>
        <v>1</v>
      </c>
      <c r="CC85" s="134">
        <f>'бюджет округа (района)'!AP85+'бюджеты поселений'!AP85</f>
        <v>0</v>
      </c>
      <c r="CD85" s="137">
        <f>'бюджет округа (района)'!AP85</f>
        <v>0</v>
      </c>
      <c r="CE85" s="137">
        <f t="shared" ref="CE85:CF86" si="532">BY85+CC85</f>
        <v>0</v>
      </c>
      <c r="CF85" s="137">
        <f t="shared" si="532"/>
        <v>0</v>
      </c>
      <c r="CG85" s="135">
        <f t="shared" si="441"/>
        <v>1</v>
      </c>
      <c r="CH85" s="135">
        <f t="shared" si="441"/>
        <v>1</v>
      </c>
      <c r="CI85" s="134">
        <f>'бюджет округа (района)'!AS85+'бюджеты поселений'!AS85</f>
        <v>0</v>
      </c>
      <c r="CJ85" s="137">
        <f>'бюджет округа (района)'!AS85</f>
        <v>0</v>
      </c>
      <c r="CK85" s="137">
        <f t="shared" ref="CK85:CL86" si="533">CE85+CI85</f>
        <v>0</v>
      </c>
      <c r="CL85" s="137">
        <f t="shared" si="533"/>
        <v>0</v>
      </c>
      <c r="CM85" s="135">
        <f t="shared" si="443"/>
        <v>1</v>
      </c>
      <c r="CN85" s="135">
        <f t="shared" si="443"/>
        <v>1</v>
      </c>
      <c r="CO85" s="134">
        <f>'бюджет округа (района)'!AV85+'бюджеты поселений'!AV85</f>
        <v>0</v>
      </c>
      <c r="CP85" s="137">
        <f>'бюджет округа (района)'!AV85</f>
        <v>0</v>
      </c>
      <c r="CQ85" s="137">
        <f t="shared" ref="CQ85:CR86" si="534">CK85+CO85</f>
        <v>0</v>
      </c>
      <c r="CR85" s="137">
        <f t="shared" si="534"/>
        <v>0</v>
      </c>
      <c r="CS85" s="135">
        <f t="shared" si="445"/>
        <v>1</v>
      </c>
      <c r="CT85" s="135">
        <f t="shared" si="445"/>
        <v>1</v>
      </c>
      <c r="CU85" s="134">
        <f>'бюджет округа (района)'!AY85+'бюджеты поселений'!AY85</f>
        <v>0</v>
      </c>
      <c r="CV85" s="137">
        <f>'бюджет округа (района)'!AY85</f>
        <v>0</v>
      </c>
      <c r="CW85" s="137">
        <f t="shared" ref="CW85:CX86" si="535">CQ85+CU85</f>
        <v>0</v>
      </c>
      <c r="CX85" s="137">
        <f t="shared" si="535"/>
        <v>0</v>
      </c>
      <c r="CY85" s="135">
        <f t="shared" si="447"/>
        <v>1</v>
      </c>
      <c r="CZ85" s="135">
        <f t="shared" si="447"/>
        <v>1</v>
      </c>
      <c r="DA85" s="134">
        <f>'бюджет округа (района)'!BB85+'бюджеты поселений'!BB85</f>
        <v>0</v>
      </c>
      <c r="DB85" s="137">
        <f>'бюджет округа (района)'!BB85</f>
        <v>0</v>
      </c>
      <c r="DC85" s="137">
        <f t="shared" ref="DC85:DD86" si="536">CW85+DA85</f>
        <v>0</v>
      </c>
      <c r="DD85" s="137">
        <f t="shared" si="536"/>
        <v>0</v>
      </c>
      <c r="DE85" s="135">
        <f t="shared" si="449"/>
        <v>1</v>
      </c>
      <c r="DF85" s="135">
        <f t="shared" si="449"/>
        <v>1</v>
      </c>
      <c r="DG85" s="134">
        <f>'бюджет округа (района)'!BE85+'бюджеты поселений'!BE85</f>
        <v>0</v>
      </c>
      <c r="DH85" s="137">
        <f>'бюджет округа (района)'!BE85</f>
        <v>0</v>
      </c>
      <c r="DI85" s="137">
        <f t="shared" ref="DI85:DJ86" si="537">DC85+DG85</f>
        <v>0</v>
      </c>
      <c r="DJ85" s="137">
        <f t="shared" si="537"/>
        <v>0</v>
      </c>
      <c r="DK85" s="135">
        <f t="shared" si="451"/>
        <v>1</v>
      </c>
      <c r="DL85" s="135">
        <f t="shared" si="451"/>
        <v>1</v>
      </c>
      <c r="DM85" s="134">
        <f>'бюджет округа (района)'!BH85+'бюджеты поселений'!BH85</f>
        <v>0</v>
      </c>
      <c r="DN85" s="137">
        <f>'бюджет округа (района)'!BH85</f>
        <v>0</v>
      </c>
      <c r="DO85" s="134">
        <f>'бюджет округа (района)'!BI85+'бюджеты поселений'!BI85</f>
        <v>0</v>
      </c>
      <c r="DP85" s="137">
        <f>'бюджет округа (района)'!BI85</f>
        <v>0</v>
      </c>
      <c r="DQ85" s="134">
        <f>'бюджет округа (района)'!BJ85+'бюджеты поселений'!BJ85</f>
        <v>0</v>
      </c>
      <c r="DR85" s="137">
        <f>'бюджет округа (района)'!BJ85</f>
        <v>0</v>
      </c>
      <c r="DS85" s="135">
        <f>IF($AY$85=0,1,DQ85/$AY$85-1)</f>
        <v>1</v>
      </c>
      <c r="DT85" s="135">
        <f>IF($AZ$85=0,1,DR85/$AZ$85-1)</f>
        <v>1</v>
      </c>
      <c r="DU85" s="135">
        <f t="shared" si="453"/>
        <v>1</v>
      </c>
      <c r="DV85" s="135">
        <f t="shared" si="454"/>
        <v>1</v>
      </c>
      <c r="DW85" s="167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  <c r="IW85" s="65"/>
      <c r="IX85" s="65"/>
      <c r="IY85" s="65"/>
      <c r="IZ85" s="65"/>
      <c r="JA85" s="65"/>
      <c r="JB85" s="65"/>
      <c r="JC85" s="65"/>
      <c r="JD85" s="65"/>
      <c r="JE85" s="65"/>
      <c r="JF85" s="65"/>
      <c r="JG85" s="65"/>
      <c r="JH85" s="65"/>
    </row>
    <row r="86" spans="1:268" s="66" customFormat="1" ht="18" customHeight="1">
      <c r="A86" s="298" t="s">
        <v>148</v>
      </c>
      <c r="B86" s="299"/>
      <c r="C86" s="134">
        <f>'бюджет округа (района)'!C86+'бюджеты поселений'!C86</f>
        <v>0</v>
      </c>
      <c r="D86" s="137">
        <f>'бюджет округа (района)'!C86</f>
        <v>0</v>
      </c>
      <c r="E86" s="134">
        <f t="shared" si="517"/>
        <v>0</v>
      </c>
      <c r="F86" s="137">
        <f t="shared" si="517"/>
        <v>0</v>
      </c>
      <c r="G86" s="134">
        <f>'бюджет округа (района)'!E86+'бюджеты поселений'!E86</f>
        <v>0</v>
      </c>
      <c r="H86" s="137">
        <f>'бюджет округа (района)'!E86</f>
        <v>0</v>
      </c>
      <c r="I86" s="134">
        <f>'бюджет округа (района)'!F86+'бюджеты поселений'!F86</f>
        <v>0</v>
      </c>
      <c r="J86" s="137">
        <f>'бюджет округа (района)'!F86</f>
        <v>0</v>
      </c>
      <c r="K86" s="137">
        <f t="shared" si="518"/>
        <v>0</v>
      </c>
      <c r="L86" s="137">
        <f t="shared" si="518"/>
        <v>0</v>
      </c>
      <c r="M86" s="134">
        <f>'бюджет округа (района)'!H86+'бюджеты поселений'!H86</f>
        <v>0</v>
      </c>
      <c r="N86" s="137">
        <f>'бюджет округа (района)'!H86</f>
        <v>0</v>
      </c>
      <c r="O86" s="137">
        <f t="shared" si="519"/>
        <v>0</v>
      </c>
      <c r="P86" s="137">
        <f t="shared" si="519"/>
        <v>0</v>
      </c>
      <c r="Q86" s="134">
        <f>'бюджет округа (района)'!J86+'бюджеты поселений'!J86</f>
        <v>0</v>
      </c>
      <c r="R86" s="137">
        <f>'бюджет округа (района)'!J86</f>
        <v>0</v>
      </c>
      <c r="S86" s="137">
        <f t="shared" si="520"/>
        <v>0</v>
      </c>
      <c r="T86" s="137">
        <f t="shared" si="520"/>
        <v>0</v>
      </c>
      <c r="U86" s="134">
        <f>'бюджет округа (района)'!L86+'бюджеты поселений'!L86</f>
        <v>0</v>
      </c>
      <c r="V86" s="137">
        <f>'бюджет округа (района)'!L86</f>
        <v>0</v>
      </c>
      <c r="W86" s="137">
        <f t="shared" si="521"/>
        <v>0</v>
      </c>
      <c r="X86" s="137">
        <f t="shared" si="521"/>
        <v>0</v>
      </c>
      <c r="Y86" s="134">
        <f>'бюджет округа (района)'!N86+'бюджеты поселений'!N86</f>
        <v>0</v>
      </c>
      <c r="Z86" s="137">
        <f>'бюджет округа (района)'!N86</f>
        <v>0</v>
      </c>
      <c r="AA86" s="137">
        <f t="shared" si="522"/>
        <v>0</v>
      </c>
      <c r="AB86" s="137">
        <f t="shared" si="522"/>
        <v>0</v>
      </c>
      <c r="AC86" s="134">
        <f>'бюджет округа (района)'!P86+'бюджеты поселений'!P86</f>
        <v>0</v>
      </c>
      <c r="AD86" s="137">
        <f>'бюджет округа (района)'!P86</f>
        <v>0</v>
      </c>
      <c r="AE86" s="137">
        <f t="shared" si="523"/>
        <v>0</v>
      </c>
      <c r="AF86" s="137">
        <f t="shared" si="523"/>
        <v>0</v>
      </c>
      <c r="AG86" s="134">
        <f>'бюджет округа (района)'!R86+'бюджеты поселений'!R86</f>
        <v>0</v>
      </c>
      <c r="AH86" s="137">
        <f>'бюджет округа (района)'!R86</f>
        <v>0</v>
      </c>
      <c r="AI86" s="137">
        <f t="shared" si="524"/>
        <v>0</v>
      </c>
      <c r="AJ86" s="137">
        <f t="shared" si="524"/>
        <v>0</v>
      </c>
      <c r="AK86" s="134">
        <f>'бюджет округа (района)'!T86+'бюджеты поселений'!T86</f>
        <v>0</v>
      </c>
      <c r="AL86" s="137">
        <f>'бюджет округа (района)'!T86</f>
        <v>0</v>
      </c>
      <c r="AM86" s="137">
        <f t="shared" si="525"/>
        <v>0</v>
      </c>
      <c r="AN86" s="137">
        <f t="shared" si="525"/>
        <v>0</v>
      </c>
      <c r="AO86" s="134">
        <f>'бюджет округа (района)'!V86+'бюджеты поселений'!V86</f>
        <v>0</v>
      </c>
      <c r="AP86" s="137">
        <f>'бюджет округа (района)'!V86</f>
        <v>0</v>
      </c>
      <c r="AQ86" s="137">
        <f t="shared" si="526"/>
        <v>0</v>
      </c>
      <c r="AR86" s="137">
        <f t="shared" si="526"/>
        <v>0</v>
      </c>
      <c r="AS86" s="134">
        <f>'бюджет округа (района)'!X86+'бюджеты поселений'!X86</f>
        <v>0</v>
      </c>
      <c r="AT86" s="137">
        <f>'бюджет округа (района)'!X86</f>
        <v>0</v>
      </c>
      <c r="AU86" s="137">
        <f t="shared" si="527"/>
        <v>0</v>
      </c>
      <c r="AV86" s="137">
        <f t="shared" si="527"/>
        <v>0</v>
      </c>
      <c r="AW86" s="134">
        <f>'бюджет округа (района)'!Z86+'бюджеты поселений'!Z86</f>
        <v>0</v>
      </c>
      <c r="AX86" s="137">
        <f>'бюджет округа (района)'!Z86</f>
        <v>0</v>
      </c>
      <c r="AY86" s="134">
        <f>'бюджет округа (района)'!AA86+'бюджеты поселений'!AA86</f>
        <v>0</v>
      </c>
      <c r="AZ86" s="137">
        <f>'бюджет округа (района)'!AA86</f>
        <v>0</v>
      </c>
      <c r="BA86" s="135">
        <f t="shared" si="431"/>
        <v>1</v>
      </c>
      <c r="BB86" s="135">
        <f t="shared" si="431"/>
        <v>1</v>
      </c>
      <c r="BC86" s="134">
        <f>'бюджет округа (района)'!AC86+'бюджеты поселений'!AC86</f>
        <v>0</v>
      </c>
      <c r="BD86" s="137">
        <f>'бюджет округа (района)'!AC86</f>
        <v>0</v>
      </c>
      <c r="BE86" s="134">
        <f>'бюджет округа (района)'!AD86+'бюджеты поселений'!AD86</f>
        <v>0</v>
      </c>
      <c r="BF86" s="137">
        <f>'бюджет округа (района)'!AD86</f>
        <v>0</v>
      </c>
      <c r="BG86" s="137">
        <f t="shared" si="528"/>
        <v>0</v>
      </c>
      <c r="BH86" s="137">
        <f t="shared" si="528"/>
        <v>0</v>
      </c>
      <c r="BI86" s="135">
        <f t="shared" si="433"/>
        <v>1</v>
      </c>
      <c r="BJ86" s="135">
        <f t="shared" si="433"/>
        <v>1</v>
      </c>
      <c r="BK86" s="134">
        <f>'бюджет округа (района)'!AG86+'бюджеты поселений'!AG86</f>
        <v>0</v>
      </c>
      <c r="BL86" s="137">
        <f>'бюджет округа (района)'!AG86</f>
        <v>0</v>
      </c>
      <c r="BM86" s="137">
        <f t="shared" si="529"/>
        <v>0</v>
      </c>
      <c r="BN86" s="137">
        <f t="shared" si="529"/>
        <v>0</v>
      </c>
      <c r="BO86" s="135">
        <f t="shared" si="435"/>
        <v>1</v>
      </c>
      <c r="BP86" s="135">
        <f t="shared" si="435"/>
        <v>1</v>
      </c>
      <c r="BQ86" s="134">
        <f>'бюджет округа (района)'!AJ86+'бюджеты поселений'!AJ86</f>
        <v>0</v>
      </c>
      <c r="BR86" s="137">
        <f>'бюджет округа (района)'!AJ86</f>
        <v>0</v>
      </c>
      <c r="BS86" s="137">
        <f t="shared" si="530"/>
        <v>0</v>
      </c>
      <c r="BT86" s="137">
        <f t="shared" si="530"/>
        <v>0</v>
      </c>
      <c r="BU86" s="135">
        <f t="shared" si="437"/>
        <v>1</v>
      </c>
      <c r="BV86" s="135">
        <f t="shared" si="437"/>
        <v>1</v>
      </c>
      <c r="BW86" s="134">
        <f>'бюджет округа (района)'!AM86+'бюджеты поселений'!AM86</f>
        <v>0</v>
      </c>
      <c r="BX86" s="137">
        <f>'бюджет округа (района)'!AM86</f>
        <v>0</v>
      </c>
      <c r="BY86" s="137">
        <f t="shared" si="531"/>
        <v>0</v>
      </c>
      <c r="BZ86" s="137">
        <f t="shared" si="531"/>
        <v>0</v>
      </c>
      <c r="CA86" s="135">
        <f t="shared" si="439"/>
        <v>1</v>
      </c>
      <c r="CB86" s="135">
        <f t="shared" si="439"/>
        <v>1</v>
      </c>
      <c r="CC86" s="134">
        <f>'бюджет округа (района)'!AP86+'бюджеты поселений'!AP86</f>
        <v>0</v>
      </c>
      <c r="CD86" s="137">
        <f>'бюджет округа (района)'!AP86</f>
        <v>0</v>
      </c>
      <c r="CE86" s="137">
        <f t="shared" si="532"/>
        <v>0</v>
      </c>
      <c r="CF86" s="137">
        <f t="shared" si="532"/>
        <v>0</v>
      </c>
      <c r="CG86" s="135">
        <f t="shared" si="441"/>
        <v>1</v>
      </c>
      <c r="CH86" s="135">
        <f t="shared" si="441"/>
        <v>1</v>
      </c>
      <c r="CI86" s="134">
        <f>'бюджет округа (района)'!AS86+'бюджеты поселений'!AS86</f>
        <v>0</v>
      </c>
      <c r="CJ86" s="137">
        <f>'бюджет округа (района)'!AS86</f>
        <v>0</v>
      </c>
      <c r="CK86" s="137">
        <f t="shared" si="533"/>
        <v>0</v>
      </c>
      <c r="CL86" s="137">
        <f t="shared" si="533"/>
        <v>0</v>
      </c>
      <c r="CM86" s="135">
        <f t="shared" si="443"/>
        <v>1</v>
      </c>
      <c r="CN86" s="135">
        <f t="shared" si="443"/>
        <v>1</v>
      </c>
      <c r="CO86" s="134">
        <f>'бюджет округа (района)'!AV86+'бюджеты поселений'!AV86</f>
        <v>0</v>
      </c>
      <c r="CP86" s="137">
        <f>'бюджет округа (района)'!AV86</f>
        <v>0</v>
      </c>
      <c r="CQ86" s="137">
        <f t="shared" si="534"/>
        <v>0</v>
      </c>
      <c r="CR86" s="137">
        <f t="shared" si="534"/>
        <v>0</v>
      </c>
      <c r="CS86" s="135">
        <f t="shared" si="445"/>
        <v>1</v>
      </c>
      <c r="CT86" s="135">
        <f t="shared" si="445"/>
        <v>1</v>
      </c>
      <c r="CU86" s="134">
        <f>'бюджет округа (района)'!AY86+'бюджеты поселений'!AY86</f>
        <v>0</v>
      </c>
      <c r="CV86" s="137">
        <f>'бюджет округа (района)'!AY86</f>
        <v>0</v>
      </c>
      <c r="CW86" s="137">
        <f t="shared" si="535"/>
        <v>0</v>
      </c>
      <c r="CX86" s="137">
        <f t="shared" si="535"/>
        <v>0</v>
      </c>
      <c r="CY86" s="135">
        <f t="shared" si="447"/>
        <v>1</v>
      </c>
      <c r="CZ86" s="135">
        <f t="shared" si="447"/>
        <v>1</v>
      </c>
      <c r="DA86" s="134">
        <f>'бюджет округа (района)'!BB86+'бюджеты поселений'!BB86</f>
        <v>0</v>
      </c>
      <c r="DB86" s="137">
        <f>'бюджет округа (района)'!BB86</f>
        <v>0</v>
      </c>
      <c r="DC86" s="137">
        <f t="shared" si="536"/>
        <v>0</v>
      </c>
      <c r="DD86" s="137">
        <f t="shared" si="536"/>
        <v>0</v>
      </c>
      <c r="DE86" s="135">
        <f t="shared" si="449"/>
        <v>1</v>
      </c>
      <c r="DF86" s="135">
        <f t="shared" si="449"/>
        <v>1</v>
      </c>
      <c r="DG86" s="134">
        <f>'бюджет округа (района)'!BE86+'бюджеты поселений'!BE86</f>
        <v>0</v>
      </c>
      <c r="DH86" s="137">
        <f>'бюджет округа (района)'!BE86</f>
        <v>0</v>
      </c>
      <c r="DI86" s="137">
        <f t="shared" si="537"/>
        <v>0</v>
      </c>
      <c r="DJ86" s="137">
        <f t="shared" si="537"/>
        <v>0</v>
      </c>
      <c r="DK86" s="135">
        <f t="shared" si="451"/>
        <v>1</v>
      </c>
      <c r="DL86" s="135">
        <f t="shared" si="451"/>
        <v>1</v>
      </c>
      <c r="DM86" s="134">
        <f>'бюджет округа (района)'!BH86+'бюджеты поселений'!BH86</f>
        <v>0</v>
      </c>
      <c r="DN86" s="137">
        <f>'бюджет округа (района)'!BH86</f>
        <v>0</v>
      </c>
      <c r="DO86" s="134">
        <f>'бюджет округа (района)'!BI86+'бюджеты поселений'!BI86</f>
        <v>0</v>
      </c>
      <c r="DP86" s="137">
        <f>'бюджет округа (района)'!BI86</f>
        <v>0</v>
      </c>
      <c r="DQ86" s="134">
        <f>'бюджет округа (района)'!BJ86+'бюджеты поселений'!BJ86</f>
        <v>0</v>
      </c>
      <c r="DR86" s="137">
        <f>'бюджет округа (района)'!BJ86</f>
        <v>0</v>
      </c>
      <c r="DS86" s="135">
        <f>IF($AY$86=0,1,DQ86/$AY$86-1)</f>
        <v>1</v>
      </c>
      <c r="DT86" s="135">
        <f>IF($AZ$86=0,1,DR86/$AZ$86-1)</f>
        <v>1</v>
      </c>
      <c r="DU86" s="135">
        <f t="shared" si="453"/>
        <v>1</v>
      </c>
      <c r="DV86" s="135">
        <f t="shared" si="454"/>
        <v>1</v>
      </c>
      <c r="DW86" s="167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  <c r="IW86" s="65"/>
      <c r="IX86" s="65"/>
      <c r="IY86" s="65"/>
      <c r="IZ86" s="65"/>
      <c r="JA86" s="65"/>
      <c r="JB86" s="65"/>
      <c r="JC86" s="65"/>
      <c r="JD86" s="65"/>
      <c r="JE86" s="65"/>
      <c r="JF86" s="65"/>
      <c r="JG86" s="65"/>
      <c r="JH86" s="65"/>
    </row>
    <row r="87" spans="1:268" s="66" customFormat="1" ht="18" customHeight="1">
      <c r="A87" s="300" t="s">
        <v>61</v>
      </c>
      <c r="B87" s="301"/>
      <c r="C87" s="148">
        <f t="shared" ref="C87:AH87" si="538">(C86+C83+C80+C37)-(C9+C79+C82+C85)</f>
        <v>0</v>
      </c>
      <c r="D87" s="148">
        <f t="shared" si="538"/>
        <v>0</v>
      </c>
      <c r="E87" s="148">
        <f t="shared" si="538"/>
        <v>0</v>
      </c>
      <c r="F87" s="148">
        <f t="shared" si="538"/>
        <v>0</v>
      </c>
      <c r="G87" s="148">
        <f t="shared" si="538"/>
        <v>0</v>
      </c>
      <c r="H87" s="148">
        <f t="shared" si="538"/>
        <v>0</v>
      </c>
      <c r="I87" s="148">
        <f t="shared" si="538"/>
        <v>0</v>
      </c>
      <c r="J87" s="148">
        <f t="shared" si="538"/>
        <v>0</v>
      </c>
      <c r="K87" s="148">
        <f t="shared" si="538"/>
        <v>0</v>
      </c>
      <c r="L87" s="148">
        <f t="shared" si="538"/>
        <v>0</v>
      </c>
      <c r="M87" s="148">
        <f t="shared" si="538"/>
        <v>0</v>
      </c>
      <c r="N87" s="148">
        <f t="shared" si="538"/>
        <v>0</v>
      </c>
      <c r="O87" s="148">
        <f t="shared" si="538"/>
        <v>0</v>
      </c>
      <c r="P87" s="148">
        <f t="shared" si="538"/>
        <v>0</v>
      </c>
      <c r="Q87" s="148">
        <f t="shared" si="538"/>
        <v>0</v>
      </c>
      <c r="R87" s="148">
        <f t="shared" si="538"/>
        <v>0</v>
      </c>
      <c r="S87" s="148">
        <f t="shared" si="538"/>
        <v>0</v>
      </c>
      <c r="T87" s="148">
        <f t="shared" si="538"/>
        <v>0</v>
      </c>
      <c r="U87" s="148">
        <f t="shared" si="538"/>
        <v>0</v>
      </c>
      <c r="V87" s="148">
        <f t="shared" si="538"/>
        <v>0</v>
      </c>
      <c r="W87" s="148">
        <f t="shared" si="538"/>
        <v>0</v>
      </c>
      <c r="X87" s="148">
        <f t="shared" si="538"/>
        <v>0</v>
      </c>
      <c r="Y87" s="148">
        <f t="shared" si="538"/>
        <v>0</v>
      </c>
      <c r="Z87" s="148">
        <f t="shared" si="538"/>
        <v>0</v>
      </c>
      <c r="AA87" s="148">
        <f t="shared" si="538"/>
        <v>0</v>
      </c>
      <c r="AB87" s="148">
        <f t="shared" si="538"/>
        <v>0</v>
      </c>
      <c r="AC87" s="148">
        <f t="shared" si="538"/>
        <v>0</v>
      </c>
      <c r="AD87" s="148">
        <f t="shared" si="538"/>
        <v>0</v>
      </c>
      <c r="AE87" s="148">
        <f t="shared" si="538"/>
        <v>0</v>
      </c>
      <c r="AF87" s="148">
        <f t="shared" si="538"/>
        <v>0</v>
      </c>
      <c r="AG87" s="148">
        <f t="shared" si="538"/>
        <v>0</v>
      </c>
      <c r="AH87" s="148">
        <f t="shared" si="538"/>
        <v>0</v>
      </c>
      <c r="AI87" s="148">
        <f t="shared" ref="AI87:AZ87" si="539">(AI86+AI83+AI80+AI37)-(AI9+AI79+AI82+AI85)</f>
        <v>0</v>
      </c>
      <c r="AJ87" s="148">
        <f t="shared" si="539"/>
        <v>0</v>
      </c>
      <c r="AK87" s="148">
        <f t="shared" si="539"/>
        <v>0</v>
      </c>
      <c r="AL87" s="148">
        <f t="shared" si="539"/>
        <v>0</v>
      </c>
      <c r="AM87" s="148">
        <f t="shared" si="539"/>
        <v>0</v>
      </c>
      <c r="AN87" s="148">
        <f t="shared" si="539"/>
        <v>0</v>
      </c>
      <c r="AO87" s="148">
        <f t="shared" si="539"/>
        <v>0</v>
      </c>
      <c r="AP87" s="148">
        <f t="shared" si="539"/>
        <v>0</v>
      </c>
      <c r="AQ87" s="148">
        <f t="shared" si="539"/>
        <v>0</v>
      </c>
      <c r="AR87" s="148">
        <f t="shared" si="539"/>
        <v>0</v>
      </c>
      <c r="AS87" s="148">
        <f t="shared" si="539"/>
        <v>0</v>
      </c>
      <c r="AT87" s="148">
        <f t="shared" si="539"/>
        <v>0</v>
      </c>
      <c r="AU87" s="148">
        <f t="shared" si="539"/>
        <v>0</v>
      </c>
      <c r="AV87" s="148">
        <f t="shared" si="539"/>
        <v>0</v>
      </c>
      <c r="AW87" s="148">
        <f t="shared" si="539"/>
        <v>0</v>
      </c>
      <c r="AX87" s="148">
        <f t="shared" si="539"/>
        <v>0</v>
      </c>
      <c r="AY87" s="148">
        <f t="shared" si="539"/>
        <v>0</v>
      </c>
      <c r="AZ87" s="148">
        <f t="shared" si="539"/>
        <v>0</v>
      </c>
      <c r="BA87" s="133">
        <f t="shared" si="431"/>
        <v>1</v>
      </c>
      <c r="BB87" s="133">
        <f t="shared" si="431"/>
        <v>1</v>
      </c>
      <c r="BC87" s="148">
        <f t="shared" ref="BC87:BH87" si="540">(BC86+BC83+BC80+BC37)-(BC9+BC79+BC82+BC85)</f>
        <v>0</v>
      </c>
      <c r="BD87" s="148">
        <f t="shared" si="540"/>
        <v>0</v>
      </c>
      <c r="BE87" s="148">
        <f t="shared" si="540"/>
        <v>0</v>
      </c>
      <c r="BF87" s="148">
        <f t="shared" si="540"/>
        <v>0</v>
      </c>
      <c r="BG87" s="148">
        <f t="shared" si="540"/>
        <v>0</v>
      </c>
      <c r="BH87" s="148">
        <f t="shared" si="540"/>
        <v>0</v>
      </c>
      <c r="BI87" s="133">
        <f t="shared" si="433"/>
        <v>1</v>
      </c>
      <c r="BJ87" s="133">
        <f t="shared" si="433"/>
        <v>1</v>
      </c>
      <c r="BK87" s="148">
        <f>(BK86+BK83+BK80+BK37)-(BK9+BK79+BK82+BK85)</f>
        <v>0</v>
      </c>
      <c r="BL87" s="148">
        <f>(BL86+BL83+BL80+BL37)-(BL9+BL79+BL82+BL85)</f>
        <v>0</v>
      </c>
      <c r="BM87" s="148">
        <f>(BM86+BM83+BM80+BM37)-(BM9+BM79+BM82+BM85)</f>
        <v>0</v>
      </c>
      <c r="BN87" s="148">
        <f>(BN86+BN83+BN80+BN37)-(BN9+BN79+BN82+BN85)</f>
        <v>0</v>
      </c>
      <c r="BO87" s="133">
        <f t="shared" si="435"/>
        <v>1</v>
      </c>
      <c r="BP87" s="133">
        <f t="shared" si="435"/>
        <v>1</v>
      </c>
      <c r="BQ87" s="148">
        <f>(BQ86+BQ83+BQ80+BQ37)-(BQ9+BQ79+BQ82+BQ85)</f>
        <v>0</v>
      </c>
      <c r="BR87" s="148">
        <f>(BR86+BR83+BR80+BR37)-(BR9+BR79+BR82+BR85)</f>
        <v>0</v>
      </c>
      <c r="BS87" s="148">
        <f>(BS86+BS83+BS80+BS37)-(BS9+BS79+BS82+BS85)</f>
        <v>0</v>
      </c>
      <c r="BT87" s="148">
        <f>(BT86+BT83+BT80+BT37)-(BT9+BT79+BT82+BT85)</f>
        <v>0</v>
      </c>
      <c r="BU87" s="133">
        <f t="shared" si="437"/>
        <v>1</v>
      </c>
      <c r="BV87" s="133">
        <f t="shared" si="437"/>
        <v>1</v>
      </c>
      <c r="BW87" s="148">
        <f>(BW86+BW83+BW80+BW37)-(BW9+BW79+BW82+BW85)</f>
        <v>0</v>
      </c>
      <c r="BX87" s="148">
        <f>(BX86+BX83+BX80+BX37)-(BX9+BX79+BX82+BX85)</f>
        <v>0</v>
      </c>
      <c r="BY87" s="148">
        <f>(BY86+BY83+BY80+BY37)-(BY9+BY79+BY82+BY85)</f>
        <v>0</v>
      </c>
      <c r="BZ87" s="148">
        <f>(BZ86+BZ83+BZ80+BZ37)-(BZ9+BZ79+BZ82+BZ85)</f>
        <v>0</v>
      </c>
      <c r="CA87" s="133">
        <f t="shared" si="439"/>
        <v>1</v>
      </c>
      <c r="CB87" s="133">
        <f t="shared" si="439"/>
        <v>1</v>
      </c>
      <c r="CC87" s="148">
        <f>(CC86+CC83+CC80+CC37)-(CC9+CC79+CC82+CC85)</f>
        <v>0</v>
      </c>
      <c r="CD87" s="148">
        <f>(CD86+CD83+CD80+CD37)-(CD9+CD79+CD82+CD85)</f>
        <v>0</v>
      </c>
      <c r="CE87" s="148">
        <f>(CE86+CE83+CE80+CE37)-(CE9+CE79+CE82+CE85)</f>
        <v>0</v>
      </c>
      <c r="CF87" s="148">
        <f>(CF86+CF83+CF80+CF37)-(CF9+CF79+CF82+CF85)</f>
        <v>0</v>
      </c>
      <c r="CG87" s="133">
        <f t="shared" si="441"/>
        <v>1</v>
      </c>
      <c r="CH87" s="133">
        <f t="shared" si="441"/>
        <v>1</v>
      </c>
      <c r="CI87" s="148">
        <f>(CI86+CI83+CI80+CI37)-(CI9+CI79+CI82+CI85)</f>
        <v>0</v>
      </c>
      <c r="CJ87" s="148">
        <f>(CJ86+CJ83+CJ80+CJ37)-(CJ9+CJ79+CJ82+CJ85)</f>
        <v>0</v>
      </c>
      <c r="CK87" s="148">
        <f>(CK86+CK83+CK80+CK37)-(CK9+CK79+CK82+CK85)</f>
        <v>0</v>
      </c>
      <c r="CL87" s="148">
        <f>(CL86+CL83+CL80+CL37)-(CL9+CL79+CL82+CL85)</f>
        <v>0</v>
      </c>
      <c r="CM87" s="133">
        <f t="shared" si="443"/>
        <v>1</v>
      </c>
      <c r="CN87" s="133">
        <f t="shared" si="443"/>
        <v>1</v>
      </c>
      <c r="CO87" s="148">
        <f>(CO86+CO83+CO80+CO37)-(CO9+CO79+CO82+CO85)</f>
        <v>0</v>
      </c>
      <c r="CP87" s="148">
        <f>(CP86+CP83+CP80+CP37)-(CP9+CP79+CP82+CP85)</f>
        <v>0</v>
      </c>
      <c r="CQ87" s="148">
        <f>(CQ86+CQ83+CQ80+CQ37)-(CQ9+CQ79+CQ82+CQ85)</f>
        <v>0</v>
      </c>
      <c r="CR87" s="148">
        <f>(CR86+CR83+CR80+CR37)-(CR9+CR79+CR82+CR85)</f>
        <v>0</v>
      </c>
      <c r="CS87" s="133">
        <f t="shared" si="445"/>
        <v>1</v>
      </c>
      <c r="CT87" s="133">
        <f t="shared" si="445"/>
        <v>1</v>
      </c>
      <c r="CU87" s="148">
        <f>(CU86+CU83+CU80+CU37)-(CU9+CU79+CU82+CU85)</f>
        <v>0</v>
      </c>
      <c r="CV87" s="148">
        <f>(CV86+CV83+CV80+CV37)-(CV9+CV79+CV82+CV85)</f>
        <v>0</v>
      </c>
      <c r="CW87" s="148">
        <f>(CW86+CW83+CW80+CW37)-(CW9+CW79+CW82+CW85)</f>
        <v>0</v>
      </c>
      <c r="CX87" s="148">
        <f>(CX86+CX83+CX80+CX37)-(CX9+CX79+CX82+CX85)</f>
        <v>0</v>
      </c>
      <c r="CY87" s="133">
        <f t="shared" si="447"/>
        <v>1</v>
      </c>
      <c r="CZ87" s="133">
        <f t="shared" si="447"/>
        <v>1</v>
      </c>
      <c r="DA87" s="148">
        <f>(DA86+DA83+DA80+DA37)-(DA9+DA79+DA82+DA85)</f>
        <v>0</v>
      </c>
      <c r="DB87" s="148">
        <f>(DB86+DB83+DB80+DB37)-(DB9+DB79+DB82+DB85)</f>
        <v>0</v>
      </c>
      <c r="DC87" s="148">
        <f>(DC86+DC83+DC80+DC37)-(DC9+DC79+DC82+DC85)</f>
        <v>0</v>
      </c>
      <c r="DD87" s="148">
        <f>(DD86+DD83+DD80+DD37)-(DD9+DD79+DD82+DD85)</f>
        <v>0</v>
      </c>
      <c r="DE87" s="133">
        <f t="shared" si="449"/>
        <v>1</v>
      </c>
      <c r="DF87" s="133">
        <f t="shared" si="449"/>
        <v>1</v>
      </c>
      <c r="DG87" s="148">
        <f>(DG86+DG83+DG80+DG37)-(DG9+DG79+DG82+DG85)</f>
        <v>0</v>
      </c>
      <c r="DH87" s="148">
        <f>(DH86+DH83+DH80+DH37)-(DH9+DH79+DH82+DH85)</f>
        <v>0</v>
      </c>
      <c r="DI87" s="148">
        <f>(DI86+DI83+DI80+DI37)-(DI9+DI79+DI82+DI85)</f>
        <v>0</v>
      </c>
      <c r="DJ87" s="148">
        <f>(DJ86+DJ83+DJ80+DJ37)-(DJ9+DJ79+DJ82+DJ85)</f>
        <v>0</v>
      </c>
      <c r="DK87" s="133">
        <f t="shared" si="451"/>
        <v>1</v>
      </c>
      <c r="DL87" s="133">
        <f t="shared" si="451"/>
        <v>1</v>
      </c>
      <c r="DM87" s="148">
        <f t="shared" ref="DM87:DR87" si="541">(DM86+DM83+DM80+DM37)-(DM9+DM79+DM82+DM85)</f>
        <v>0</v>
      </c>
      <c r="DN87" s="148">
        <f t="shared" si="541"/>
        <v>0</v>
      </c>
      <c r="DO87" s="148">
        <f t="shared" si="541"/>
        <v>0</v>
      </c>
      <c r="DP87" s="148">
        <f t="shared" si="541"/>
        <v>0</v>
      </c>
      <c r="DQ87" s="148">
        <f t="shared" si="541"/>
        <v>0</v>
      </c>
      <c r="DR87" s="148">
        <f t="shared" si="541"/>
        <v>0</v>
      </c>
      <c r="DS87" s="133">
        <f>IF($AY$87=0,1,DQ87/$AY$87-1)</f>
        <v>1</v>
      </c>
      <c r="DT87" s="133">
        <f>IF($AZ$87=0,1,DR87/$AZ$87-1)</f>
        <v>1</v>
      </c>
      <c r="DU87" s="133">
        <f t="shared" si="453"/>
        <v>1</v>
      </c>
      <c r="DV87" s="133">
        <f t="shared" si="454"/>
        <v>1</v>
      </c>
      <c r="DW87" s="169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  <c r="IW87" s="65"/>
      <c r="IX87" s="65"/>
      <c r="IY87" s="65"/>
      <c r="IZ87" s="65"/>
      <c r="JA87" s="65"/>
      <c r="JB87" s="65"/>
      <c r="JC87" s="65"/>
      <c r="JD87" s="65"/>
      <c r="JE87" s="65"/>
      <c r="JF87" s="65"/>
      <c r="JG87" s="65"/>
      <c r="JH87" s="65"/>
    </row>
    <row r="88" spans="1:268" s="72" customFormat="1" ht="51" customHeight="1">
      <c r="A88" s="302" t="s">
        <v>62</v>
      </c>
      <c r="B88" s="303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 t="s">
        <v>51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 t="s">
        <v>51</v>
      </c>
      <c r="BJ88" s="130" t="s">
        <v>51</v>
      </c>
      <c r="BK88" s="130" t="s">
        <v>51</v>
      </c>
      <c r="BL88" s="130" t="s">
        <v>51</v>
      </c>
      <c r="BM88" s="130" t="s">
        <v>51</v>
      </c>
      <c r="BN88" s="130" t="s">
        <v>51</v>
      </c>
      <c r="BO88" s="130" t="s">
        <v>51</v>
      </c>
      <c r="BP88" s="130" t="s">
        <v>51</v>
      </c>
      <c r="BQ88" s="130" t="s">
        <v>51</v>
      </c>
      <c r="BR88" s="130" t="s">
        <v>51</v>
      </c>
      <c r="BS88" s="130" t="s">
        <v>51</v>
      </c>
      <c r="BT88" s="130" t="s">
        <v>51</v>
      </c>
      <c r="BU88" s="130" t="s">
        <v>51</v>
      </c>
      <c r="BV88" s="130" t="s">
        <v>51</v>
      </c>
      <c r="BW88" s="130" t="s">
        <v>51</v>
      </c>
      <c r="BX88" s="130" t="s">
        <v>51</v>
      </c>
      <c r="BY88" s="130" t="s">
        <v>51</v>
      </c>
      <c r="BZ88" s="130" t="s">
        <v>51</v>
      </c>
      <c r="CA88" s="130" t="s">
        <v>51</v>
      </c>
      <c r="CB88" s="130" t="s">
        <v>51</v>
      </c>
      <c r="CC88" s="130" t="s">
        <v>51</v>
      </c>
      <c r="CD88" s="130" t="s">
        <v>51</v>
      </c>
      <c r="CE88" s="130" t="s">
        <v>51</v>
      </c>
      <c r="CF88" s="130" t="s">
        <v>51</v>
      </c>
      <c r="CG88" s="130" t="s">
        <v>51</v>
      </c>
      <c r="CH88" s="130" t="s">
        <v>51</v>
      </c>
      <c r="CI88" s="130" t="s">
        <v>51</v>
      </c>
      <c r="CJ88" s="130" t="s">
        <v>51</v>
      </c>
      <c r="CK88" s="130" t="s">
        <v>51</v>
      </c>
      <c r="CL88" s="130" t="s">
        <v>51</v>
      </c>
      <c r="CM88" s="130" t="s">
        <v>51</v>
      </c>
      <c r="CN88" s="130" t="s">
        <v>51</v>
      </c>
      <c r="CO88" s="130" t="s">
        <v>51</v>
      </c>
      <c r="CP88" s="130" t="s">
        <v>51</v>
      </c>
      <c r="CQ88" s="130" t="s">
        <v>51</v>
      </c>
      <c r="CR88" s="130" t="s">
        <v>51</v>
      </c>
      <c r="CS88" s="130" t="s">
        <v>51</v>
      </c>
      <c r="CT88" s="130" t="s">
        <v>51</v>
      </c>
      <c r="CU88" s="130" t="s">
        <v>51</v>
      </c>
      <c r="CV88" s="130" t="s">
        <v>51</v>
      </c>
      <c r="CW88" s="130" t="s">
        <v>51</v>
      </c>
      <c r="CX88" s="130" t="s">
        <v>51</v>
      </c>
      <c r="CY88" s="130" t="s">
        <v>51</v>
      </c>
      <c r="CZ88" s="130" t="s">
        <v>51</v>
      </c>
      <c r="DA88" s="130" t="s">
        <v>51</v>
      </c>
      <c r="DB88" s="130" t="s">
        <v>51</v>
      </c>
      <c r="DC88" s="130" t="s">
        <v>51</v>
      </c>
      <c r="DD88" s="130" t="s">
        <v>51</v>
      </c>
      <c r="DE88" s="130" t="s">
        <v>51</v>
      </c>
      <c r="DF88" s="130" t="s">
        <v>51</v>
      </c>
      <c r="DG88" s="130" t="s">
        <v>51</v>
      </c>
      <c r="DH88" s="130" t="s">
        <v>51</v>
      </c>
      <c r="DI88" s="130" t="s">
        <v>51</v>
      </c>
      <c r="DJ88" s="130" t="s">
        <v>51</v>
      </c>
      <c r="DK88" s="130" t="s">
        <v>51</v>
      </c>
      <c r="DL88" s="130" t="s">
        <v>51</v>
      </c>
      <c r="DM88" s="130" t="s">
        <v>51</v>
      </c>
      <c r="DN88" s="130" t="s">
        <v>51</v>
      </c>
      <c r="DO88" s="130" t="s">
        <v>51</v>
      </c>
      <c r="DP88" s="130" t="s">
        <v>51</v>
      </c>
      <c r="DQ88" s="130" t="s">
        <v>51</v>
      </c>
      <c r="DR88" s="130" t="s">
        <v>51</v>
      </c>
      <c r="DS88" s="130" t="s">
        <v>51</v>
      </c>
      <c r="DT88" s="130" t="s">
        <v>51</v>
      </c>
      <c r="DU88" s="130" t="s">
        <v>51</v>
      </c>
      <c r="DV88" s="130" t="s">
        <v>51</v>
      </c>
      <c r="DW88" s="168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  <c r="IJ88" s="71"/>
      <c r="IK88" s="71"/>
      <c r="IL88" s="71"/>
      <c r="IM88" s="71"/>
      <c r="IN88" s="71"/>
      <c r="IO88" s="71"/>
      <c r="IP88" s="71"/>
      <c r="IQ88" s="71"/>
      <c r="IR88" s="71"/>
      <c r="IS88" s="71"/>
      <c r="IT88" s="71"/>
      <c r="IU88" s="71"/>
      <c r="IV88" s="71"/>
      <c r="IW88" s="71"/>
      <c r="IX88" s="71"/>
      <c r="IY88" s="71"/>
      <c r="IZ88" s="71"/>
      <c r="JA88" s="71"/>
      <c r="JB88" s="71"/>
      <c r="JC88" s="71"/>
      <c r="JD88" s="71"/>
      <c r="JE88" s="71"/>
      <c r="JF88" s="71"/>
      <c r="JG88" s="71"/>
      <c r="JH88" s="71"/>
    </row>
    <row r="89" spans="1:268" s="66" customFormat="1" ht="30" customHeight="1">
      <c r="A89" s="304" t="s">
        <v>63</v>
      </c>
      <c r="B89" s="305"/>
      <c r="C89" s="151"/>
      <c r="D89" s="151"/>
      <c r="E89" s="151"/>
      <c r="F89" s="151"/>
      <c r="G89" s="151"/>
      <c r="H89" s="151"/>
      <c r="I89" s="151"/>
      <c r="J89" s="151"/>
      <c r="K89" s="152"/>
      <c r="L89" s="152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48"/>
      <c r="BC89" s="151"/>
      <c r="BD89" s="151"/>
      <c r="BE89" s="151"/>
      <c r="BF89" s="151"/>
      <c r="BG89" s="152"/>
      <c r="BH89" s="152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/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/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69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</row>
    <row r="90" spans="1:268" s="82" customFormat="1" ht="19.5" customHeight="1">
      <c r="A90" s="279" t="s">
        <v>136</v>
      </c>
      <c r="B90" s="280"/>
      <c r="C90" s="156"/>
      <c r="D90" s="156"/>
      <c r="E90" s="156"/>
      <c r="F90" s="156"/>
      <c r="G90" s="156"/>
      <c r="H90" s="156"/>
      <c r="I90" s="156"/>
      <c r="J90" s="156"/>
      <c r="K90" s="155"/>
      <c r="L90" s="155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30"/>
      <c r="BC90" s="156"/>
      <c r="BD90" s="156"/>
      <c r="BE90" s="156"/>
      <c r="BF90" s="156"/>
      <c r="BG90" s="155"/>
      <c r="BH90" s="155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56"/>
      <c r="DD90" s="156"/>
      <c r="DE90" s="156"/>
      <c r="DF90" s="156"/>
      <c r="DG90" s="156"/>
      <c r="DH90" s="156"/>
      <c r="DI90" s="156"/>
      <c r="DJ90" s="156"/>
      <c r="DK90" s="156"/>
      <c r="DL90" s="156"/>
      <c r="DM90" s="156"/>
      <c r="DN90" s="156"/>
      <c r="DO90" s="156"/>
      <c r="DP90" s="156"/>
      <c r="DQ90" s="156"/>
      <c r="DR90" s="156"/>
      <c r="DS90" s="156"/>
      <c r="DT90" s="156"/>
      <c r="DU90" s="156"/>
      <c r="DV90" s="156"/>
      <c r="DW90" s="168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  <c r="IW90" s="83"/>
      <c r="IX90" s="83"/>
      <c r="IY90" s="83"/>
      <c r="IZ90" s="83"/>
      <c r="JA90" s="83"/>
      <c r="JB90" s="83"/>
      <c r="JC90" s="83"/>
      <c r="JD90" s="83"/>
      <c r="JE90" s="83"/>
      <c r="JF90" s="83"/>
      <c r="JG90" s="83"/>
      <c r="JH90" s="83"/>
    </row>
    <row r="91" spans="1:268" s="104" customFormat="1" ht="18" customHeight="1">
      <c r="A91" s="296" t="s">
        <v>64</v>
      </c>
      <c r="B91" s="297"/>
      <c r="C91" s="137">
        <f t="shared" ref="C91:J91" si="542">C92+C93+C94</f>
        <v>0</v>
      </c>
      <c r="D91" s="137">
        <f t="shared" si="542"/>
        <v>0</v>
      </c>
      <c r="E91" s="137">
        <f t="shared" si="542"/>
        <v>0</v>
      </c>
      <c r="F91" s="137">
        <f t="shared" si="542"/>
        <v>0</v>
      </c>
      <c r="G91" s="137">
        <f t="shared" si="542"/>
        <v>0</v>
      </c>
      <c r="H91" s="137">
        <f t="shared" si="542"/>
        <v>0</v>
      </c>
      <c r="I91" s="137">
        <f t="shared" si="542"/>
        <v>0</v>
      </c>
      <c r="J91" s="137">
        <f t="shared" si="542"/>
        <v>0</v>
      </c>
      <c r="K91" s="137">
        <f t="shared" ref="K91:AV91" si="543">K92+K93+K94</f>
        <v>0</v>
      </c>
      <c r="L91" s="137">
        <f t="shared" si="543"/>
        <v>0</v>
      </c>
      <c r="M91" s="137">
        <f>M92+M93+M94</f>
        <v>0</v>
      </c>
      <c r="N91" s="137">
        <f>N92+N93+N94</f>
        <v>0</v>
      </c>
      <c r="O91" s="137">
        <f t="shared" si="543"/>
        <v>0</v>
      </c>
      <c r="P91" s="137">
        <f t="shared" si="543"/>
        <v>0</v>
      </c>
      <c r="Q91" s="137">
        <f>Q92+Q93+Q94</f>
        <v>0</v>
      </c>
      <c r="R91" s="137">
        <f>R92+R93+R94</f>
        <v>0</v>
      </c>
      <c r="S91" s="137">
        <f t="shared" si="543"/>
        <v>0</v>
      </c>
      <c r="T91" s="137">
        <f t="shared" si="543"/>
        <v>0</v>
      </c>
      <c r="U91" s="137">
        <f>U92+U93+U94</f>
        <v>0</v>
      </c>
      <c r="V91" s="137">
        <f>V92+V93+V94</f>
        <v>0</v>
      </c>
      <c r="W91" s="137">
        <f t="shared" si="543"/>
        <v>0</v>
      </c>
      <c r="X91" s="137">
        <f t="shared" si="543"/>
        <v>0</v>
      </c>
      <c r="Y91" s="137">
        <f>Y92+Y93+Y94</f>
        <v>0</v>
      </c>
      <c r="Z91" s="137">
        <f>Z92+Z93+Z94</f>
        <v>0</v>
      </c>
      <c r="AA91" s="137">
        <f t="shared" si="543"/>
        <v>0</v>
      </c>
      <c r="AB91" s="137">
        <f t="shared" si="543"/>
        <v>0</v>
      </c>
      <c r="AC91" s="137">
        <f>AC92+AC93+AC94</f>
        <v>0</v>
      </c>
      <c r="AD91" s="137">
        <f>AD92+AD93+AD94</f>
        <v>0</v>
      </c>
      <c r="AE91" s="137">
        <f t="shared" si="543"/>
        <v>0</v>
      </c>
      <c r="AF91" s="137">
        <f t="shared" si="543"/>
        <v>0</v>
      </c>
      <c r="AG91" s="137">
        <f>AG92+AG93+AG94</f>
        <v>0</v>
      </c>
      <c r="AH91" s="137">
        <f>AH92+AH93+AH94</f>
        <v>0</v>
      </c>
      <c r="AI91" s="137">
        <f t="shared" si="543"/>
        <v>0</v>
      </c>
      <c r="AJ91" s="137">
        <f t="shared" si="543"/>
        <v>0</v>
      </c>
      <c r="AK91" s="137">
        <f>AK92+AK93+AK94</f>
        <v>0</v>
      </c>
      <c r="AL91" s="137">
        <f>AL92+AL93+AL94</f>
        <v>0</v>
      </c>
      <c r="AM91" s="137">
        <f t="shared" si="543"/>
        <v>0</v>
      </c>
      <c r="AN91" s="137">
        <f t="shared" si="543"/>
        <v>0</v>
      </c>
      <c r="AO91" s="137">
        <f>AO92+AO93+AO94</f>
        <v>0</v>
      </c>
      <c r="AP91" s="137">
        <f>AP92+AP93+AP94</f>
        <v>0</v>
      </c>
      <c r="AQ91" s="137">
        <f t="shared" si="543"/>
        <v>0</v>
      </c>
      <c r="AR91" s="137">
        <f t="shared" si="543"/>
        <v>0</v>
      </c>
      <c r="AS91" s="137">
        <f>AS92+AS93+AS94</f>
        <v>0</v>
      </c>
      <c r="AT91" s="137">
        <f>AT92+AT93+AT94</f>
        <v>0</v>
      </c>
      <c r="AU91" s="137">
        <f t="shared" si="543"/>
        <v>0</v>
      </c>
      <c r="AV91" s="137">
        <f t="shared" si="543"/>
        <v>0</v>
      </c>
      <c r="AW91" s="137">
        <f>AW92+AW93+AW94</f>
        <v>0</v>
      </c>
      <c r="AX91" s="137">
        <f>AX92+AX93+AX94</f>
        <v>0</v>
      </c>
      <c r="AY91" s="137">
        <f>AY92+AY93+AY94</f>
        <v>0</v>
      </c>
      <c r="AZ91" s="137">
        <f>AZ92+AZ93+AZ94</f>
        <v>0</v>
      </c>
      <c r="BA91" s="135">
        <f t="shared" ref="BA91:BB92" si="544">IF(E91=0,1,AY91/E91-1)</f>
        <v>1</v>
      </c>
      <c r="BB91" s="135">
        <f t="shared" si="544"/>
        <v>1</v>
      </c>
      <c r="BC91" s="137">
        <f t="shared" ref="BC91:BH91" si="545">BC92+BC93+BC94</f>
        <v>0</v>
      </c>
      <c r="BD91" s="137">
        <f t="shared" si="545"/>
        <v>0</v>
      </c>
      <c r="BE91" s="137">
        <f t="shared" si="545"/>
        <v>0</v>
      </c>
      <c r="BF91" s="137">
        <f t="shared" si="545"/>
        <v>0</v>
      </c>
      <c r="BG91" s="137">
        <f t="shared" si="545"/>
        <v>0</v>
      </c>
      <c r="BH91" s="137">
        <f t="shared" si="545"/>
        <v>0</v>
      </c>
      <c r="BI91" s="135">
        <f t="shared" ref="BI91:BJ112" si="546">IF(K91=0,1,BG91/K91-1)</f>
        <v>1</v>
      </c>
      <c r="BJ91" s="135">
        <f t="shared" si="546"/>
        <v>1</v>
      </c>
      <c r="BK91" s="137">
        <f>BK92+BK93+BK94</f>
        <v>0</v>
      </c>
      <c r="BL91" s="137">
        <f>BL92+BL93+BL94</f>
        <v>0</v>
      </c>
      <c r="BM91" s="137">
        <f>BM92+BM93+BM94</f>
        <v>0</v>
      </c>
      <c r="BN91" s="137">
        <f>BN92+BN93+BN94</f>
        <v>0</v>
      </c>
      <c r="BO91" s="135">
        <f t="shared" ref="BO91:BP112" si="547">IF(O91=0,1,BM91/O91-1)</f>
        <v>1</v>
      </c>
      <c r="BP91" s="135">
        <f t="shared" si="547"/>
        <v>1</v>
      </c>
      <c r="BQ91" s="137">
        <f>BQ92+BQ93+BQ94</f>
        <v>0</v>
      </c>
      <c r="BR91" s="137">
        <f>BR92+BR93+BR94</f>
        <v>0</v>
      </c>
      <c r="BS91" s="137">
        <f>BS92+BS93+BS94</f>
        <v>0</v>
      </c>
      <c r="BT91" s="137">
        <f>BT92+BT93+BT94</f>
        <v>0</v>
      </c>
      <c r="BU91" s="135">
        <f t="shared" ref="BU91:BV112" si="548">IF(S91=0,1,BS91/S91-1)</f>
        <v>1</v>
      </c>
      <c r="BV91" s="135">
        <f t="shared" si="548"/>
        <v>1</v>
      </c>
      <c r="BW91" s="137">
        <f>BW92+BW93+BW94</f>
        <v>0</v>
      </c>
      <c r="BX91" s="137">
        <f>BX92+BX93+BX94</f>
        <v>0</v>
      </c>
      <c r="BY91" s="137">
        <f>BY92+BY93+BY94</f>
        <v>0</v>
      </c>
      <c r="BZ91" s="137">
        <f>BZ92+BZ93+BZ94</f>
        <v>0</v>
      </c>
      <c r="CA91" s="135">
        <f t="shared" ref="CA91:CB112" si="549">IF(W91=0,1,BY91/W91-1)</f>
        <v>1</v>
      </c>
      <c r="CB91" s="135">
        <f t="shared" si="549"/>
        <v>1</v>
      </c>
      <c r="CC91" s="137">
        <f>CC92+CC93+CC94</f>
        <v>0</v>
      </c>
      <c r="CD91" s="137">
        <f>CD92+CD93+CD94</f>
        <v>0</v>
      </c>
      <c r="CE91" s="137">
        <f>CE92+CE93+CE94</f>
        <v>0</v>
      </c>
      <c r="CF91" s="137">
        <f>CF92+CF93+CF94</f>
        <v>0</v>
      </c>
      <c r="CG91" s="135">
        <f t="shared" ref="CG91:CH112" si="550">IF(AA91=0,1,CE91/AA91-1)</f>
        <v>1</v>
      </c>
      <c r="CH91" s="135">
        <f t="shared" si="550"/>
        <v>1</v>
      </c>
      <c r="CI91" s="137">
        <f>CI92+CI93+CI94</f>
        <v>0</v>
      </c>
      <c r="CJ91" s="137">
        <f>CJ92+CJ93+CJ94</f>
        <v>0</v>
      </c>
      <c r="CK91" s="137">
        <f>CK92+CK93+CK94</f>
        <v>0</v>
      </c>
      <c r="CL91" s="137">
        <f>CL92+CL93+CL94</f>
        <v>0</v>
      </c>
      <c r="CM91" s="135">
        <f t="shared" ref="CM91:CN112" si="551">IF(AE91=0,1,CK91/AE91-1)</f>
        <v>1</v>
      </c>
      <c r="CN91" s="135">
        <f t="shared" si="551"/>
        <v>1</v>
      </c>
      <c r="CO91" s="137">
        <f>CO92+CO93+CO94</f>
        <v>0</v>
      </c>
      <c r="CP91" s="137">
        <f>CP92+CP93+CP94</f>
        <v>0</v>
      </c>
      <c r="CQ91" s="137">
        <f>CQ92+CQ93+CQ94</f>
        <v>0</v>
      </c>
      <c r="CR91" s="137">
        <f>CR92+CR93+CR94</f>
        <v>0</v>
      </c>
      <c r="CS91" s="135">
        <f t="shared" ref="CS91:CT112" si="552">IF(AI91=0,1,CQ91/AI91-1)</f>
        <v>1</v>
      </c>
      <c r="CT91" s="135">
        <f t="shared" si="552"/>
        <v>1</v>
      </c>
      <c r="CU91" s="137">
        <f>CU92+CU93+CU94</f>
        <v>0</v>
      </c>
      <c r="CV91" s="137">
        <f>CV92+CV93+CV94</f>
        <v>0</v>
      </c>
      <c r="CW91" s="137">
        <f>CW92+CW93+CW94</f>
        <v>0</v>
      </c>
      <c r="CX91" s="137">
        <f>CX92+CX93+CX94</f>
        <v>0</v>
      </c>
      <c r="CY91" s="135">
        <f t="shared" ref="CY91:CZ112" si="553">IF(AM91=0,1,CW91/AM91-1)</f>
        <v>1</v>
      </c>
      <c r="CZ91" s="135">
        <f t="shared" si="553"/>
        <v>1</v>
      </c>
      <c r="DA91" s="137">
        <f>DA92+DA93+DA94</f>
        <v>0</v>
      </c>
      <c r="DB91" s="137">
        <f>DB92+DB93+DB94</f>
        <v>0</v>
      </c>
      <c r="DC91" s="137">
        <f>DC92+DC93+DC94</f>
        <v>0</v>
      </c>
      <c r="DD91" s="137">
        <f>DD92+DD93+DD94</f>
        <v>0</v>
      </c>
      <c r="DE91" s="135">
        <f t="shared" ref="DE91:DF112" si="554">IF(AQ91=0,1,DC91/AQ91-1)</f>
        <v>1</v>
      </c>
      <c r="DF91" s="135">
        <f t="shared" si="554"/>
        <v>1</v>
      </c>
      <c r="DG91" s="137">
        <f>DG92+DG93+DG94</f>
        <v>0</v>
      </c>
      <c r="DH91" s="137">
        <f>DH92+DH93+DH94</f>
        <v>0</v>
      </c>
      <c r="DI91" s="137">
        <f>DI92+DI93+DI94</f>
        <v>0</v>
      </c>
      <c r="DJ91" s="137">
        <f>DJ92+DJ93+DJ94</f>
        <v>0</v>
      </c>
      <c r="DK91" s="135">
        <f t="shared" ref="DK91:DL112" si="555">IF(AU91=0,1,DI91/AU91-1)</f>
        <v>1</v>
      </c>
      <c r="DL91" s="135">
        <f t="shared" si="555"/>
        <v>1</v>
      </c>
      <c r="DM91" s="137">
        <f t="shared" ref="DM91:DR91" si="556">DM92+DM93+DM94</f>
        <v>0</v>
      </c>
      <c r="DN91" s="137">
        <f t="shared" si="556"/>
        <v>0</v>
      </c>
      <c r="DO91" s="137">
        <f t="shared" si="556"/>
        <v>0</v>
      </c>
      <c r="DP91" s="137">
        <f t="shared" si="556"/>
        <v>0</v>
      </c>
      <c r="DQ91" s="137">
        <f t="shared" si="556"/>
        <v>0</v>
      </c>
      <c r="DR91" s="137">
        <f t="shared" si="556"/>
        <v>0</v>
      </c>
      <c r="DS91" s="135">
        <f>IF($AY$91=0,1,DQ91/$AY$91-1)</f>
        <v>1</v>
      </c>
      <c r="DT91" s="135">
        <f>IF($AZ$91=0,1,DR91/$AZ$91-1)</f>
        <v>1</v>
      </c>
      <c r="DU91" s="135">
        <f t="shared" ref="DU91:DU112" si="557">IF($E91=0,1,DQ91/$E91-1)</f>
        <v>1</v>
      </c>
      <c r="DV91" s="135">
        <f t="shared" ref="DV91:DV112" si="558">IF($F91=0,1,DR91/$F91-1)</f>
        <v>1</v>
      </c>
      <c r="DW91" s="167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  <c r="GY91" s="103"/>
      <c r="GZ91" s="103"/>
      <c r="HA91" s="103"/>
      <c r="HB91" s="103"/>
      <c r="HC91" s="103"/>
      <c r="HD91" s="103"/>
      <c r="HE91" s="103"/>
      <c r="HF91" s="103"/>
      <c r="HG91" s="103"/>
      <c r="HH91" s="103"/>
      <c r="HI91" s="103"/>
      <c r="HJ91" s="103"/>
      <c r="HK91" s="103"/>
      <c r="HL91" s="103"/>
      <c r="HM91" s="103"/>
      <c r="HN91" s="103"/>
      <c r="HO91" s="103"/>
      <c r="HP91" s="103"/>
      <c r="HQ91" s="103"/>
      <c r="HR91" s="103"/>
      <c r="HS91" s="103"/>
      <c r="HT91" s="103"/>
      <c r="HU91" s="103"/>
      <c r="HV91" s="103"/>
      <c r="HW91" s="103"/>
      <c r="HX91" s="103"/>
      <c r="HY91" s="103"/>
      <c r="HZ91" s="103"/>
      <c r="IA91" s="103"/>
      <c r="IB91" s="103"/>
      <c r="IC91" s="103"/>
      <c r="ID91" s="103"/>
      <c r="IE91" s="103"/>
      <c r="IF91" s="103"/>
      <c r="IG91" s="103"/>
      <c r="IH91" s="103"/>
      <c r="II91" s="103"/>
      <c r="IJ91" s="103"/>
      <c r="IK91" s="103"/>
      <c r="IL91" s="103"/>
      <c r="IM91" s="103"/>
      <c r="IN91" s="103"/>
      <c r="IO91" s="103"/>
      <c r="IP91" s="103"/>
      <c r="IQ91" s="103"/>
      <c r="IR91" s="103"/>
      <c r="IS91" s="103"/>
      <c r="IT91" s="103"/>
      <c r="IU91" s="103"/>
      <c r="IV91" s="103"/>
      <c r="IW91" s="103"/>
      <c r="IX91" s="103"/>
      <c r="IY91" s="103"/>
      <c r="IZ91" s="103"/>
      <c r="JA91" s="103"/>
      <c r="JB91" s="103"/>
      <c r="JC91" s="103"/>
      <c r="JD91" s="103"/>
      <c r="JE91" s="103"/>
      <c r="JF91" s="103"/>
      <c r="JG91" s="103"/>
      <c r="JH91" s="103"/>
    </row>
    <row r="92" spans="1:268" s="106" customFormat="1" ht="18" customHeight="1">
      <c r="A92" s="290" t="s">
        <v>38</v>
      </c>
      <c r="B92" s="291"/>
      <c r="C92" s="134">
        <f>'бюджет округа (района)'!C92+'бюджеты поселений'!C92</f>
        <v>0</v>
      </c>
      <c r="D92" s="137">
        <f>'бюджет округа (района)'!C92</f>
        <v>0</v>
      </c>
      <c r="E92" s="134">
        <f t="shared" ref="E92:F92" si="559">G92+I92+M92+Q92+U92+Y92+AC92+AG92+AK92+AO92+AS92+AW92</f>
        <v>0</v>
      </c>
      <c r="F92" s="137">
        <f t="shared" si="559"/>
        <v>0</v>
      </c>
      <c r="G92" s="134">
        <f>'бюджет округа (района)'!E92+'бюджеты поселений'!E92</f>
        <v>0</v>
      </c>
      <c r="H92" s="137">
        <f>'бюджет округа (района)'!E92</f>
        <v>0</v>
      </c>
      <c r="I92" s="134">
        <f>'бюджет округа (района)'!F92+'бюджеты поселений'!F92</f>
        <v>0</v>
      </c>
      <c r="J92" s="137">
        <f>'бюджет округа (района)'!F92</f>
        <v>0</v>
      </c>
      <c r="K92" s="137">
        <f t="shared" ref="K92:L107" si="560">G92+I92</f>
        <v>0</v>
      </c>
      <c r="L92" s="137">
        <f t="shared" si="560"/>
        <v>0</v>
      </c>
      <c r="M92" s="134">
        <f>'бюджет округа (района)'!H92+'бюджеты поселений'!H92</f>
        <v>0</v>
      </c>
      <c r="N92" s="137">
        <f>'бюджет округа (района)'!H92</f>
        <v>0</v>
      </c>
      <c r="O92" s="137">
        <f t="shared" ref="O92:P100" si="561">K92+M92</f>
        <v>0</v>
      </c>
      <c r="P92" s="137">
        <f t="shared" si="561"/>
        <v>0</v>
      </c>
      <c r="Q92" s="134">
        <f>'бюджет округа (района)'!J92+'бюджеты поселений'!J92</f>
        <v>0</v>
      </c>
      <c r="R92" s="137">
        <f>'бюджет округа (района)'!J92</f>
        <v>0</v>
      </c>
      <c r="S92" s="137">
        <f t="shared" ref="S92:T107" si="562">O92+Q92</f>
        <v>0</v>
      </c>
      <c r="T92" s="137">
        <f t="shared" si="562"/>
        <v>0</v>
      </c>
      <c r="U92" s="134">
        <f>'бюджет округа (района)'!L92+'бюджеты поселений'!L92</f>
        <v>0</v>
      </c>
      <c r="V92" s="137">
        <f>'бюджет округа (района)'!L92</f>
        <v>0</v>
      </c>
      <c r="W92" s="137">
        <f t="shared" ref="W92:X107" si="563">S92+U92</f>
        <v>0</v>
      </c>
      <c r="X92" s="137">
        <f t="shared" si="563"/>
        <v>0</v>
      </c>
      <c r="Y92" s="134">
        <f>'бюджет округа (района)'!N92+'бюджеты поселений'!N92</f>
        <v>0</v>
      </c>
      <c r="Z92" s="137">
        <f>'бюджет округа (района)'!N92</f>
        <v>0</v>
      </c>
      <c r="AA92" s="137">
        <f t="shared" ref="AA92:AB107" si="564">W92+Y92</f>
        <v>0</v>
      </c>
      <c r="AB92" s="137">
        <f t="shared" si="564"/>
        <v>0</v>
      </c>
      <c r="AC92" s="134">
        <f>'бюджет округа (района)'!P92+'бюджеты поселений'!P92</f>
        <v>0</v>
      </c>
      <c r="AD92" s="137">
        <f>'бюджет округа (района)'!P92</f>
        <v>0</v>
      </c>
      <c r="AE92" s="137">
        <f t="shared" ref="AE92:AF107" si="565">AA92+AC92</f>
        <v>0</v>
      </c>
      <c r="AF92" s="137">
        <f t="shared" si="565"/>
        <v>0</v>
      </c>
      <c r="AG92" s="134">
        <f>'бюджет округа (района)'!R92+'бюджеты поселений'!R92</f>
        <v>0</v>
      </c>
      <c r="AH92" s="137">
        <f>'бюджет округа (района)'!R92</f>
        <v>0</v>
      </c>
      <c r="AI92" s="137">
        <f t="shared" ref="AI92:AJ107" si="566">AE92+AG92</f>
        <v>0</v>
      </c>
      <c r="AJ92" s="137">
        <f t="shared" si="566"/>
        <v>0</v>
      </c>
      <c r="AK92" s="134">
        <f>'бюджет округа (района)'!T92+'бюджеты поселений'!T92</f>
        <v>0</v>
      </c>
      <c r="AL92" s="137">
        <f>'бюджет округа (района)'!T92</f>
        <v>0</v>
      </c>
      <c r="AM92" s="137">
        <f t="shared" ref="AM92:AN107" si="567">AI92+AK92</f>
        <v>0</v>
      </c>
      <c r="AN92" s="137">
        <f t="shared" si="567"/>
        <v>0</v>
      </c>
      <c r="AO92" s="134">
        <f>'бюджет округа (района)'!V92+'бюджеты поселений'!V92</f>
        <v>0</v>
      </c>
      <c r="AP92" s="137">
        <f>'бюджет округа (района)'!V92</f>
        <v>0</v>
      </c>
      <c r="AQ92" s="137">
        <f t="shared" ref="AQ92:AR107" si="568">AM92+AO92</f>
        <v>0</v>
      </c>
      <c r="AR92" s="137">
        <f t="shared" si="568"/>
        <v>0</v>
      </c>
      <c r="AS92" s="134">
        <f>'бюджет округа (района)'!X92+'бюджеты поселений'!X92</f>
        <v>0</v>
      </c>
      <c r="AT92" s="137">
        <f>'бюджет округа (района)'!X92</f>
        <v>0</v>
      </c>
      <c r="AU92" s="137">
        <f t="shared" ref="AU92:AV107" si="569">AQ92+AS92</f>
        <v>0</v>
      </c>
      <c r="AV92" s="137">
        <f t="shared" si="569"/>
        <v>0</v>
      </c>
      <c r="AW92" s="134">
        <f>'бюджет округа (района)'!Z92+'бюджеты поселений'!Z92</f>
        <v>0</v>
      </c>
      <c r="AX92" s="137">
        <f>'бюджет округа (района)'!Z92</f>
        <v>0</v>
      </c>
      <c r="AY92" s="134">
        <f>'бюджет округа (района)'!AA92+'бюджеты поселений'!AA92</f>
        <v>0</v>
      </c>
      <c r="AZ92" s="137">
        <f>'бюджет округа (района)'!AA92</f>
        <v>0</v>
      </c>
      <c r="BA92" s="135">
        <f t="shared" si="544"/>
        <v>1</v>
      </c>
      <c r="BB92" s="135">
        <f t="shared" si="544"/>
        <v>1</v>
      </c>
      <c r="BC92" s="134">
        <f>'бюджет округа (района)'!AC92+'бюджеты поселений'!AC92</f>
        <v>0</v>
      </c>
      <c r="BD92" s="137">
        <f>'бюджет округа (района)'!AC92</f>
        <v>0</v>
      </c>
      <c r="BE92" s="134">
        <f>'бюджет округа (района)'!AD92+'бюджеты поселений'!AD92</f>
        <v>0</v>
      </c>
      <c r="BF92" s="137">
        <f>'бюджет округа (района)'!AD92</f>
        <v>0</v>
      </c>
      <c r="BG92" s="137">
        <f t="shared" ref="BG92:BH107" si="570">BC92+BE92</f>
        <v>0</v>
      </c>
      <c r="BH92" s="137">
        <f t="shared" si="570"/>
        <v>0</v>
      </c>
      <c r="BI92" s="135">
        <f t="shared" si="546"/>
        <v>1</v>
      </c>
      <c r="BJ92" s="135">
        <f t="shared" si="546"/>
        <v>1</v>
      </c>
      <c r="BK92" s="134">
        <f>'бюджет округа (района)'!AG92+'бюджеты поселений'!AG92</f>
        <v>0</v>
      </c>
      <c r="BL92" s="137">
        <f>'бюджет округа (района)'!AG92</f>
        <v>0</v>
      </c>
      <c r="BM92" s="137">
        <f t="shared" ref="BM92:BN112" si="571">BG92+BK92</f>
        <v>0</v>
      </c>
      <c r="BN92" s="137">
        <f t="shared" si="571"/>
        <v>0</v>
      </c>
      <c r="BO92" s="135">
        <f t="shared" si="547"/>
        <v>1</v>
      </c>
      <c r="BP92" s="135">
        <f t="shared" si="547"/>
        <v>1</v>
      </c>
      <c r="BQ92" s="134">
        <f>'бюджет округа (района)'!AJ92+'бюджеты поселений'!AJ92</f>
        <v>0</v>
      </c>
      <c r="BR92" s="137">
        <f>'бюджет округа (района)'!AJ92</f>
        <v>0</v>
      </c>
      <c r="BS92" s="137">
        <f t="shared" ref="BS92:BT112" si="572">BM92+BQ92</f>
        <v>0</v>
      </c>
      <c r="BT92" s="137">
        <f t="shared" si="572"/>
        <v>0</v>
      </c>
      <c r="BU92" s="135">
        <f t="shared" si="548"/>
        <v>1</v>
      </c>
      <c r="BV92" s="135">
        <f t="shared" si="548"/>
        <v>1</v>
      </c>
      <c r="BW92" s="134">
        <f>'бюджет округа (района)'!AM92+'бюджеты поселений'!AM92</f>
        <v>0</v>
      </c>
      <c r="BX92" s="137">
        <f>'бюджет округа (района)'!AM92</f>
        <v>0</v>
      </c>
      <c r="BY92" s="137">
        <f t="shared" ref="BY92:BZ112" si="573">BS92+BW92</f>
        <v>0</v>
      </c>
      <c r="BZ92" s="137">
        <f t="shared" si="573"/>
        <v>0</v>
      </c>
      <c r="CA92" s="135">
        <f t="shared" si="549"/>
        <v>1</v>
      </c>
      <c r="CB92" s="135">
        <f t="shared" si="549"/>
        <v>1</v>
      </c>
      <c r="CC92" s="134">
        <f>'бюджет округа (района)'!AP92+'бюджеты поселений'!AP92</f>
        <v>0</v>
      </c>
      <c r="CD92" s="137">
        <f>'бюджет округа (района)'!AP92</f>
        <v>0</v>
      </c>
      <c r="CE92" s="137">
        <f t="shared" ref="CE92:CF112" si="574">BY92+CC92</f>
        <v>0</v>
      </c>
      <c r="CF92" s="137">
        <f t="shared" si="574"/>
        <v>0</v>
      </c>
      <c r="CG92" s="135">
        <f t="shared" si="550"/>
        <v>1</v>
      </c>
      <c r="CH92" s="135">
        <f t="shared" si="550"/>
        <v>1</v>
      </c>
      <c r="CI92" s="134">
        <f>'бюджет округа (района)'!AS92+'бюджеты поселений'!AS92</f>
        <v>0</v>
      </c>
      <c r="CJ92" s="137">
        <f>'бюджет округа (района)'!AS92</f>
        <v>0</v>
      </c>
      <c r="CK92" s="137">
        <f t="shared" ref="CK92:CL112" si="575">CE92+CI92</f>
        <v>0</v>
      </c>
      <c r="CL92" s="137">
        <f t="shared" si="575"/>
        <v>0</v>
      </c>
      <c r="CM92" s="135">
        <f t="shared" si="551"/>
        <v>1</v>
      </c>
      <c r="CN92" s="135">
        <f t="shared" si="551"/>
        <v>1</v>
      </c>
      <c r="CO92" s="134">
        <f>'бюджет округа (района)'!AV92+'бюджеты поселений'!AV92</f>
        <v>0</v>
      </c>
      <c r="CP92" s="137">
        <f>'бюджет округа (района)'!AV92</f>
        <v>0</v>
      </c>
      <c r="CQ92" s="137">
        <f t="shared" ref="CQ92:CR112" si="576">CK92+CO92</f>
        <v>0</v>
      </c>
      <c r="CR92" s="137">
        <f t="shared" si="576"/>
        <v>0</v>
      </c>
      <c r="CS92" s="135">
        <f t="shared" si="552"/>
        <v>1</v>
      </c>
      <c r="CT92" s="135">
        <f t="shared" si="552"/>
        <v>1</v>
      </c>
      <c r="CU92" s="134">
        <f>'бюджет округа (района)'!AY92+'бюджеты поселений'!AY92</f>
        <v>0</v>
      </c>
      <c r="CV92" s="137">
        <f>'бюджет округа (района)'!AY92</f>
        <v>0</v>
      </c>
      <c r="CW92" s="137">
        <f t="shared" ref="CW92:CX112" si="577">CQ92+CU92</f>
        <v>0</v>
      </c>
      <c r="CX92" s="137">
        <f t="shared" si="577"/>
        <v>0</v>
      </c>
      <c r="CY92" s="135">
        <f t="shared" si="553"/>
        <v>1</v>
      </c>
      <c r="CZ92" s="135">
        <f t="shared" si="553"/>
        <v>1</v>
      </c>
      <c r="DA92" s="134">
        <f>'бюджет округа (района)'!BB92+'бюджеты поселений'!BB92</f>
        <v>0</v>
      </c>
      <c r="DB92" s="137">
        <f>'бюджет округа (района)'!BB92</f>
        <v>0</v>
      </c>
      <c r="DC92" s="137">
        <f t="shared" ref="DC92:DD112" si="578">CW92+DA92</f>
        <v>0</v>
      </c>
      <c r="DD92" s="137">
        <f t="shared" si="578"/>
        <v>0</v>
      </c>
      <c r="DE92" s="135">
        <f t="shared" si="554"/>
        <v>1</v>
      </c>
      <c r="DF92" s="135">
        <f t="shared" si="554"/>
        <v>1</v>
      </c>
      <c r="DG92" s="134">
        <f>'бюджет округа (района)'!BE92+'бюджеты поселений'!BE92</f>
        <v>0</v>
      </c>
      <c r="DH92" s="137">
        <f>'бюджет округа (района)'!BE92</f>
        <v>0</v>
      </c>
      <c r="DI92" s="137">
        <f t="shared" ref="DI92:DJ112" si="579">DC92+DG92</f>
        <v>0</v>
      </c>
      <c r="DJ92" s="137">
        <f t="shared" si="579"/>
        <v>0</v>
      </c>
      <c r="DK92" s="135">
        <f t="shared" si="555"/>
        <v>1</v>
      </c>
      <c r="DL92" s="135">
        <f t="shared" si="555"/>
        <v>1</v>
      </c>
      <c r="DM92" s="134">
        <f>'бюджет округа (района)'!BH92+'бюджеты поселений'!BH92</f>
        <v>0</v>
      </c>
      <c r="DN92" s="137">
        <f>'бюджет округа (района)'!BH92</f>
        <v>0</v>
      </c>
      <c r="DO92" s="134">
        <f>'бюджет округа (района)'!BI92+'бюджеты поселений'!BI92</f>
        <v>0</v>
      </c>
      <c r="DP92" s="137">
        <f>'бюджет округа (района)'!BI92</f>
        <v>0</v>
      </c>
      <c r="DQ92" s="134">
        <f>'бюджет округа (района)'!BJ92+'бюджеты поселений'!BJ92</f>
        <v>0</v>
      </c>
      <c r="DR92" s="137">
        <f>'бюджет округа (района)'!BJ92</f>
        <v>0</v>
      </c>
      <c r="DS92" s="135">
        <f>IF($AY$92=0,1,DQ92/$AY$92-1)</f>
        <v>1</v>
      </c>
      <c r="DT92" s="135">
        <f>IF($AZ$92=0,1,DR92/$AZ$92-1)</f>
        <v>1</v>
      </c>
      <c r="DU92" s="135">
        <f t="shared" si="557"/>
        <v>1</v>
      </c>
      <c r="DV92" s="135">
        <f t="shared" si="558"/>
        <v>1</v>
      </c>
      <c r="DW92" s="167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</row>
    <row r="93" spans="1:268" s="106" customFormat="1" ht="18" customHeight="1">
      <c r="A93" s="298" t="s">
        <v>143</v>
      </c>
      <c r="B93" s="299"/>
      <c r="C93" s="134">
        <f>'бюджет округа (района)'!C93+'бюджеты поселений'!C93</f>
        <v>0</v>
      </c>
      <c r="D93" s="137">
        <f>'бюджет округа (района)'!C93</f>
        <v>0</v>
      </c>
      <c r="E93" s="134">
        <f>G93+I93+M93+Q93+U93+Y93+AC93+AG93+AK93+AO93+AS93+AW93</f>
        <v>0</v>
      </c>
      <c r="F93" s="137">
        <f>H93+J93+N93+R93+V93+Z93+AD93+AH93+AL93+AP93+AT93+AX93</f>
        <v>0</v>
      </c>
      <c r="G93" s="134">
        <f>'бюджет округа (района)'!E93+'бюджеты поселений'!E93</f>
        <v>0</v>
      </c>
      <c r="H93" s="137">
        <f>'бюджет округа (района)'!E93</f>
        <v>0</v>
      </c>
      <c r="I93" s="134">
        <f>'бюджет округа (района)'!F93+'бюджеты поселений'!F93</f>
        <v>0</v>
      </c>
      <c r="J93" s="137">
        <f>'бюджет округа (района)'!F93</f>
        <v>0</v>
      </c>
      <c r="K93" s="137">
        <f>G93+I93</f>
        <v>0</v>
      </c>
      <c r="L93" s="137">
        <f>H93+J93</f>
        <v>0</v>
      </c>
      <c r="M93" s="134">
        <f>'бюджет округа (района)'!H93+'бюджеты поселений'!H93</f>
        <v>0</v>
      </c>
      <c r="N93" s="137">
        <f>'бюджет округа (района)'!H93</f>
        <v>0</v>
      </c>
      <c r="O93" s="137">
        <f>K93+M93</f>
        <v>0</v>
      </c>
      <c r="P93" s="137">
        <f>L93+N93</f>
        <v>0</v>
      </c>
      <c r="Q93" s="134">
        <f>'бюджет округа (района)'!J93+'бюджеты поселений'!J93</f>
        <v>0</v>
      </c>
      <c r="R93" s="137">
        <f>'бюджет округа (района)'!J93</f>
        <v>0</v>
      </c>
      <c r="S93" s="137">
        <f>O93+Q93</f>
        <v>0</v>
      </c>
      <c r="T93" s="137">
        <f>P93+R93</f>
        <v>0</v>
      </c>
      <c r="U93" s="134">
        <f>'бюджет округа (района)'!L93+'бюджеты поселений'!L93</f>
        <v>0</v>
      </c>
      <c r="V93" s="137">
        <f>'бюджет округа (района)'!L93</f>
        <v>0</v>
      </c>
      <c r="W93" s="137">
        <f>S93+U93</f>
        <v>0</v>
      </c>
      <c r="X93" s="137">
        <f>T93+V93</f>
        <v>0</v>
      </c>
      <c r="Y93" s="134">
        <f>'бюджет округа (района)'!N93+'бюджеты поселений'!N93</f>
        <v>0</v>
      </c>
      <c r="Z93" s="137">
        <f>'бюджет округа (района)'!N93</f>
        <v>0</v>
      </c>
      <c r="AA93" s="137">
        <f>W93+Y93</f>
        <v>0</v>
      </c>
      <c r="AB93" s="137">
        <f>X93+Z93</f>
        <v>0</v>
      </c>
      <c r="AC93" s="134">
        <f>'бюджет округа (района)'!P93+'бюджеты поселений'!P93</f>
        <v>0</v>
      </c>
      <c r="AD93" s="137">
        <f>'бюджет округа (района)'!P93</f>
        <v>0</v>
      </c>
      <c r="AE93" s="137">
        <f>AA93+AC93</f>
        <v>0</v>
      </c>
      <c r="AF93" s="137">
        <f>AB93+AD93</f>
        <v>0</v>
      </c>
      <c r="AG93" s="134">
        <f>'бюджет округа (района)'!R93+'бюджеты поселений'!R93</f>
        <v>0</v>
      </c>
      <c r="AH93" s="137">
        <f>'бюджет округа (района)'!R93</f>
        <v>0</v>
      </c>
      <c r="AI93" s="137">
        <f>AE93+AG93</f>
        <v>0</v>
      </c>
      <c r="AJ93" s="137">
        <f>AF93+AH93</f>
        <v>0</v>
      </c>
      <c r="AK93" s="134">
        <f>'бюджет округа (района)'!T93+'бюджеты поселений'!T93</f>
        <v>0</v>
      </c>
      <c r="AL93" s="137">
        <f>'бюджет округа (района)'!T93</f>
        <v>0</v>
      </c>
      <c r="AM93" s="137">
        <f>AI93+AK93</f>
        <v>0</v>
      </c>
      <c r="AN93" s="137">
        <f>AJ93+AL93</f>
        <v>0</v>
      </c>
      <c r="AO93" s="134">
        <f>'бюджет округа (района)'!V93+'бюджеты поселений'!V93</f>
        <v>0</v>
      </c>
      <c r="AP93" s="137">
        <f>'бюджет округа (района)'!V93</f>
        <v>0</v>
      </c>
      <c r="AQ93" s="137">
        <f>AM93+AO93</f>
        <v>0</v>
      </c>
      <c r="AR93" s="137">
        <f>AN93+AP93</f>
        <v>0</v>
      </c>
      <c r="AS93" s="134">
        <f>'бюджет округа (района)'!X93+'бюджеты поселений'!X93</f>
        <v>0</v>
      </c>
      <c r="AT93" s="137">
        <f>'бюджет округа (района)'!X93</f>
        <v>0</v>
      </c>
      <c r="AU93" s="137">
        <f>AQ93+AS93</f>
        <v>0</v>
      </c>
      <c r="AV93" s="137">
        <f>AR93+AT93</f>
        <v>0</v>
      </c>
      <c r="AW93" s="134">
        <f>'бюджет округа (района)'!Z93+'бюджеты поселений'!Z93</f>
        <v>0</v>
      </c>
      <c r="AX93" s="137">
        <f>'бюджет округа (района)'!Z93</f>
        <v>0</v>
      </c>
      <c r="AY93" s="134">
        <f>'бюджет округа (района)'!AA93+'бюджеты поселений'!AA93</f>
        <v>0</v>
      </c>
      <c r="AZ93" s="137">
        <f>'бюджет округа (района)'!AA93</f>
        <v>0</v>
      </c>
      <c r="BA93" s="135">
        <f>IF(E93=0,1,AY93/E93-1)</f>
        <v>1</v>
      </c>
      <c r="BB93" s="135">
        <f>IF(F93=0,1,AZ93/F93-1)</f>
        <v>1</v>
      </c>
      <c r="BC93" s="134">
        <f>'бюджет округа (района)'!AC93+'бюджеты поселений'!AC93</f>
        <v>0</v>
      </c>
      <c r="BD93" s="137">
        <f>'бюджет округа (района)'!AC93</f>
        <v>0</v>
      </c>
      <c r="BE93" s="134">
        <f>'бюджет округа (района)'!AD93+'бюджеты поселений'!AD93</f>
        <v>0</v>
      </c>
      <c r="BF93" s="137">
        <f>'бюджет округа (района)'!AD93</f>
        <v>0</v>
      </c>
      <c r="BG93" s="137">
        <f>BC93+BE93</f>
        <v>0</v>
      </c>
      <c r="BH93" s="137">
        <f>BD93+BF93</f>
        <v>0</v>
      </c>
      <c r="BI93" s="135">
        <f>IF(K93=0,1,BG93/K93-1)</f>
        <v>1</v>
      </c>
      <c r="BJ93" s="135">
        <f>IF(L93=0,1,BH93/L93-1)</f>
        <v>1</v>
      </c>
      <c r="BK93" s="134">
        <f>'бюджет округа (района)'!AG93+'бюджеты поселений'!AG93</f>
        <v>0</v>
      </c>
      <c r="BL93" s="137">
        <f>'бюджет округа (района)'!AG93</f>
        <v>0</v>
      </c>
      <c r="BM93" s="137">
        <f>BG93+BK93</f>
        <v>0</v>
      </c>
      <c r="BN93" s="137">
        <f>BH93+BL93</f>
        <v>0</v>
      </c>
      <c r="BO93" s="135">
        <f>IF(O93=0,1,BM93/O93-1)</f>
        <v>1</v>
      </c>
      <c r="BP93" s="135">
        <f>IF(P93=0,1,BN93/P93-1)</f>
        <v>1</v>
      </c>
      <c r="BQ93" s="134">
        <f>'бюджет округа (района)'!AJ93+'бюджеты поселений'!AJ93</f>
        <v>0</v>
      </c>
      <c r="BR93" s="137">
        <f>'бюджет округа (района)'!AJ93</f>
        <v>0</v>
      </c>
      <c r="BS93" s="137">
        <f>BM93+BQ93</f>
        <v>0</v>
      </c>
      <c r="BT93" s="137">
        <f>BN93+BR93</f>
        <v>0</v>
      </c>
      <c r="BU93" s="135">
        <f>IF(S93=0,1,BS93/S93-1)</f>
        <v>1</v>
      </c>
      <c r="BV93" s="135">
        <f>IF(T93=0,1,BT93/T93-1)</f>
        <v>1</v>
      </c>
      <c r="BW93" s="134">
        <f>'бюджет округа (района)'!AM93+'бюджеты поселений'!AM93</f>
        <v>0</v>
      </c>
      <c r="BX93" s="137">
        <f>'бюджет округа (района)'!AM93</f>
        <v>0</v>
      </c>
      <c r="BY93" s="137">
        <f>BS93+BW93</f>
        <v>0</v>
      </c>
      <c r="BZ93" s="137">
        <f>BT93+BX93</f>
        <v>0</v>
      </c>
      <c r="CA93" s="135">
        <f>IF(W93=0,1,BY93/W93-1)</f>
        <v>1</v>
      </c>
      <c r="CB93" s="135">
        <f>IF(X93=0,1,BZ93/X93-1)</f>
        <v>1</v>
      </c>
      <c r="CC93" s="134">
        <f>'бюджет округа (района)'!AP93+'бюджеты поселений'!AP93</f>
        <v>0</v>
      </c>
      <c r="CD93" s="137">
        <f>'бюджет округа (района)'!AP93</f>
        <v>0</v>
      </c>
      <c r="CE93" s="137">
        <f>BY93+CC93</f>
        <v>0</v>
      </c>
      <c r="CF93" s="137">
        <f>BZ93+CD93</f>
        <v>0</v>
      </c>
      <c r="CG93" s="135">
        <f>IF(AA93=0,1,CE93/AA93-1)</f>
        <v>1</v>
      </c>
      <c r="CH93" s="135">
        <f>IF(AB93=0,1,CF93/AB93-1)</f>
        <v>1</v>
      </c>
      <c r="CI93" s="134">
        <f>'бюджет округа (района)'!AS93+'бюджеты поселений'!AS93</f>
        <v>0</v>
      </c>
      <c r="CJ93" s="137">
        <f>'бюджет округа (района)'!AS93</f>
        <v>0</v>
      </c>
      <c r="CK93" s="137">
        <f>CE93+CI93</f>
        <v>0</v>
      </c>
      <c r="CL93" s="137">
        <f>CF93+CJ93</f>
        <v>0</v>
      </c>
      <c r="CM93" s="135">
        <f>IF(AE93=0,1,CK93/AE93-1)</f>
        <v>1</v>
      </c>
      <c r="CN93" s="135">
        <f>IF(AF93=0,1,CL93/AF93-1)</f>
        <v>1</v>
      </c>
      <c r="CO93" s="134">
        <f>'бюджет округа (района)'!AV93+'бюджеты поселений'!AV93</f>
        <v>0</v>
      </c>
      <c r="CP93" s="137">
        <f>'бюджет округа (района)'!AV93</f>
        <v>0</v>
      </c>
      <c r="CQ93" s="137">
        <f>CK93+CO93</f>
        <v>0</v>
      </c>
      <c r="CR93" s="137">
        <f>CL93+CP93</f>
        <v>0</v>
      </c>
      <c r="CS93" s="135">
        <f>IF(AI93=0,1,CQ93/AI93-1)</f>
        <v>1</v>
      </c>
      <c r="CT93" s="135">
        <f>IF(AJ93=0,1,CR93/AJ93-1)</f>
        <v>1</v>
      </c>
      <c r="CU93" s="134">
        <f>'бюджет округа (района)'!AY93+'бюджеты поселений'!AY93</f>
        <v>0</v>
      </c>
      <c r="CV93" s="137">
        <f>'бюджет округа (района)'!AY93</f>
        <v>0</v>
      </c>
      <c r="CW93" s="137">
        <f>CQ93+CU93</f>
        <v>0</v>
      </c>
      <c r="CX93" s="137">
        <f>CR93+CV93</f>
        <v>0</v>
      </c>
      <c r="CY93" s="135">
        <f>IF(AM93=0,1,CW93/AM93-1)</f>
        <v>1</v>
      </c>
      <c r="CZ93" s="135">
        <f>IF(AN93=0,1,CX93/AN93-1)</f>
        <v>1</v>
      </c>
      <c r="DA93" s="134">
        <f>'бюджет округа (района)'!BB93+'бюджеты поселений'!BB93</f>
        <v>0</v>
      </c>
      <c r="DB93" s="137">
        <f>'бюджет округа (района)'!BB93</f>
        <v>0</v>
      </c>
      <c r="DC93" s="137">
        <f>CW93+DA93</f>
        <v>0</v>
      </c>
      <c r="DD93" s="137">
        <f>CX93+DB93</f>
        <v>0</v>
      </c>
      <c r="DE93" s="135">
        <f>IF(AQ93=0,1,DC93/AQ93-1)</f>
        <v>1</v>
      </c>
      <c r="DF93" s="135">
        <f>IF(AR93=0,1,DD93/AR93-1)</f>
        <v>1</v>
      </c>
      <c r="DG93" s="134">
        <f>'бюджет округа (района)'!BE93+'бюджеты поселений'!BE93</f>
        <v>0</v>
      </c>
      <c r="DH93" s="137">
        <f>'бюджет округа (района)'!BE93</f>
        <v>0</v>
      </c>
      <c r="DI93" s="137">
        <f>DC93+DG93</f>
        <v>0</v>
      </c>
      <c r="DJ93" s="137">
        <f>DD93+DH93</f>
        <v>0</v>
      </c>
      <c r="DK93" s="135">
        <f>IF(AU93=0,1,DI93/AU93-1)</f>
        <v>1</v>
      </c>
      <c r="DL93" s="135">
        <f>IF(AV93=0,1,DJ93/AV93-1)</f>
        <v>1</v>
      </c>
      <c r="DM93" s="134">
        <f>'бюджет округа (района)'!BH93+'бюджеты поселений'!BH93</f>
        <v>0</v>
      </c>
      <c r="DN93" s="137">
        <f>'бюджет округа (района)'!BH93</f>
        <v>0</v>
      </c>
      <c r="DO93" s="134">
        <f>'бюджет округа (района)'!BI93+'бюджеты поселений'!BI93</f>
        <v>0</v>
      </c>
      <c r="DP93" s="137">
        <f>'бюджет округа (района)'!BI93</f>
        <v>0</v>
      </c>
      <c r="DQ93" s="134">
        <f>'бюджет округа (района)'!BJ93+'бюджеты поселений'!BJ93</f>
        <v>0</v>
      </c>
      <c r="DR93" s="137">
        <f>'бюджет округа (района)'!BJ93</f>
        <v>0</v>
      </c>
      <c r="DS93" s="135">
        <f>IF($AY$93=0,1,DQ93/$AY$93-1)</f>
        <v>1</v>
      </c>
      <c r="DT93" s="135">
        <f>IF($AZ$93=0,1,DR93/$AZ$93-1)</f>
        <v>1</v>
      </c>
      <c r="DU93" s="135">
        <f t="shared" si="557"/>
        <v>1</v>
      </c>
      <c r="DV93" s="135">
        <f t="shared" si="558"/>
        <v>1</v>
      </c>
      <c r="DW93" s="167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  <c r="IX93" s="105"/>
      <c r="IY93" s="105"/>
      <c r="IZ93" s="105"/>
      <c r="JA93" s="105"/>
      <c r="JB93" s="105"/>
      <c r="JC93" s="105"/>
      <c r="JD93" s="105"/>
      <c r="JE93" s="105"/>
      <c r="JF93" s="105"/>
      <c r="JG93" s="105"/>
      <c r="JH93" s="105"/>
    </row>
    <row r="94" spans="1:268" s="106" customFormat="1" ht="18" customHeight="1">
      <c r="A94" s="290" t="s">
        <v>65</v>
      </c>
      <c r="B94" s="291"/>
      <c r="C94" s="134">
        <f t="shared" ref="C94:J94" si="580">C95+C96+C97+C98+C99+C100</f>
        <v>0</v>
      </c>
      <c r="D94" s="134">
        <f t="shared" si="580"/>
        <v>0</v>
      </c>
      <c r="E94" s="134">
        <f t="shared" si="580"/>
        <v>0</v>
      </c>
      <c r="F94" s="134">
        <f t="shared" si="580"/>
        <v>0</v>
      </c>
      <c r="G94" s="134">
        <f t="shared" si="580"/>
        <v>0</v>
      </c>
      <c r="H94" s="134">
        <f t="shared" si="580"/>
        <v>0</v>
      </c>
      <c r="I94" s="134">
        <f t="shared" si="580"/>
        <v>0</v>
      </c>
      <c r="J94" s="134">
        <f t="shared" si="580"/>
        <v>0</v>
      </c>
      <c r="K94" s="137">
        <f t="shared" si="560"/>
        <v>0</v>
      </c>
      <c r="L94" s="137">
        <f t="shared" si="560"/>
        <v>0</v>
      </c>
      <c r="M94" s="134">
        <f>M95+M96+M97+M98+M99+M100</f>
        <v>0</v>
      </c>
      <c r="N94" s="134">
        <f>N95+N96+N97+N98+N99+N100</f>
        <v>0</v>
      </c>
      <c r="O94" s="137">
        <f t="shared" si="561"/>
        <v>0</v>
      </c>
      <c r="P94" s="137">
        <f t="shared" si="561"/>
        <v>0</v>
      </c>
      <c r="Q94" s="134">
        <f>Q95+Q96+Q97+Q98+Q99+Q100</f>
        <v>0</v>
      </c>
      <c r="R94" s="134">
        <f>R95+R96+R97+R98+R99+R100</f>
        <v>0</v>
      </c>
      <c r="S94" s="137">
        <f t="shared" si="562"/>
        <v>0</v>
      </c>
      <c r="T94" s="137">
        <f t="shared" si="562"/>
        <v>0</v>
      </c>
      <c r="U94" s="134">
        <f>U95+U96+U97+U98+U99+U100</f>
        <v>0</v>
      </c>
      <c r="V94" s="134">
        <f>V95+V96+V97+V98+V99+V100</f>
        <v>0</v>
      </c>
      <c r="W94" s="137">
        <f t="shared" si="563"/>
        <v>0</v>
      </c>
      <c r="X94" s="137">
        <f t="shared" si="563"/>
        <v>0</v>
      </c>
      <c r="Y94" s="134">
        <f>Y95+Y96+Y97+Y98+Y99+Y100</f>
        <v>0</v>
      </c>
      <c r="Z94" s="134">
        <f>Z95+Z96+Z97+Z98+Z99+Z100</f>
        <v>0</v>
      </c>
      <c r="AA94" s="137">
        <f t="shared" si="564"/>
        <v>0</v>
      </c>
      <c r="AB94" s="137">
        <f t="shared" si="564"/>
        <v>0</v>
      </c>
      <c r="AC94" s="134">
        <f>AC95+AC96+AC97+AC98+AC99+AC100</f>
        <v>0</v>
      </c>
      <c r="AD94" s="134">
        <f>AD95+AD96+AD97+AD98+AD99+AD100</f>
        <v>0</v>
      </c>
      <c r="AE94" s="137">
        <f t="shared" si="565"/>
        <v>0</v>
      </c>
      <c r="AF94" s="137">
        <f t="shared" si="565"/>
        <v>0</v>
      </c>
      <c r="AG94" s="134">
        <f>AG95+AG96+AG97+AG98+AG99+AG100</f>
        <v>0</v>
      </c>
      <c r="AH94" s="134">
        <f>AH95+AH96+AH97+AH98+AH99+AH100</f>
        <v>0</v>
      </c>
      <c r="AI94" s="137">
        <f t="shared" si="566"/>
        <v>0</v>
      </c>
      <c r="AJ94" s="137">
        <f t="shared" si="566"/>
        <v>0</v>
      </c>
      <c r="AK94" s="134">
        <f>AK95+AK96+AK97+AK98+AK99+AK100</f>
        <v>0</v>
      </c>
      <c r="AL94" s="134">
        <f>AL95+AL96+AL97+AL98+AL99+AL100</f>
        <v>0</v>
      </c>
      <c r="AM94" s="137">
        <f t="shared" si="567"/>
        <v>0</v>
      </c>
      <c r="AN94" s="137">
        <f t="shared" si="567"/>
        <v>0</v>
      </c>
      <c r="AO94" s="134">
        <f>AO95+AO96+AO97+AO98+AO99+AO100</f>
        <v>0</v>
      </c>
      <c r="AP94" s="134">
        <f>AP95+AP96+AP97+AP98+AP99+AP100</f>
        <v>0</v>
      </c>
      <c r="AQ94" s="137">
        <f t="shared" si="568"/>
        <v>0</v>
      </c>
      <c r="AR94" s="137">
        <f t="shared" si="568"/>
        <v>0</v>
      </c>
      <c r="AS94" s="134">
        <f>AS95+AS96+AS97+AS98+AS99+AS100</f>
        <v>0</v>
      </c>
      <c r="AT94" s="134">
        <f>AT95+AT96+AT97+AT98+AT99+AT100</f>
        <v>0</v>
      </c>
      <c r="AU94" s="137">
        <f t="shared" si="569"/>
        <v>0</v>
      </c>
      <c r="AV94" s="137">
        <f t="shared" si="569"/>
        <v>0</v>
      </c>
      <c r="AW94" s="134">
        <f>AW95+AW96+AW97+AW98+AW99+AW100</f>
        <v>0</v>
      </c>
      <c r="AX94" s="134">
        <f>AX95+AX96+AX97+AX98+AX99+AX100</f>
        <v>0</v>
      </c>
      <c r="AY94" s="134">
        <f>AY95+AY96+AY97+AY98+AY99+AY100</f>
        <v>0</v>
      </c>
      <c r="AZ94" s="134">
        <f>AZ95+AZ96+AZ97+AZ98+AZ99+AZ100</f>
        <v>0</v>
      </c>
      <c r="BA94" s="135">
        <f t="shared" ref="BA94:BB112" si="581">IF(E94=0,1,AY94/E94-1)</f>
        <v>1</v>
      </c>
      <c r="BB94" s="135">
        <f t="shared" si="581"/>
        <v>1</v>
      </c>
      <c r="BC94" s="134">
        <f>BC95+BC96+BC97+BC98+BC99+BC100</f>
        <v>0</v>
      </c>
      <c r="BD94" s="134">
        <f>BD95+BD96+BD97+BD98+BD99+BD100</f>
        <v>0</v>
      </c>
      <c r="BE94" s="134">
        <f>BE95+BE96+BE97+BE98+BE99+BE100</f>
        <v>0</v>
      </c>
      <c r="BF94" s="134">
        <f>BF95+BF96+BF97+BF98+BF99+BF100</f>
        <v>0</v>
      </c>
      <c r="BG94" s="137">
        <f t="shared" si="570"/>
        <v>0</v>
      </c>
      <c r="BH94" s="137">
        <f t="shared" si="570"/>
        <v>0</v>
      </c>
      <c r="BI94" s="135">
        <f t="shared" si="546"/>
        <v>1</v>
      </c>
      <c r="BJ94" s="135">
        <f t="shared" si="546"/>
        <v>1</v>
      </c>
      <c r="BK94" s="134">
        <f>BK95+BK96+BK97+BK98+BK99+BK100</f>
        <v>0</v>
      </c>
      <c r="BL94" s="134">
        <f>BL95+BL96+BL97+BL98+BL99+BL100</f>
        <v>0</v>
      </c>
      <c r="BM94" s="137">
        <f t="shared" si="571"/>
        <v>0</v>
      </c>
      <c r="BN94" s="137">
        <f t="shared" si="571"/>
        <v>0</v>
      </c>
      <c r="BO94" s="135">
        <f t="shared" si="547"/>
        <v>1</v>
      </c>
      <c r="BP94" s="135">
        <f t="shared" si="547"/>
        <v>1</v>
      </c>
      <c r="BQ94" s="134">
        <f>BQ95+BQ96+BQ97+BQ98+BQ99+BQ100</f>
        <v>0</v>
      </c>
      <c r="BR94" s="134">
        <f>BR95+BR96+BR97+BR98+BR99+BR100</f>
        <v>0</v>
      </c>
      <c r="BS94" s="137">
        <f t="shared" si="572"/>
        <v>0</v>
      </c>
      <c r="BT94" s="137">
        <f t="shared" si="572"/>
        <v>0</v>
      </c>
      <c r="BU94" s="135">
        <f t="shared" si="548"/>
        <v>1</v>
      </c>
      <c r="BV94" s="135">
        <f t="shared" si="548"/>
        <v>1</v>
      </c>
      <c r="BW94" s="134">
        <f>BW95+BW96+BW97+BW98+BW99+BW100</f>
        <v>0</v>
      </c>
      <c r="BX94" s="134">
        <f>BX95+BX96+BX97+BX98+BX99+BX100</f>
        <v>0</v>
      </c>
      <c r="BY94" s="137">
        <f t="shared" si="573"/>
        <v>0</v>
      </c>
      <c r="BZ94" s="137">
        <f t="shared" si="573"/>
        <v>0</v>
      </c>
      <c r="CA94" s="135">
        <f t="shared" si="549"/>
        <v>1</v>
      </c>
      <c r="CB94" s="135">
        <f t="shared" si="549"/>
        <v>1</v>
      </c>
      <c r="CC94" s="134">
        <f>CC95+CC96+CC97+CC98+CC99+CC100</f>
        <v>0</v>
      </c>
      <c r="CD94" s="134">
        <f>CD95+CD96+CD97+CD98+CD99+CD100</f>
        <v>0</v>
      </c>
      <c r="CE94" s="137">
        <f t="shared" si="574"/>
        <v>0</v>
      </c>
      <c r="CF94" s="137">
        <f t="shared" si="574"/>
        <v>0</v>
      </c>
      <c r="CG94" s="135">
        <f t="shared" si="550"/>
        <v>1</v>
      </c>
      <c r="CH94" s="135">
        <f t="shared" si="550"/>
        <v>1</v>
      </c>
      <c r="CI94" s="134">
        <f>CI95+CI96+CI97+CI98+CI99+CI100</f>
        <v>0</v>
      </c>
      <c r="CJ94" s="134">
        <f>CJ95+CJ96+CJ97+CJ98+CJ99+CJ100</f>
        <v>0</v>
      </c>
      <c r="CK94" s="137">
        <f t="shared" si="575"/>
        <v>0</v>
      </c>
      <c r="CL94" s="137">
        <f t="shared" si="575"/>
        <v>0</v>
      </c>
      <c r="CM94" s="135">
        <f t="shared" si="551"/>
        <v>1</v>
      </c>
      <c r="CN94" s="135">
        <f t="shared" si="551"/>
        <v>1</v>
      </c>
      <c r="CO94" s="134">
        <f>CO95+CO96+CO97+CO98+CO99+CO100</f>
        <v>0</v>
      </c>
      <c r="CP94" s="134">
        <f>CP95+CP96+CP97+CP98+CP99+CP100</f>
        <v>0</v>
      </c>
      <c r="CQ94" s="137">
        <f t="shared" si="576"/>
        <v>0</v>
      </c>
      <c r="CR94" s="137">
        <f t="shared" si="576"/>
        <v>0</v>
      </c>
      <c r="CS94" s="135">
        <f t="shared" si="552"/>
        <v>1</v>
      </c>
      <c r="CT94" s="135">
        <f t="shared" si="552"/>
        <v>1</v>
      </c>
      <c r="CU94" s="134">
        <f>CU95+CU96+CU97+CU98+CU99+CU100</f>
        <v>0</v>
      </c>
      <c r="CV94" s="134">
        <f>CV95+CV96+CV97+CV98+CV99+CV100</f>
        <v>0</v>
      </c>
      <c r="CW94" s="137">
        <f t="shared" si="577"/>
        <v>0</v>
      </c>
      <c r="CX94" s="137">
        <f t="shared" si="577"/>
        <v>0</v>
      </c>
      <c r="CY94" s="135">
        <f t="shared" si="553"/>
        <v>1</v>
      </c>
      <c r="CZ94" s="135">
        <f t="shared" si="553"/>
        <v>1</v>
      </c>
      <c r="DA94" s="134">
        <f>DA95+DA96+DA97+DA98+DA99+DA100</f>
        <v>0</v>
      </c>
      <c r="DB94" s="134">
        <f>DB95+DB96+DB97+DB98+DB99+DB100</f>
        <v>0</v>
      </c>
      <c r="DC94" s="137">
        <f t="shared" si="578"/>
        <v>0</v>
      </c>
      <c r="DD94" s="137">
        <f t="shared" si="578"/>
        <v>0</v>
      </c>
      <c r="DE94" s="135">
        <f t="shared" si="554"/>
        <v>1</v>
      </c>
      <c r="DF94" s="135">
        <f t="shared" si="554"/>
        <v>1</v>
      </c>
      <c r="DG94" s="134">
        <f>DG95+DG96+DG97+DG98+DG99+DG100</f>
        <v>0</v>
      </c>
      <c r="DH94" s="134">
        <f>DH95+DH96+DH97+DH98+DH99+DH100</f>
        <v>0</v>
      </c>
      <c r="DI94" s="137">
        <f t="shared" si="579"/>
        <v>0</v>
      </c>
      <c r="DJ94" s="137">
        <f t="shared" si="579"/>
        <v>0</v>
      </c>
      <c r="DK94" s="135">
        <f t="shared" si="555"/>
        <v>1</v>
      </c>
      <c r="DL94" s="135">
        <f t="shared" si="555"/>
        <v>1</v>
      </c>
      <c r="DM94" s="134">
        <f t="shared" ref="DM94:DR94" si="582">DM95+DM96+DM97+DM98+DM99+DM100</f>
        <v>0</v>
      </c>
      <c r="DN94" s="134">
        <f t="shared" si="582"/>
        <v>0</v>
      </c>
      <c r="DO94" s="134">
        <f t="shared" si="582"/>
        <v>0</v>
      </c>
      <c r="DP94" s="134">
        <f t="shared" si="582"/>
        <v>0</v>
      </c>
      <c r="DQ94" s="134">
        <f t="shared" si="582"/>
        <v>0</v>
      </c>
      <c r="DR94" s="134">
        <f t="shared" si="582"/>
        <v>0</v>
      </c>
      <c r="DS94" s="135">
        <f>IF($AY$94=0,1,DQ94/$AY$94-1)</f>
        <v>1</v>
      </c>
      <c r="DT94" s="135">
        <f>IF($AZ$94=0,1,DR94/$AZ$94-1)</f>
        <v>1</v>
      </c>
      <c r="DU94" s="135">
        <f t="shared" si="557"/>
        <v>1</v>
      </c>
      <c r="DV94" s="135">
        <f t="shared" si="558"/>
        <v>1</v>
      </c>
      <c r="DW94" s="167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  <c r="IX94" s="105"/>
      <c r="IY94" s="105"/>
      <c r="IZ94" s="105"/>
      <c r="JA94" s="105"/>
      <c r="JB94" s="105"/>
      <c r="JC94" s="105"/>
      <c r="JD94" s="105"/>
      <c r="JE94" s="105"/>
      <c r="JF94" s="105"/>
      <c r="JG94" s="105"/>
      <c r="JH94" s="105"/>
    </row>
    <row r="95" spans="1:268" s="106" customFormat="1" ht="18" customHeight="1">
      <c r="A95" s="292" t="s">
        <v>67</v>
      </c>
      <c r="B95" s="293"/>
      <c r="C95" s="134">
        <f>'бюджет округа (района)'!C95+'бюджеты поселений'!C95</f>
        <v>0</v>
      </c>
      <c r="D95" s="137">
        <f>'бюджет округа (района)'!C95</f>
        <v>0</v>
      </c>
      <c r="E95" s="134">
        <f t="shared" ref="E95:F100" si="583">G95+I95+M95+Q95+U95+Y95+AC95+AG95+AK95+AO95+AS95+AW95</f>
        <v>0</v>
      </c>
      <c r="F95" s="137">
        <f t="shared" si="583"/>
        <v>0</v>
      </c>
      <c r="G95" s="134">
        <f>'бюджет округа (района)'!E95+'бюджеты поселений'!E95</f>
        <v>0</v>
      </c>
      <c r="H95" s="137">
        <f>'бюджет округа (района)'!E95</f>
        <v>0</v>
      </c>
      <c r="I95" s="134">
        <f>'бюджет округа (района)'!F95+'бюджеты поселений'!F95</f>
        <v>0</v>
      </c>
      <c r="J95" s="137">
        <f>'бюджет округа (района)'!F95</f>
        <v>0</v>
      </c>
      <c r="K95" s="137">
        <f t="shared" si="560"/>
        <v>0</v>
      </c>
      <c r="L95" s="137">
        <f t="shared" si="560"/>
        <v>0</v>
      </c>
      <c r="M95" s="134">
        <f>'бюджет округа (района)'!H95+'бюджеты поселений'!H95</f>
        <v>0</v>
      </c>
      <c r="N95" s="137">
        <f>'бюджет округа (района)'!H95</f>
        <v>0</v>
      </c>
      <c r="O95" s="137">
        <f t="shared" si="561"/>
        <v>0</v>
      </c>
      <c r="P95" s="137">
        <f t="shared" si="561"/>
        <v>0</v>
      </c>
      <c r="Q95" s="134">
        <f>'бюджет округа (района)'!J95+'бюджеты поселений'!J95</f>
        <v>0</v>
      </c>
      <c r="R95" s="137">
        <f>'бюджет округа (района)'!J95</f>
        <v>0</v>
      </c>
      <c r="S95" s="137">
        <f t="shared" si="562"/>
        <v>0</v>
      </c>
      <c r="T95" s="137">
        <f t="shared" si="562"/>
        <v>0</v>
      </c>
      <c r="U95" s="134">
        <f>'бюджет округа (района)'!L95+'бюджеты поселений'!L95</f>
        <v>0</v>
      </c>
      <c r="V95" s="137">
        <f>'бюджет округа (района)'!L95</f>
        <v>0</v>
      </c>
      <c r="W95" s="137">
        <f t="shared" si="563"/>
        <v>0</v>
      </c>
      <c r="X95" s="137">
        <f t="shared" si="563"/>
        <v>0</v>
      </c>
      <c r="Y95" s="134">
        <f>'бюджет округа (района)'!N95+'бюджеты поселений'!N95</f>
        <v>0</v>
      </c>
      <c r="Z95" s="137">
        <f>'бюджет округа (района)'!N95</f>
        <v>0</v>
      </c>
      <c r="AA95" s="137">
        <f t="shared" si="564"/>
        <v>0</v>
      </c>
      <c r="AB95" s="137">
        <f t="shared" si="564"/>
        <v>0</v>
      </c>
      <c r="AC95" s="134">
        <f>'бюджет округа (района)'!P95+'бюджеты поселений'!P95</f>
        <v>0</v>
      </c>
      <c r="AD95" s="137">
        <f>'бюджет округа (района)'!P95</f>
        <v>0</v>
      </c>
      <c r="AE95" s="137">
        <f t="shared" si="565"/>
        <v>0</v>
      </c>
      <c r="AF95" s="137">
        <f t="shared" si="565"/>
        <v>0</v>
      </c>
      <c r="AG95" s="134">
        <f>'бюджет округа (района)'!R95+'бюджеты поселений'!R95</f>
        <v>0</v>
      </c>
      <c r="AH95" s="137">
        <f>'бюджет округа (района)'!R95</f>
        <v>0</v>
      </c>
      <c r="AI95" s="137">
        <f t="shared" si="566"/>
        <v>0</v>
      </c>
      <c r="AJ95" s="137">
        <f t="shared" si="566"/>
        <v>0</v>
      </c>
      <c r="AK95" s="134">
        <f>'бюджет округа (района)'!T95+'бюджеты поселений'!T95</f>
        <v>0</v>
      </c>
      <c r="AL95" s="137">
        <f>'бюджет округа (района)'!T95</f>
        <v>0</v>
      </c>
      <c r="AM95" s="137">
        <f t="shared" si="567"/>
        <v>0</v>
      </c>
      <c r="AN95" s="137">
        <f t="shared" si="567"/>
        <v>0</v>
      </c>
      <c r="AO95" s="134">
        <f>'бюджет округа (района)'!V95+'бюджеты поселений'!V95</f>
        <v>0</v>
      </c>
      <c r="AP95" s="137">
        <f>'бюджет округа (района)'!V95</f>
        <v>0</v>
      </c>
      <c r="AQ95" s="137">
        <f t="shared" si="568"/>
        <v>0</v>
      </c>
      <c r="AR95" s="137">
        <f t="shared" si="568"/>
        <v>0</v>
      </c>
      <c r="AS95" s="134">
        <f>'бюджет округа (района)'!X95+'бюджеты поселений'!X95</f>
        <v>0</v>
      </c>
      <c r="AT95" s="137">
        <f>'бюджет округа (района)'!X95</f>
        <v>0</v>
      </c>
      <c r="AU95" s="137">
        <f t="shared" si="569"/>
        <v>0</v>
      </c>
      <c r="AV95" s="137">
        <f t="shared" si="569"/>
        <v>0</v>
      </c>
      <c r="AW95" s="134">
        <f>'бюджет округа (района)'!Z95+'бюджеты поселений'!Z95</f>
        <v>0</v>
      </c>
      <c r="AX95" s="137">
        <f>'бюджет округа (района)'!Z95</f>
        <v>0</v>
      </c>
      <c r="AY95" s="134">
        <f>'бюджет округа (района)'!AA95+'бюджеты поселений'!AA95</f>
        <v>0</v>
      </c>
      <c r="AZ95" s="137">
        <f>'бюджет округа (района)'!AA95</f>
        <v>0</v>
      </c>
      <c r="BA95" s="135">
        <f t="shared" si="581"/>
        <v>1</v>
      </c>
      <c r="BB95" s="135">
        <f t="shared" si="581"/>
        <v>1</v>
      </c>
      <c r="BC95" s="134">
        <f>'бюджет округа (района)'!AC95+'бюджеты поселений'!AC95</f>
        <v>0</v>
      </c>
      <c r="BD95" s="137">
        <f>'бюджет округа (района)'!AC95</f>
        <v>0</v>
      </c>
      <c r="BE95" s="134">
        <f>'бюджет округа (района)'!AD95+'бюджеты поселений'!AD95</f>
        <v>0</v>
      </c>
      <c r="BF95" s="137">
        <f>'бюджет округа (района)'!AD95</f>
        <v>0</v>
      </c>
      <c r="BG95" s="137">
        <f t="shared" si="570"/>
        <v>0</v>
      </c>
      <c r="BH95" s="137">
        <f t="shared" si="570"/>
        <v>0</v>
      </c>
      <c r="BI95" s="135">
        <f t="shared" si="546"/>
        <v>1</v>
      </c>
      <c r="BJ95" s="135">
        <f t="shared" si="546"/>
        <v>1</v>
      </c>
      <c r="BK95" s="134">
        <f>'бюджет округа (района)'!AG95+'бюджеты поселений'!AG95</f>
        <v>0</v>
      </c>
      <c r="BL95" s="137">
        <f>'бюджет округа (района)'!AG95</f>
        <v>0</v>
      </c>
      <c r="BM95" s="137">
        <f t="shared" si="571"/>
        <v>0</v>
      </c>
      <c r="BN95" s="137">
        <f t="shared" si="571"/>
        <v>0</v>
      </c>
      <c r="BO95" s="135">
        <f t="shared" si="547"/>
        <v>1</v>
      </c>
      <c r="BP95" s="135">
        <f t="shared" si="547"/>
        <v>1</v>
      </c>
      <c r="BQ95" s="134">
        <f>'бюджет округа (района)'!AJ95+'бюджеты поселений'!AJ95</f>
        <v>0</v>
      </c>
      <c r="BR95" s="137">
        <f>'бюджет округа (района)'!AJ95</f>
        <v>0</v>
      </c>
      <c r="BS95" s="137">
        <f t="shared" si="572"/>
        <v>0</v>
      </c>
      <c r="BT95" s="137">
        <f t="shared" si="572"/>
        <v>0</v>
      </c>
      <c r="BU95" s="135">
        <f t="shared" si="548"/>
        <v>1</v>
      </c>
      <c r="BV95" s="135">
        <f t="shared" si="548"/>
        <v>1</v>
      </c>
      <c r="BW95" s="134">
        <f>'бюджет округа (района)'!AM95+'бюджеты поселений'!AM95</f>
        <v>0</v>
      </c>
      <c r="BX95" s="137">
        <f>'бюджет округа (района)'!AM95</f>
        <v>0</v>
      </c>
      <c r="BY95" s="137">
        <f t="shared" si="573"/>
        <v>0</v>
      </c>
      <c r="BZ95" s="137">
        <f t="shared" si="573"/>
        <v>0</v>
      </c>
      <c r="CA95" s="135">
        <f t="shared" si="549"/>
        <v>1</v>
      </c>
      <c r="CB95" s="135">
        <f t="shared" si="549"/>
        <v>1</v>
      </c>
      <c r="CC95" s="134">
        <f>'бюджет округа (района)'!AP95+'бюджеты поселений'!AP95</f>
        <v>0</v>
      </c>
      <c r="CD95" s="137">
        <f>'бюджет округа (района)'!AP95</f>
        <v>0</v>
      </c>
      <c r="CE95" s="137">
        <f t="shared" si="574"/>
        <v>0</v>
      </c>
      <c r="CF95" s="137">
        <f t="shared" si="574"/>
        <v>0</v>
      </c>
      <c r="CG95" s="135">
        <f t="shared" si="550"/>
        <v>1</v>
      </c>
      <c r="CH95" s="135">
        <f t="shared" si="550"/>
        <v>1</v>
      </c>
      <c r="CI95" s="134">
        <f>'бюджет округа (района)'!AS95+'бюджеты поселений'!AS95</f>
        <v>0</v>
      </c>
      <c r="CJ95" s="137">
        <f>'бюджет округа (района)'!AS95</f>
        <v>0</v>
      </c>
      <c r="CK95" s="137">
        <f t="shared" si="575"/>
        <v>0</v>
      </c>
      <c r="CL95" s="137">
        <f t="shared" si="575"/>
        <v>0</v>
      </c>
      <c r="CM95" s="135">
        <f t="shared" si="551"/>
        <v>1</v>
      </c>
      <c r="CN95" s="135">
        <f t="shared" si="551"/>
        <v>1</v>
      </c>
      <c r="CO95" s="134">
        <f>'бюджет округа (района)'!AV95+'бюджеты поселений'!AV95</f>
        <v>0</v>
      </c>
      <c r="CP95" s="137">
        <f>'бюджет округа (района)'!AV95</f>
        <v>0</v>
      </c>
      <c r="CQ95" s="137">
        <f t="shared" si="576"/>
        <v>0</v>
      </c>
      <c r="CR95" s="137">
        <f t="shared" si="576"/>
        <v>0</v>
      </c>
      <c r="CS95" s="135">
        <f t="shared" si="552"/>
        <v>1</v>
      </c>
      <c r="CT95" s="135">
        <f t="shared" si="552"/>
        <v>1</v>
      </c>
      <c r="CU95" s="134">
        <f>'бюджет округа (района)'!AY95+'бюджеты поселений'!AY95</f>
        <v>0</v>
      </c>
      <c r="CV95" s="137">
        <f>'бюджет округа (района)'!AY95</f>
        <v>0</v>
      </c>
      <c r="CW95" s="137">
        <f t="shared" si="577"/>
        <v>0</v>
      </c>
      <c r="CX95" s="137">
        <f t="shared" si="577"/>
        <v>0</v>
      </c>
      <c r="CY95" s="135">
        <f t="shared" si="553"/>
        <v>1</v>
      </c>
      <c r="CZ95" s="135">
        <f t="shared" si="553"/>
        <v>1</v>
      </c>
      <c r="DA95" s="134">
        <f>'бюджет округа (района)'!BB95+'бюджеты поселений'!BB95</f>
        <v>0</v>
      </c>
      <c r="DB95" s="137">
        <f>'бюджет округа (района)'!BB95</f>
        <v>0</v>
      </c>
      <c r="DC95" s="137">
        <f t="shared" si="578"/>
        <v>0</v>
      </c>
      <c r="DD95" s="137">
        <f t="shared" si="578"/>
        <v>0</v>
      </c>
      <c r="DE95" s="135">
        <f t="shared" si="554"/>
        <v>1</v>
      </c>
      <c r="DF95" s="135">
        <f t="shared" si="554"/>
        <v>1</v>
      </c>
      <c r="DG95" s="134">
        <f>'бюджет округа (района)'!BE95+'бюджеты поселений'!BE95</f>
        <v>0</v>
      </c>
      <c r="DH95" s="137">
        <f>'бюджет округа (района)'!BE95</f>
        <v>0</v>
      </c>
      <c r="DI95" s="137">
        <f t="shared" si="579"/>
        <v>0</v>
      </c>
      <c r="DJ95" s="137">
        <f t="shared" si="579"/>
        <v>0</v>
      </c>
      <c r="DK95" s="135">
        <f t="shared" si="555"/>
        <v>1</v>
      </c>
      <c r="DL95" s="135">
        <f t="shared" si="555"/>
        <v>1</v>
      </c>
      <c r="DM95" s="134">
        <f>'бюджет округа (района)'!BH95+'бюджеты поселений'!BH95</f>
        <v>0</v>
      </c>
      <c r="DN95" s="137">
        <f>'бюджет округа (района)'!BH95</f>
        <v>0</v>
      </c>
      <c r="DO95" s="134">
        <f>'бюджет округа (района)'!BI95+'бюджеты поселений'!BI95</f>
        <v>0</v>
      </c>
      <c r="DP95" s="137">
        <f>'бюджет округа (района)'!BI95</f>
        <v>0</v>
      </c>
      <c r="DQ95" s="134">
        <f>'бюджет округа (района)'!BJ95+'бюджеты поселений'!BJ95</f>
        <v>0</v>
      </c>
      <c r="DR95" s="137">
        <f>'бюджет округа (района)'!BJ95</f>
        <v>0</v>
      </c>
      <c r="DS95" s="135">
        <f>IF($AY$95=0,1,DQ95/$AY$95-1)</f>
        <v>1</v>
      </c>
      <c r="DT95" s="135">
        <f>IF($AZ$95=0,1,DR95/$AZ$95-1)</f>
        <v>1</v>
      </c>
      <c r="DU95" s="135">
        <f t="shared" si="557"/>
        <v>1</v>
      </c>
      <c r="DV95" s="135">
        <f t="shared" si="558"/>
        <v>1</v>
      </c>
      <c r="DW95" s="167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</row>
    <row r="96" spans="1:268" s="106" customFormat="1" ht="18" customHeight="1">
      <c r="A96" s="292" t="s">
        <v>34</v>
      </c>
      <c r="B96" s="293"/>
      <c r="C96" s="134">
        <f>'бюджет округа (района)'!C96+'бюджеты поселений'!C96</f>
        <v>0</v>
      </c>
      <c r="D96" s="137">
        <f>'бюджет округа (района)'!C96</f>
        <v>0</v>
      </c>
      <c r="E96" s="134">
        <f t="shared" si="583"/>
        <v>0</v>
      </c>
      <c r="F96" s="137">
        <f t="shared" si="583"/>
        <v>0</v>
      </c>
      <c r="G96" s="134">
        <f>'бюджет округа (района)'!E96+'бюджеты поселений'!E96</f>
        <v>0</v>
      </c>
      <c r="H96" s="137">
        <f>'бюджет округа (района)'!E96</f>
        <v>0</v>
      </c>
      <c r="I96" s="134">
        <f>'бюджет округа (района)'!F96+'бюджеты поселений'!F96</f>
        <v>0</v>
      </c>
      <c r="J96" s="137">
        <f>'бюджет округа (района)'!F96</f>
        <v>0</v>
      </c>
      <c r="K96" s="137">
        <f t="shared" si="560"/>
        <v>0</v>
      </c>
      <c r="L96" s="137">
        <f t="shared" si="560"/>
        <v>0</v>
      </c>
      <c r="M96" s="134">
        <f>'бюджет округа (района)'!H96+'бюджеты поселений'!H96</f>
        <v>0</v>
      </c>
      <c r="N96" s="137">
        <f>'бюджет округа (района)'!H96</f>
        <v>0</v>
      </c>
      <c r="O96" s="137">
        <f t="shared" si="561"/>
        <v>0</v>
      </c>
      <c r="P96" s="137">
        <f t="shared" si="561"/>
        <v>0</v>
      </c>
      <c r="Q96" s="134">
        <f>'бюджет округа (района)'!J96+'бюджеты поселений'!J96</f>
        <v>0</v>
      </c>
      <c r="R96" s="137">
        <f>'бюджет округа (района)'!J96</f>
        <v>0</v>
      </c>
      <c r="S96" s="137">
        <f t="shared" si="562"/>
        <v>0</v>
      </c>
      <c r="T96" s="137">
        <f t="shared" si="562"/>
        <v>0</v>
      </c>
      <c r="U96" s="134">
        <f>'бюджет округа (района)'!L96+'бюджеты поселений'!L96</f>
        <v>0</v>
      </c>
      <c r="V96" s="137">
        <f>'бюджет округа (района)'!L96</f>
        <v>0</v>
      </c>
      <c r="W96" s="137">
        <f t="shared" si="563"/>
        <v>0</v>
      </c>
      <c r="X96" s="137">
        <f t="shared" si="563"/>
        <v>0</v>
      </c>
      <c r="Y96" s="134">
        <f>'бюджет округа (района)'!N96+'бюджеты поселений'!N96</f>
        <v>0</v>
      </c>
      <c r="Z96" s="137">
        <f>'бюджет округа (района)'!N96</f>
        <v>0</v>
      </c>
      <c r="AA96" s="137">
        <f t="shared" si="564"/>
        <v>0</v>
      </c>
      <c r="AB96" s="137">
        <f t="shared" si="564"/>
        <v>0</v>
      </c>
      <c r="AC96" s="134">
        <f>'бюджет округа (района)'!P96+'бюджеты поселений'!P96</f>
        <v>0</v>
      </c>
      <c r="AD96" s="137">
        <f>'бюджет округа (района)'!P96</f>
        <v>0</v>
      </c>
      <c r="AE96" s="137">
        <f t="shared" si="565"/>
        <v>0</v>
      </c>
      <c r="AF96" s="137">
        <f t="shared" si="565"/>
        <v>0</v>
      </c>
      <c r="AG96" s="134">
        <f>'бюджет округа (района)'!R96+'бюджеты поселений'!R96</f>
        <v>0</v>
      </c>
      <c r="AH96" s="137">
        <f>'бюджет округа (района)'!R96</f>
        <v>0</v>
      </c>
      <c r="AI96" s="137">
        <f t="shared" si="566"/>
        <v>0</v>
      </c>
      <c r="AJ96" s="137">
        <f t="shared" si="566"/>
        <v>0</v>
      </c>
      <c r="AK96" s="134">
        <f>'бюджет округа (района)'!T96+'бюджеты поселений'!T96</f>
        <v>0</v>
      </c>
      <c r="AL96" s="137">
        <f>'бюджет округа (района)'!T96</f>
        <v>0</v>
      </c>
      <c r="AM96" s="137">
        <f t="shared" si="567"/>
        <v>0</v>
      </c>
      <c r="AN96" s="137">
        <f t="shared" si="567"/>
        <v>0</v>
      </c>
      <c r="AO96" s="134">
        <f>'бюджет округа (района)'!V96+'бюджеты поселений'!V96</f>
        <v>0</v>
      </c>
      <c r="AP96" s="137">
        <f>'бюджет округа (района)'!V96</f>
        <v>0</v>
      </c>
      <c r="AQ96" s="137">
        <f t="shared" si="568"/>
        <v>0</v>
      </c>
      <c r="AR96" s="137">
        <f t="shared" si="568"/>
        <v>0</v>
      </c>
      <c r="AS96" s="134">
        <f>'бюджет округа (района)'!X96+'бюджеты поселений'!X96</f>
        <v>0</v>
      </c>
      <c r="AT96" s="137">
        <f>'бюджет округа (района)'!X96</f>
        <v>0</v>
      </c>
      <c r="AU96" s="137">
        <f t="shared" si="569"/>
        <v>0</v>
      </c>
      <c r="AV96" s="137">
        <f t="shared" si="569"/>
        <v>0</v>
      </c>
      <c r="AW96" s="134">
        <f>'бюджет округа (района)'!Z96+'бюджеты поселений'!Z96</f>
        <v>0</v>
      </c>
      <c r="AX96" s="137">
        <f>'бюджет округа (района)'!Z96</f>
        <v>0</v>
      </c>
      <c r="AY96" s="134">
        <f>'бюджет округа (района)'!AA96+'бюджеты поселений'!AA96</f>
        <v>0</v>
      </c>
      <c r="AZ96" s="137">
        <f>'бюджет округа (района)'!AA96</f>
        <v>0</v>
      </c>
      <c r="BA96" s="135">
        <f t="shared" si="581"/>
        <v>1</v>
      </c>
      <c r="BB96" s="135">
        <f t="shared" si="581"/>
        <v>1</v>
      </c>
      <c r="BC96" s="134">
        <f>'бюджет округа (района)'!AC96+'бюджеты поселений'!AC96</f>
        <v>0</v>
      </c>
      <c r="BD96" s="137">
        <f>'бюджет округа (района)'!AC96</f>
        <v>0</v>
      </c>
      <c r="BE96" s="134">
        <f>'бюджет округа (района)'!AD96+'бюджеты поселений'!AD96</f>
        <v>0</v>
      </c>
      <c r="BF96" s="137">
        <f>'бюджет округа (района)'!AD96</f>
        <v>0</v>
      </c>
      <c r="BG96" s="137">
        <f t="shared" si="570"/>
        <v>0</v>
      </c>
      <c r="BH96" s="137">
        <f t="shared" si="570"/>
        <v>0</v>
      </c>
      <c r="BI96" s="135">
        <f t="shared" si="546"/>
        <v>1</v>
      </c>
      <c r="BJ96" s="135">
        <f t="shared" si="546"/>
        <v>1</v>
      </c>
      <c r="BK96" s="134">
        <f>'бюджет округа (района)'!AG96+'бюджеты поселений'!AG96</f>
        <v>0</v>
      </c>
      <c r="BL96" s="137">
        <f>'бюджет округа (района)'!AG96</f>
        <v>0</v>
      </c>
      <c r="BM96" s="137">
        <f t="shared" si="571"/>
        <v>0</v>
      </c>
      <c r="BN96" s="137">
        <f t="shared" si="571"/>
        <v>0</v>
      </c>
      <c r="BO96" s="135">
        <f t="shared" si="547"/>
        <v>1</v>
      </c>
      <c r="BP96" s="135">
        <f t="shared" si="547"/>
        <v>1</v>
      </c>
      <c r="BQ96" s="134">
        <f>'бюджет округа (района)'!AJ96+'бюджеты поселений'!AJ96</f>
        <v>0</v>
      </c>
      <c r="BR96" s="137">
        <f>'бюджет округа (района)'!AJ96</f>
        <v>0</v>
      </c>
      <c r="BS96" s="137">
        <f t="shared" si="572"/>
        <v>0</v>
      </c>
      <c r="BT96" s="137">
        <f t="shared" si="572"/>
        <v>0</v>
      </c>
      <c r="BU96" s="135">
        <f t="shared" si="548"/>
        <v>1</v>
      </c>
      <c r="BV96" s="135">
        <f t="shared" si="548"/>
        <v>1</v>
      </c>
      <c r="BW96" s="134">
        <f>'бюджет округа (района)'!AM96+'бюджеты поселений'!AM96</f>
        <v>0</v>
      </c>
      <c r="BX96" s="137">
        <f>'бюджет округа (района)'!AM96</f>
        <v>0</v>
      </c>
      <c r="BY96" s="137">
        <f t="shared" si="573"/>
        <v>0</v>
      </c>
      <c r="BZ96" s="137">
        <f t="shared" si="573"/>
        <v>0</v>
      </c>
      <c r="CA96" s="135">
        <f t="shared" si="549"/>
        <v>1</v>
      </c>
      <c r="CB96" s="135">
        <f t="shared" si="549"/>
        <v>1</v>
      </c>
      <c r="CC96" s="134">
        <f>'бюджет округа (района)'!AP96+'бюджеты поселений'!AP96</f>
        <v>0</v>
      </c>
      <c r="CD96" s="137">
        <f>'бюджет округа (района)'!AP96</f>
        <v>0</v>
      </c>
      <c r="CE96" s="137">
        <f t="shared" si="574"/>
        <v>0</v>
      </c>
      <c r="CF96" s="137">
        <f t="shared" si="574"/>
        <v>0</v>
      </c>
      <c r="CG96" s="135">
        <f t="shared" si="550"/>
        <v>1</v>
      </c>
      <c r="CH96" s="135">
        <f t="shared" si="550"/>
        <v>1</v>
      </c>
      <c r="CI96" s="134">
        <f>'бюджет округа (района)'!AS96+'бюджеты поселений'!AS96</f>
        <v>0</v>
      </c>
      <c r="CJ96" s="137">
        <f>'бюджет округа (района)'!AS96</f>
        <v>0</v>
      </c>
      <c r="CK96" s="137">
        <f t="shared" si="575"/>
        <v>0</v>
      </c>
      <c r="CL96" s="137">
        <f t="shared" si="575"/>
        <v>0</v>
      </c>
      <c r="CM96" s="135">
        <f t="shared" si="551"/>
        <v>1</v>
      </c>
      <c r="CN96" s="135">
        <f t="shared" si="551"/>
        <v>1</v>
      </c>
      <c r="CO96" s="134">
        <f>'бюджет округа (района)'!AV96+'бюджеты поселений'!AV96</f>
        <v>0</v>
      </c>
      <c r="CP96" s="137">
        <f>'бюджет округа (района)'!AV96</f>
        <v>0</v>
      </c>
      <c r="CQ96" s="137">
        <f t="shared" si="576"/>
        <v>0</v>
      </c>
      <c r="CR96" s="137">
        <f t="shared" si="576"/>
        <v>0</v>
      </c>
      <c r="CS96" s="135">
        <f t="shared" si="552"/>
        <v>1</v>
      </c>
      <c r="CT96" s="135">
        <f t="shared" si="552"/>
        <v>1</v>
      </c>
      <c r="CU96" s="134">
        <f>'бюджет округа (района)'!AY96+'бюджеты поселений'!AY96</f>
        <v>0</v>
      </c>
      <c r="CV96" s="137">
        <f>'бюджет округа (района)'!AY96</f>
        <v>0</v>
      </c>
      <c r="CW96" s="137">
        <f t="shared" si="577"/>
        <v>0</v>
      </c>
      <c r="CX96" s="137">
        <f t="shared" si="577"/>
        <v>0</v>
      </c>
      <c r="CY96" s="135">
        <f t="shared" si="553"/>
        <v>1</v>
      </c>
      <c r="CZ96" s="135">
        <f t="shared" si="553"/>
        <v>1</v>
      </c>
      <c r="DA96" s="134">
        <f>'бюджет округа (района)'!BB96+'бюджеты поселений'!BB96</f>
        <v>0</v>
      </c>
      <c r="DB96" s="137">
        <f>'бюджет округа (района)'!BB96</f>
        <v>0</v>
      </c>
      <c r="DC96" s="137">
        <f t="shared" si="578"/>
        <v>0</v>
      </c>
      <c r="DD96" s="137">
        <f t="shared" si="578"/>
        <v>0</v>
      </c>
      <c r="DE96" s="135">
        <f t="shared" si="554"/>
        <v>1</v>
      </c>
      <c r="DF96" s="135">
        <f t="shared" si="554"/>
        <v>1</v>
      </c>
      <c r="DG96" s="134">
        <f>'бюджет округа (района)'!BE96+'бюджеты поселений'!BE96</f>
        <v>0</v>
      </c>
      <c r="DH96" s="137">
        <f>'бюджет округа (района)'!BE96</f>
        <v>0</v>
      </c>
      <c r="DI96" s="137">
        <f t="shared" si="579"/>
        <v>0</v>
      </c>
      <c r="DJ96" s="137">
        <f t="shared" si="579"/>
        <v>0</v>
      </c>
      <c r="DK96" s="135">
        <f t="shared" si="555"/>
        <v>1</v>
      </c>
      <c r="DL96" s="135">
        <f t="shared" si="555"/>
        <v>1</v>
      </c>
      <c r="DM96" s="134">
        <f>'бюджет округа (района)'!BH96+'бюджеты поселений'!BH96</f>
        <v>0</v>
      </c>
      <c r="DN96" s="137">
        <f>'бюджет округа (района)'!BH96</f>
        <v>0</v>
      </c>
      <c r="DO96" s="134">
        <f>'бюджет округа (района)'!BI96+'бюджеты поселений'!BI96</f>
        <v>0</v>
      </c>
      <c r="DP96" s="137">
        <f>'бюджет округа (района)'!BI96</f>
        <v>0</v>
      </c>
      <c r="DQ96" s="134">
        <f>'бюджет округа (района)'!BJ96+'бюджеты поселений'!BJ96</f>
        <v>0</v>
      </c>
      <c r="DR96" s="137">
        <f>'бюджет округа (района)'!BJ96</f>
        <v>0</v>
      </c>
      <c r="DS96" s="135">
        <f>IF($AY$96=0,1,DQ96/$AY$96-1)</f>
        <v>1</v>
      </c>
      <c r="DT96" s="135">
        <f>IF($AZ$96=0,1,DR96/$AZ$96-1)</f>
        <v>1</v>
      </c>
      <c r="DU96" s="135">
        <f t="shared" si="557"/>
        <v>1</v>
      </c>
      <c r="DV96" s="135">
        <f t="shared" si="558"/>
        <v>1</v>
      </c>
      <c r="DW96" s="167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  <c r="IX96" s="105"/>
      <c r="IY96" s="105"/>
      <c r="IZ96" s="105"/>
      <c r="JA96" s="105"/>
      <c r="JB96" s="105"/>
      <c r="JC96" s="105"/>
      <c r="JD96" s="105"/>
      <c r="JE96" s="105"/>
      <c r="JF96" s="105"/>
      <c r="JG96" s="105"/>
      <c r="JH96" s="105"/>
    </row>
    <row r="97" spans="1:268" s="106" customFormat="1" ht="18" customHeight="1">
      <c r="A97" s="292" t="s">
        <v>34</v>
      </c>
      <c r="B97" s="293"/>
      <c r="C97" s="134">
        <f>'бюджет округа (района)'!C97+'бюджеты поселений'!C97</f>
        <v>0</v>
      </c>
      <c r="D97" s="137">
        <f>'бюджет округа (района)'!C97</f>
        <v>0</v>
      </c>
      <c r="E97" s="134">
        <f t="shared" si="583"/>
        <v>0</v>
      </c>
      <c r="F97" s="137">
        <f t="shared" si="583"/>
        <v>0</v>
      </c>
      <c r="G97" s="134">
        <f>'бюджет округа (района)'!E97+'бюджеты поселений'!E97</f>
        <v>0</v>
      </c>
      <c r="H97" s="137">
        <f>'бюджет округа (района)'!E97</f>
        <v>0</v>
      </c>
      <c r="I97" s="134">
        <f>'бюджет округа (района)'!F97+'бюджеты поселений'!F97</f>
        <v>0</v>
      </c>
      <c r="J97" s="137">
        <f>'бюджет округа (района)'!F97</f>
        <v>0</v>
      </c>
      <c r="K97" s="137">
        <f t="shared" si="560"/>
        <v>0</v>
      </c>
      <c r="L97" s="137">
        <f t="shared" si="560"/>
        <v>0</v>
      </c>
      <c r="M97" s="134">
        <f>'бюджет округа (района)'!H97+'бюджеты поселений'!H97</f>
        <v>0</v>
      </c>
      <c r="N97" s="137">
        <f>'бюджет округа (района)'!H97</f>
        <v>0</v>
      </c>
      <c r="O97" s="137">
        <f t="shared" si="561"/>
        <v>0</v>
      </c>
      <c r="P97" s="137">
        <f t="shared" si="561"/>
        <v>0</v>
      </c>
      <c r="Q97" s="134">
        <f>'бюджет округа (района)'!J97+'бюджеты поселений'!J97</f>
        <v>0</v>
      </c>
      <c r="R97" s="137">
        <f>'бюджет округа (района)'!J97</f>
        <v>0</v>
      </c>
      <c r="S97" s="137">
        <f t="shared" si="562"/>
        <v>0</v>
      </c>
      <c r="T97" s="137">
        <f t="shared" si="562"/>
        <v>0</v>
      </c>
      <c r="U97" s="134">
        <f>'бюджет округа (района)'!L97+'бюджеты поселений'!L97</f>
        <v>0</v>
      </c>
      <c r="V97" s="137">
        <f>'бюджет округа (района)'!L97</f>
        <v>0</v>
      </c>
      <c r="W97" s="137">
        <f t="shared" si="563"/>
        <v>0</v>
      </c>
      <c r="X97" s="137">
        <f t="shared" si="563"/>
        <v>0</v>
      </c>
      <c r="Y97" s="134">
        <f>'бюджет округа (района)'!N97+'бюджеты поселений'!N97</f>
        <v>0</v>
      </c>
      <c r="Z97" s="137">
        <f>'бюджет округа (района)'!N97</f>
        <v>0</v>
      </c>
      <c r="AA97" s="137">
        <f t="shared" si="564"/>
        <v>0</v>
      </c>
      <c r="AB97" s="137">
        <f t="shared" si="564"/>
        <v>0</v>
      </c>
      <c r="AC97" s="134">
        <f>'бюджет округа (района)'!P97+'бюджеты поселений'!P97</f>
        <v>0</v>
      </c>
      <c r="AD97" s="137">
        <f>'бюджет округа (района)'!P97</f>
        <v>0</v>
      </c>
      <c r="AE97" s="137">
        <f t="shared" si="565"/>
        <v>0</v>
      </c>
      <c r="AF97" s="137">
        <f t="shared" si="565"/>
        <v>0</v>
      </c>
      <c r="AG97" s="134">
        <f>'бюджет округа (района)'!R97+'бюджеты поселений'!R97</f>
        <v>0</v>
      </c>
      <c r="AH97" s="137">
        <f>'бюджет округа (района)'!R97</f>
        <v>0</v>
      </c>
      <c r="AI97" s="137">
        <f t="shared" si="566"/>
        <v>0</v>
      </c>
      <c r="AJ97" s="137">
        <f t="shared" si="566"/>
        <v>0</v>
      </c>
      <c r="AK97" s="134">
        <f>'бюджет округа (района)'!T97+'бюджеты поселений'!T97</f>
        <v>0</v>
      </c>
      <c r="AL97" s="137">
        <f>'бюджет округа (района)'!T97</f>
        <v>0</v>
      </c>
      <c r="AM97" s="137">
        <f t="shared" si="567"/>
        <v>0</v>
      </c>
      <c r="AN97" s="137">
        <f t="shared" si="567"/>
        <v>0</v>
      </c>
      <c r="AO97" s="134">
        <f>'бюджет округа (района)'!V97+'бюджеты поселений'!V97</f>
        <v>0</v>
      </c>
      <c r="AP97" s="137">
        <f>'бюджет округа (района)'!V97</f>
        <v>0</v>
      </c>
      <c r="AQ97" s="137">
        <f t="shared" si="568"/>
        <v>0</v>
      </c>
      <c r="AR97" s="137">
        <f t="shared" si="568"/>
        <v>0</v>
      </c>
      <c r="AS97" s="134">
        <f>'бюджет округа (района)'!X97+'бюджеты поселений'!X97</f>
        <v>0</v>
      </c>
      <c r="AT97" s="137">
        <f>'бюджет округа (района)'!X97</f>
        <v>0</v>
      </c>
      <c r="AU97" s="137">
        <f t="shared" si="569"/>
        <v>0</v>
      </c>
      <c r="AV97" s="137">
        <f t="shared" si="569"/>
        <v>0</v>
      </c>
      <c r="AW97" s="134">
        <f>'бюджет округа (района)'!Z97+'бюджеты поселений'!Z97</f>
        <v>0</v>
      </c>
      <c r="AX97" s="137">
        <f>'бюджет округа (района)'!Z97</f>
        <v>0</v>
      </c>
      <c r="AY97" s="134">
        <f>'бюджет округа (района)'!AA97+'бюджеты поселений'!AA97</f>
        <v>0</v>
      </c>
      <c r="AZ97" s="137">
        <f>'бюджет округа (района)'!AA97</f>
        <v>0</v>
      </c>
      <c r="BA97" s="135">
        <f t="shared" si="581"/>
        <v>1</v>
      </c>
      <c r="BB97" s="135">
        <f t="shared" si="581"/>
        <v>1</v>
      </c>
      <c r="BC97" s="134">
        <f>'бюджет округа (района)'!AC97+'бюджеты поселений'!AC97</f>
        <v>0</v>
      </c>
      <c r="BD97" s="137">
        <f>'бюджет округа (района)'!AC97</f>
        <v>0</v>
      </c>
      <c r="BE97" s="134">
        <f>'бюджет округа (района)'!AD97+'бюджеты поселений'!AD97</f>
        <v>0</v>
      </c>
      <c r="BF97" s="137">
        <f>'бюджет округа (района)'!AD97</f>
        <v>0</v>
      </c>
      <c r="BG97" s="137">
        <f t="shared" si="570"/>
        <v>0</v>
      </c>
      <c r="BH97" s="137">
        <f t="shared" si="570"/>
        <v>0</v>
      </c>
      <c r="BI97" s="135">
        <f t="shared" si="546"/>
        <v>1</v>
      </c>
      <c r="BJ97" s="135">
        <f t="shared" si="546"/>
        <v>1</v>
      </c>
      <c r="BK97" s="134">
        <f>'бюджет округа (района)'!AG97+'бюджеты поселений'!AG97</f>
        <v>0</v>
      </c>
      <c r="BL97" s="137">
        <f>'бюджет округа (района)'!AG97</f>
        <v>0</v>
      </c>
      <c r="BM97" s="137">
        <f t="shared" si="571"/>
        <v>0</v>
      </c>
      <c r="BN97" s="137">
        <f t="shared" si="571"/>
        <v>0</v>
      </c>
      <c r="BO97" s="135">
        <f t="shared" si="547"/>
        <v>1</v>
      </c>
      <c r="BP97" s="135">
        <f t="shared" si="547"/>
        <v>1</v>
      </c>
      <c r="BQ97" s="134">
        <f>'бюджет округа (района)'!AJ97+'бюджеты поселений'!AJ97</f>
        <v>0</v>
      </c>
      <c r="BR97" s="137">
        <f>'бюджет округа (района)'!AJ97</f>
        <v>0</v>
      </c>
      <c r="BS97" s="137">
        <f t="shared" si="572"/>
        <v>0</v>
      </c>
      <c r="BT97" s="137">
        <f t="shared" si="572"/>
        <v>0</v>
      </c>
      <c r="BU97" s="135">
        <f t="shared" si="548"/>
        <v>1</v>
      </c>
      <c r="BV97" s="135">
        <f t="shared" si="548"/>
        <v>1</v>
      </c>
      <c r="BW97" s="134">
        <f>'бюджет округа (района)'!AM97+'бюджеты поселений'!AM97</f>
        <v>0</v>
      </c>
      <c r="BX97" s="137">
        <f>'бюджет округа (района)'!AM97</f>
        <v>0</v>
      </c>
      <c r="BY97" s="137">
        <f t="shared" si="573"/>
        <v>0</v>
      </c>
      <c r="BZ97" s="137">
        <f t="shared" si="573"/>
        <v>0</v>
      </c>
      <c r="CA97" s="135">
        <f t="shared" si="549"/>
        <v>1</v>
      </c>
      <c r="CB97" s="135">
        <f t="shared" si="549"/>
        <v>1</v>
      </c>
      <c r="CC97" s="134">
        <f>'бюджет округа (района)'!AP97+'бюджеты поселений'!AP97</f>
        <v>0</v>
      </c>
      <c r="CD97" s="137">
        <f>'бюджет округа (района)'!AP97</f>
        <v>0</v>
      </c>
      <c r="CE97" s="137">
        <f t="shared" si="574"/>
        <v>0</v>
      </c>
      <c r="CF97" s="137">
        <f t="shared" si="574"/>
        <v>0</v>
      </c>
      <c r="CG97" s="135">
        <f t="shared" si="550"/>
        <v>1</v>
      </c>
      <c r="CH97" s="135">
        <f t="shared" si="550"/>
        <v>1</v>
      </c>
      <c r="CI97" s="134">
        <f>'бюджет округа (района)'!AS97+'бюджеты поселений'!AS97</f>
        <v>0</v>
      </c>
      <c r="CJ97" s="137">
        <f>'бюджет округа (района)'!AS97</f>
        <v>0</v>
      </c>
      <c r="CK97" s="137">
        <f t="shared" si="575"/>
        <v>0</v>
      </c>
      <c r="CL97" s="137">
        <f t="shared" si="575"/>
        <v>0</v>
      </c>
      <c r="CM97" s="135">
        <f t="shared" si="551"/>
        <v>1</v>
      </c>
      <c r="CN97" s="135">
        <f t="shared" si="551"/>
        <v>1</v>
      </c>
      <c r="CO97" s="134">
        <f>'бюджет округа (района)'!AV97+'бюджеты поселений'!AV97</f>
        <v>0</v>
      </c>
      <c r="CP97" s="137">
        <f>'бюджет округа (района)'!AV97</f>
        <v>0</v>
      </c>
      <c r="CQ97" s="137">
        <f t="shared" si="576"/>
        <v>0</v>
      </c>
      <c r="CR97" s="137">
        <f t="shared" si="576"/>
        <v>0</v>
      </c>
      <c r="CS97" s="135">
        <f t="shared" si="552"/>
        <v>1</v>
      </c>
      <c r="CT97" s="135">
        <f t="shared" si="552"/>
        <v>1</v>
      </c>
      <c r="CU97" s="134">
        <f>'бюджет округа (района)'!AY97+'бюджеты поселений'!AY97</f>
        <v>0</v>
      </c>
      <c r="CV97" s="137">
        <f>'бюджет округа (района)'!AY97</f>
        <v>0</v>
      </c>
      <c r="CW97" s="137">
        <f t="shared" si="577"/>
        <v>0</v>
      </c>
      <c r="CX97" s="137">
        <f t="shared" si="577"/>
        <v>0</v>
      </c>
      <c r="CY97" s="135">
        <f t="shared" si="553"/>
        <v>1</v>
      </c>
      <c r="CZ97" s="135">
        <f t="shared" si="553"/>
        <v>1</v>
      </c>
      <c r="DA97" s="134">
        <f>'бюджет округа (района)'!BB97+'бюджеты поселений'!BB97</f>
        <v>0</v>
      </c>
      <c r="DB97" s="137">
        <f>'бюджет округа (района)'!BB97</f>
        <v>0</v>
      </c>
      <c r="DC97" s="137">
        <f t="shared" si="578"/>
        <v>0</v>
      </c>
      <c r="DD97" s="137">
        <f t="shared" si="578"/>
        <v>0</v>
      </c>
      <c r="DE97" s="135">
        <f t="shared" si="554"/>
        <v>1</v>
      </c>
      <c r="DF97" s="135">
        <f t="shared" si="554"/>
        <v>1</v>
      </c>
      <c r="DG97" s="134">
        <f>'бюджет округа (района)'!BE97+'бюджеты поселений'!BE97</f>
        <v>0</v>
      </c>
      <c r="DH97" s="137">
        <f>'бюджет округа (района)'!BE97</f>
        <v>0</v>
      </c>
      <c r="DI97" s="137">
        <f t="shared" si="579"/>
        <v>0</v>
      </c>
      <c r="DJ97" s="137">
        <f t="shared" si="579"/>
        <v>0</v>
      </c>
      <c r="DK97" s="135">
        <f t="shared" si="555"/>
        <v>1</v>
      </c>
      <c r="DL97" s="135">
        <f t="shared" si="555"/>
        <v>1</v>
      </c>
      <c r="DM97" s="134">
        <f>'бюджет округа (района)'!BH97+'бюджеты поселений'!BH97</f>
        <v>0</v>
      </c>
      <c r="DN97" s="137">
        <f>'бюджет округа (района)'!BH97</f>
        <v>0</v>
      </c>
      <c r="DO97" s="134">
        <f>'бюджет округа (района)'!BI97+'бюджеты поселений'!BI97</f>
        <v>0</v>
      </c>
      <c r="DP97" s="137">
        <f>'бюджет округа (района)'!BI97</f>
        <v>0</v>
      </c>
      <c r="DQ97" s="134">
        <f>'бюджет округа (района)'!BJ97+'бюджеты поселений'!BJ97</f>
        <v>0</v>
      </c>
      <c r="DR97" s="137">
        <f>'бюджет округа (района)'!BJ97</f>
        <v>0</v>
      </c>
      <c r="DS97" s="135">
        <f t="shared" ref="DS97:DS100" si="584">IF($AY$96=0,1,DQ97/$AY$96-1)</f>
        <v>1</v>
      </c>
      <c r="DT97" s="135">
        <f t="shared" ref="DT97:DT100" si="585">IF($AZ$96=0,1,DR97/$AZ$96-1)</f>
        <v>1</v>
      </c>
      <c r="DU97" s="135">
        <f t="shared" si="557"/>
        <v>1</v>
      </c>
      <c r="DV97" s="135">
        <f t="shared" si="558"/>
        <v>1</v>
      </c>
      <c r="DW97" s="167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05"/>
      <c r="HH97" s="105"/>
      <c r="HI97" s="105"/>
      <c r="HJ97" s="105"/>
      <c r="HK97" s="105"/>
      <c r="HL97" s="105"/>
      <c r="HM97" s="105"/>
      <c r="HN97" s="105"/>
      <c r="HO97" s="105"/>
      <c r="HP97" s="105"/>
      <c r="HQ97" s="105"/>
      <c r="HR97" s="105"/>
      <c r="HS97" s="105"/>
      <c r="HT97" s="105"/>
      <c r="HU97" s="105"/>
      <c r="HV97" s="105"/>
      <c r="HW97" s="105"/>
      <c r="HX97" s="105"/>
      <c r="HY97" s="105"/>
      <c r="HZ97" s="105"/>
      <c r="IA97" s="105"/>
      <c r="IB97" s="105"/>
      <c r="IC97" s="105"/>
      <c r="ID97" s="105"/>
      <c r="IE97" s="105"/>
      <c r="IF97" s="105"/>
      <c r="IG97" s="105"/>
      <c r="IH97" s="105"/>
      <c r="II97" s="105"/>
      <c r="IJ97" s="105"/>
      <c r="IK97" s="105"/>
      <c r="IL97" s="105"/>
      <c r="IM97" s="105"/>
      <c r="IN97" s="105"/>
      <c r="IO97" s="105"/>
      <c r="IP97" s="105"/>
      <c r="IQ97" s="105"/>
      <c r="IR97" s="105"/>
      <c r="IS97" s="105"/>
      <c r="IT97" s="105"/>
      <c r="IU97" s="105"/>
      <c r="IV97" s="105"/>
      <c r="IW97" s="105"/>
      <c r="IX97" s="105"/>
      <c r="IY97" s="105"/>
      <c r="IZ97" s="105"/>
      <c r="JA97" s="105"/>
      <c r="JB97" s="105"/>
      <c r="JC97" s="105"/>
      <c r="JD97" s="105"/>
      <c r="JE97" s="105"/>
      <c r="JF97" s="105"/>
      <c r="JG97" s="105"/>
      <c r="JH97" s="105"/>
    </row>
    <row r="98" spans="1:268" s="106" customFormat="1" ht="18" customHeight="1">
      <c r="A98" s="292" t="s">
        <v>34</v>
      </c>
      <c r="B98" s="293"/>
      <c r="C98" s="134">
        <f>'бюджет округа (района)'!C98+'бюджеты поселений'!C98</f>
        <v>0</v>
      </c>
      <c r="D98" s="137">
        <f>'бюджет округа (района)'!C98</f>
        <v>0</v>
      </c>
      <c r="E98" s="134">
        <f t="shared" si="583"/>
        <v>0</v>
      </c>
      <c r="F98" s="137">
        <f t="shared" si="583"/>
        <v>0</v>
      </c>
      <c r="G98" s="134">
        <f>'бюджет округа (района)'!E98+'бюджеты поселений'!E98</f>
        <v>0</v>
      </c>
      <c r="H98" s="137">
        <f>'бюджет округа (района)'!E98</f>
        <v>0</v>
      </c>
      <c r="I98" s="134">
        <f>'бюджет округа (района)'!F98+'бюджеты поселений'!F98</f>
        <v>0</v>
      </c>
      <c r="J98" s="137">
        <f>'бюджет округа (района)'!F98</f>
        <v>0</v>
      </c>
      <c r="K98" s="137">
        <f t="shared" si="560"/>
        <v>0</v>
      </c>
      <c r="L98" s="137">
        <f t="shared" si="560"/>
        <v>0</v>
      </c>
      <c r="M98" s="134">
        <f>'бюджет округа (района)'!H98+'бюджеты поселений'!H98</f>
        <v>0</v>
      </c>
      <c r="N98" s="137">
        <f>'бюджет округа (района)'!H98</f>
        <v>0</v>
      </c>
      <c r="O98" s="137">
        <f t="shared" si="561"/>
        <v>0</v>
      </c>
      <c r="P98" s="137">
        <f t="shared" si="561"/>
        <v>0</v>
      </c>
      <c r="Q98" s="134">
        <f>'бюджет округа (района)'!J98+'бюджеты поселений'!J98</f>
        <v>0</v>
      </c>
      <c r="R98" s="137">
        <f>'бюджет округа (района)'!J98</f>
        <v>0</v>
      </c>
      <c r="S98" s="137">
        <f t="shared" si="562"/>
        <v>0</v>
      </c>
      <c r="T98" s="137">
        <f t="shared" si="562"/>
        <v>0</v>
      </c>
      <c r="U98" s="134">
        <f>'бюджет округа (района)'!L98+'бюджеты поселений'!L98</f>
        <v>0</v>
      </c>
      <c r="V98" s="137">
        <f>'бюджет округа (района)'!L98</f>
        <v>0</v>
      </c>
      <c r="W98" s="137">
        <f t="shared" si="563"/>
        <v>0</v>
      </c>
      <c r="X98" s="137">
        <f t="shared" si="563"/>
        <v>0</v>
      </c>
      <c r="Y98" s="134">
        <f>'бюджет округа (района)'!N98+'бюджеты поселений'!N98</f>
        <v>0</v>
      </c>
      <c r="Z98" s="137">
        <f>'бюджет округа (района)'!N98</f>
        <v>0</v>
      </c>
      <c r="AA98" s="137">
        <f t="shared" si="564"/>
        <v>0</v>
      </c>
      <c r="AB98" s="137">
        <f t="shared" si="564"/>
        <v>0</v>
      </c>
      <c r="AC98" s="134">
        <f>'бюджет округа (района)'!P98+'бюджеты поселений'!P98</f>
        <v>0</v>
      </c>
      <c r="AD98" s="137">
        <f>'бюджет округа (района)'!P98</f>
        <v>0</v>
      </c>
      <c r="AE98" s="137">
        <f t="shared" si="565"/>
        <v>0</v>
      </c>
      <c r="AF98" s="137">
        <f t="shared" si="565"/>
        <v>0</v>
      </c>
      <c r="AG98" s="134">
        <f>'бюджет округа (района)'!R98+'бюджеты поселений'!R98</f>
        <v>0</v>
      </c>
      <c r="AH98" s="137">
        <f>'бюджет округа (района)'!R98</f>
        <v>0</v>
      </c>
      <c r="AI98" s="137">
        <f t="shared" si="566"/>
        <v>0</v>
      </c>
      <c r="AJ98" s="137">
        <f t="shared" si="566"/>
        <v>0</v>
      </c>
      <c r="AK98" s="134">
        <f>'бюджет округа (района)'!T98+'бюджеты поселений'!T98</f>
        <v>0</v>
      </c>
      <c r="AL98" s="137">
        <f>'бюджет округа (района)'!T98</f>
        <v>0</v>
      </c>
      <c r="AM98" s="137">
        <f t="shared" si="567"/>
        <v>0</v>
      </c>
      <c r="AN98" s="137">
        <f t="shared" si="567"/>
        <v>0</v>
      </c>
      <c r="AO98" s="134">
        <f>'бюджет округа (района)'!V98+'бюджеты поселений'!V98</f>
        <v>0</v>
      </c>
      <c r="AP98" s="137">
        <f>'бюджет округа (района)'!V98</f>
        <v>0</v>
      </c>
      <c r="AQ98" s="137">
        <f t="shared" si="568"/>
        <v>0</v>
      </c>
      <c r="AR98" s="137">
        <f t="shared" si="568"/>
        <v>0</v>
      </c>
      <c r="AS98" s="134">
        <f>'бюджет округа (района)'!X98+'бюджеты поселений'!X98</f>
        <v>0</v>
      </c>
      <c r="AT98" s="137">
        <f>'бюджет округа (района)'!X98</f>
        <v>0</v>
      </c>
      <c r="AU98" s="137">
        <f t="shared" si="569"/>
        <v>0</v>
      </c>
      <c r="AV98" s="137">
        <f t="shared" si="569"/>
        <v>0</v>
      </c>
      <c r="AW98" s="134">
        <f>'бюджет округа (района)'!Z98+'бюджеты поселений'!Z98</f>
        <v>0</v>
      </c>
      <c r="AX98" s="137">
        <f>'бюджет округа (района)'!Z98</f>
        <v>0</v>
      </c>
      <c r="AY98" s="134">
        <f>'бюджет округа (района)'!AA98+'бюджеты поселений'!AA98</f>
        <v>0</v>
      </c>
      <c r="AZ98" s="137">
        <f>'бюджет округа (района)'!AA98</f>
        <v>0</v>
      </c>
      <c r="BA98" s="135">
        <f t="shared" si="581"/>
        <v>1</v>
      </c>
      <c r="BB98" s="135">
        <f t="shared" si="581"/>
        <v>1</v>
      </c>
      <c r="BC98" s="134">
        <f>'бюджет округа (района)'!AC98+'бюджеты поселений'!AC98</f>
        <v>0</v>
      </c>
      <c r="BD98" s="137">
        <f>'бюджет округа (района)'!AC98</f>
        <v>0</v>
      </c>
      <c r="BE98" s="134">
        <f>'бюджет округа (района)'!AD98+'бюджеты поселений'!AD98</f>
        <v>0</v>
      </c>
      <c r="BF98" s="137">
        <f>'бюджет округа (района)'!AD98</f>
        <v>0</v>
      </c>
      <c r="BG98" s="137">
        <f t="shared" si="570"/>
        <v>0</v>
      </c>
      <c r="BH98" s="137">
        <f t="shared" si="570"/>
        <v>0</v>
      </c>
      <c r="BI98" s="135">
        <f t="shared" si="546"/>
        <v>1</v>
      </c>
      <c r="BJ98" s="135">
        <f t="shared" si="546"/>
        <v>1</v>
      </c>
      <c r="BK98" s="134">
        <f>'бюджет округа (района)'!AG98+'бюджеты поселений'!AG98</f>
        <v>0</v>
      </c>
      <c r="BL98" s="137">
        <f>'бюджет округа (района)'!AG98</f>
        <v>0</v>
      </c>
      <c r="BM98" s="137">
        <f t="shared" si="571"/>
        <v>0</v>
      </c>
      <c r="BN98" s="137">
        <f t="shared" si="571"/>
        <v>0</v>
      </c>
      <c r="BO98" s="135">
        <f t="shared" si="547"/>
        <v>1</v>
      </c>
      <c r="BP98" s="135">
        <f t="shared" si="547"/>
        <v>1</v>
      </c>
      <c r="BQ98" s="134">
        <f>'бюджет округа (района)'!AJ98+'бюджеты поселений'!AJ98</f>
        <v>0</v>
      </c>
      <c r="BR98" s="137">
        <f>'бюджет округа (района)'!AJ98</f>
        <v>0</v>
      </c>
      <c r="BS98" s="137">
        <f t="shared" si="572"/>
        <v>0</v>
      </c>
      <c r="BT98" s="137">
        <f t="shared" si="572"/>
        <v>0</v>
      </c>
      <c r="BU98" s="135">
        <f t="shared" si="548"/>
        <v>1</v>
      </c>
      <c r="BV98" s="135">
        <f t="shared" si="548"/>
        <v>1</v>
      </c>
      <c r="BW98" s="134">
        <f>'бюджет округа (района)'!AM98+'бюджеты поселений'!AM98</f>
        <v>0</v>
      </c>
      <c r="BX98" s="137">
        <f>'бюджет округа (района)'!AM98</f>
        <v>0</v>
      </c>
      <c r="BY98" s="137">
        <f t="shared" si="573"/>
        <v>0</v>
      </c>
      <c r="BZ98" s="137">
        <f t="shared" si="573"/>
        <v>0</v>
      </c>
      <c r="CA98" s="135">
        <f t="shared" si="549"/>
        <v>1</v>
      </c>
      <c r="CB98" s="135">
        <f t="shared" si="549"/>
        <v>1</v>
      </c>
      <c r="CC98" s="134">
        <f>'бюджет округа (района)'!AP98+'бюджеты поселений'!AP98</f>
        <v>0</v>
      </c>
      <c r="CD98" s="137">
        <f>'бюджет округа (района)'!AP98</f>
        <v>0</v>
      </c>
      <c r="CE98" s="137">
        <f t="shared" si="574"/>
        <v>0</v>
      </c>
      <c r="CF98" s="137">
        <f t="shared" si="574"/>
        <v>0</v>
      </c>
      <c r="CG98" s="135">
        <f t="shared" si="550"/>
        <v>1</v>
      </c>
      <c r="CH98" s="135">
        <f t="shared" si="550"/>
        <v>1</v>
      </c>
      <c r="CI98" s="134">
        <f>'бюджет округа (района)'!AS98+'бюджеты поселений'!AS98</f>
        <v>0</v>
      </c>
      <c r="CJ98" s="137">
        <f>'бюджет округа (района)'!AS98</f>
        <v>0</v>
      </c>
      <c r="CK98" s="137">
        <f t="shared" si="575"/>
        <v>0</v>
      </c>
      <c r="CL98" s="137">
        <f t="shared" si="575"/>
        <v>0</v>
      </c>
      <c r="CM98" s="135">
        <f t="shared" si="551"/>
        <v>1</v>
      </c>
      <c r="CN98" s="135">
        <f t="shared" si="551"/>
        <v>1</v>
      </c>
      <c r="CO98" s="134">
        <f>'бюджет округа (района)'!AV98+'бюджеты поселений'!AV98</f>
        <v>0</v>
      </c>
      <c r="CP98" s="137">
        <f>'бюджет округа (района)'!AV98</f>
        <v>0</v>
      </c>
      <c r="CQ98" s="137">
        <f t="shared" si="576"/>
        <v>0</v>
      </c>
      <c r="CR98" s="137">
        <f t="shared" si="576"/>
        <v>0</v>
      </c>
      <c r="CS98" s="135">
        <f t="shared" si="552"/>
        <v>1</v>
      </c>
      <c r="CT98" s="135">
        <f t="shared" si="552"/>
        <v>1</v>
      </c>
      <c r="CU98" s="134">
        <f>'бюджет округа (района)'!AY98+'бюджеты поселений'!AY98</f>
        <v>0</v>
      </c>
      <c r="CV98" s="137">
        <f>'бюджет округа (района)'!AY98</f>
        <v>0</v>
      </c>
      <c r="CW98" s="137">
        <f t="shared" si="577"/>
        <v>0</v>
      </c>
      <c r="CX98" s="137">
        <f t="shared" si="577"/>
        <v>0</v>
      </c>
      <c r="CY98" s="135">
        <f t="shared" si="553"/>
        <v>1</v>
      </c>
      <c r="CZ98" s="135">
        <f t="shared" si="553"/>
        <v>1</v>
      </c>
      <c r="DA98" s="134">
        <f>'бюджет округа (района)'!BB98+'бюджеты поселений'!BB98</f>
        <v>0</v>
      </c>
      <c r="DB98" s="137">
        <f>'бюджет округа (района)'!BB98</f>
        <v>0</v>
      </c>
      <c r="DC98" s="137">
        <f t="shared" si="578"/>
        <v>0</v>
      </c>
      <c r="DD98" s="137">
        <f t="shared" si="578"/>
        <v>0</v>
      </c>
      <c r="DE98" s="135">
        <f t="shared" si="554"/>
        <v>1</v>
      </c>
      <c r="DF98" s="135">
        <f t="shared" si="554"/>
        <v>1</v>
      </c>
      <c r="DG98" s="134">
        <f>'бюджет округа (района)'!BE98+'бюджеты поселений'!BE98</f>
        <v>0</v>
      </c>
      <c r="DH98" s="137">
        <f>'бюджет округа (района)'!BE98</f>
        <v>0</v>
      </c>
      <c r="DI98" s="137">
        <f t="shared" si="579"/>
        <v>0</v>
      </c>
      <c r="DJ98" s="137">
        <f t="shared" si="579"/>
        <v>0</v>
      </c>
      <c r="DK98" s="135">
        <f t="shared" si="555"/>
        <v>1</v>
      </c>
      <c r="DL98" s="135">
        <f t="shared" si="555"/>
        <v>1</v>
      </c>
      <c r="DM98" s="134">
        <f>'бюджет округа (района)'!BH98+'бюджеты поселений'!BH98</f>
        <v>0</v>
      </c>
      <c r="DN98" s="137">
        <f>'бюджет округа (района)'!BH98</f>
        <v>0</v>
      </c>
      <c r="DO98" s="134">
        <f>'бюджет округа (района)'!BI98+'бюджеты поселений'!BI98</f>
        <v>0</v>
      </c>
      <c r="DP98" s="137">
        <f>'бюджет округа (района)'!BI98</f>
        <v>0</v>
      </c>
      <c r="DQ98" s="134">
        <f>'бюджет округа (района)'!BJ98+'бюджеты поселений'!BJ98</f>
        <v>0</v>
      </c>
      <c r="DR98" s="137">
        <f>'бюджет округа (района)'!BJ98</f>
        <v>0</v>
      </c>
      <c r="DS98" s="135">
        <f t="shared" si="584"/>
        <v>1</v>
      </c>
      <c r="DT98" s="135">
        <f t="shared" si="585"/>
        <v>1</v>
      </c>
      <c r="DU98" s="135">
        <f t="shared" si="557"/>
        <v>1</v>
      </c>
      <c r="DV98" s="135">
        <f t="shared" si="558"/>
        <v>1</v>
      </c>
      <c r="DW98" s="167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  <c r="GY98" s="105"/>
      <c r="GZ98" s="105"/>
      <c r="HA98" s="105"/>
      <c r="HB98" s="105"/>
      <c r="HC98" s="105"/>
      <c r="HD98" s="105"/>
      <c r="HE98" s="105"/>
      <c r="HF98" s="105"/>
      <c r="HG98" s="105"/>
      <c r="HH98" s="105"/>
      <c r="HI98" s="105"/>
      <c r="HJ98" s="105"/>
      <c r="HK98" s="105"/>
      <c r="HL98" s="105"/>
      <c r="HM98" s="105"/>
      <c r="HN98" s="105"/>
      <c r="HO98" s="105"/>
      <c r="HP98" s="105"/>
      <c r="HQ98" s="105"/>
      <c r="HR98" s="105"/>
      <c r="HS98" s="105"/>
      <c r="HT98" s="105"/>
      <c r="HU98" s="105"/>
      <c r="HV98" s="105"/>
      <c r="HW98" s="105"/>
      <c r="HX98" s="105"/>
      <c r="HY98" s="105"/>
      <c r="HZ98" s="105"/>
      <c r="IA98" s="105"/>
      <c r="IB98" s="105"/>
      <c r="IC98" s="105"/>
      <c r="ID98" s="105"/>
      <c r="IE98" s="105"/>
      <c r="IF98" s="105"/>
      <c r="IG98" s="105"/>
      <c r="IH98" s="105"/>
      <c r="II98" s="105"/>
      <c r="IJ98" s="105"/>
      <c r="IK98" s="105"/>
      <c r="IL98" s="105"/>
      <c r="IM98" s="105"/>
      <c r="IN98" s="105"/>
      <c r="IO98" s="105"/>
      <c r="IP98" s="105"/>
      <c r="IQ98" s="105"/>
      <c r="IR98" s="105"/>
      <c r="IS98" s="105"/>
      <c r="IT98" s="105"/>
      <c r="IU98" s="105"/>
      <c r="IV98" s="105"/>
      <c r="IW98" s="105"/>
      <c r="IX98" s="105"/>
      <c r="IY98" s="105"/>
      <c r="IZ98" s="105"/>
      <c r="JA98" s="105"/>
      <c r="JB98" s="105"/>
      <c r="JC98" s="105"/>
      <c r="JD98" s="105"/>
      <c r="JE98" s="105"/>
      <c r="JF98" s="105"/>
      <c r="JG98" s="105"/>
      <c r="JH98" s="105"/>
    </row>
    <row r="99" spans="1:268" s="106" customFormat="1" ht="18" customHeight="1">
      <c r="A99" s="292" t="s">
        <v>34</v>
      </c>
      <c r="B99" s="293"/>
      <c r="C99" s="134">
        <f>'бюджет округа (района)'!C99+'бюджеты поселений'!C99</f>
        <v>0</v>
      </c>
      <c r="D99" s="137">
        <f>'бюджет округа (района)'!C99</f>
        <v>0</v>
      </c>
      <c r="E99" s="134">
        <f t="shared" si="583"/>
        <v>0</v>
      </c>
      <c r="F99" s="137">
        <f t="shared" si="583"/>
        <v>0</v>
      </c>
      <c r="G99" s="134">
        <f>'бюджет округа (района)'!E99+'бюджеты поселений'!E99</f>
        <v>0</v>
      </c>
      <c r="H99" s="137">
        <f>'бюджет округа (района)'!E99</f>
        <v>0</v>
      </c>
      <c r="I99" s="134">
        <f>'бюджет округа (района)'!F99+'бюджеты поселений'!F99</f>
        <v>0</v>
      </c>
      <c r="J99" s="137">
        <f>'бюджет округа (района)'!F99</f>
        <v>0</v>
      </c>
      <c r="K99" s="137">
        <f t="shared" si="560"/>
        <v>0</v>
      </c>
      <c r="L99" s="137">
        <f t="shared" si="560"/>
        <v>0</v>
      </c>
      <c r="M99" s="134">
        <f>'бюджет округа (района)'!H99+'бюджеты поселений'!H99</f>
        <v>0</v>
      </c>
      <c r="N99" s="137">
        <f>'бюджет округа (района)'!H99</f>
        <v>0</v>
      </c>
      <c r="O99" s="137">
        <f t="shared" si="561"/>
        <v>0</v>
      </c>
      <c r="P99" s="137">
        <f t="shared" si="561"/>
        <v>0</v>
      </c>
      <c r="Q99" s="134">
        <f>'бюджет округа (района)'!J99+'бюджеты поселений'!J99</f>
        <v>0</v>
      </c>
      <c r="R99" s="137">
        <f>'бюджет округа (района)'!J99</f>
        <v>0</v>
      </c>
      <c r="S99" s="137">
        <f t="shared" si="562"/>
        <v>0</v>
      </c>
      <c r="T99" s="137">
        <f t="shared" si="562"/>
        <v>0</v>
      </c>
      <c r="U99" s="134">
        <f>'бюджет округа (района)'!L99+'бюджеты поселений'!L99</f>
        <v>0</v>
      </c>
      <c r="V99" s="137">
        <f>'бюджет округа (района)'!L99</f>
        <v>0</v>
      </c>
      <c r="W99" s="137">
        <f t="shared" si="563"/>
        <v>0</v>
      </c>
      <c r="X99" s="137">
        <f t="shared" si="563"/>
        <v>0</v>
      </c>
      <c r="Y99" s="134">
        <f>'бюджет округа (района)'!N99+'бюджеты поселений'!N99</f>
        <v>0</v>
      </c>
      <c r="Z99" s="137">
        <f>'бюджет округа (района)'!N99</f>
        <v>0</v>
      </c>
      <c r="AA99" s="137">
        <f t="shared" si="564"/>
        <v>0</v>
      </c>
      <c r="AB99" s="137">
        <f t="shared" si="564"/>
        <v>0</v>
      </c>
      <c r="AC99" s="134">
        <f>'бюджет округа (района)'!P99+'бюджеты поселений'!P99</f>
        <v>0</v>
      </c>
      <c r="AD99" s="137">
        <f>'бюджет округа (района)'!P99</f>
        <v>0</v>
      </c>
      <c r="AE99" s="137">
        <f t="shared" si="565"/>
        <v>0</v>
      </c>
      <c r="AF99" s="137">
        <f t="shared" si="565"/>
        <v>0</v>
      </c>
      <c r="AG99" s="134">
        <f>'бюджет округа (района)'!R99+'бюджеты поселений'!R99</f>
        <v>0</v>
      </c>
      <c r="AH99" s="137">
        <f>'бюджет округа (района)'!R99</f>
        <v>0</v>
      </c>
      <c r="AI99" s="137">
        <f t="shared" si="566"/>
        <v>0</v>
      </c>
      <c r="AJ99" s="137">
        <f t="shared" si="566"/>
        <v>0</v>
      </c>
      <c r="AK99" s="134">
        <f>'бюджет округа (района)'!T99+'бюджеты поселений'!T99</f>
        <v>0</v>
      </c>
      <c r="AL99" s="137">
        <f>'бюджет округа (района)'!T99</f>
        <v>0</v>
      </c>
      <c r="AM99" s="137">
        <f t="shared" si="567"/>
        <v>0</v>
      </c>
      <c r="AN99" s="137">
        <f t="shared" si="567"/>
        <v>0</v>
      </c>
      <c r="AO99" s="134">
        <f>'бюджет округа (района)'!V99+'бюджеты поселений'!V99</f>
        <v>0</v>
      </c>
      <c r="AP99" s="137">
        <f>'бюджет округа (района)'!V99</f>
        <v>0</v>
      </c>
      <c r="AQ99" s="137">
        <f t="shared" si="568"/>
        <v>0</v>
      </c>
      <c r="AR99" s="137">
        <f t="shared" si="568"/>
        <v>0</v>
      </c>
      <c r="AS99" s="134">
        <f>'бюджет округа (района)'!X99+'бюджеты поселений'!X99</f>
        <v>0</v>
      </c>
      <c r="AT99" s="137">
        <f>'бюджет округа (района)'!X99</f>
        <v>0</v>
      </c>
      <c r="AU99" s="137">
        <f t="shared" si="569"/>
        <v>0</v>
      </c>
      <c r="AV99" s="137">
        <f t="shared" si="569"/>
        <v>0</v>
      </c>
      <c r="AW99" s="134">
        <f>'бюджет округа (района)'!Z99+'бюджеты поселений'!Z99</f>
        <v>0</v>
      </c>
      <c r="AX99" s="137">
        <f>'бюджет округа (района)'!Z99</f>
        <v>0</v>
      </c>
      <c r="AY99" s="134">
        <f>'бюджет округа (района)'!AA99+'бюджеты поселений'!AA99</f>
        <v>0</v>
      </c>
      <c r="AZ99" s="137">
        <f>'бюджет округа (района)'!AA99</f>
        <v>0</v>
      </c>
      <c r="BA99" s="135">
        <f t="shared" si="581"/>
        <v>1</v>
      </c>
      <c r="BB99" s="135">
        <f t="shared" si="581"/>
        <v>1</v>
      </c>
      <c r="BC99" s="134">
        <f>'бюджет округа (района)'!AC99+'бюджеты поселений'!AC99</f>
        <v>0</v>
      </c>
      <c r="BD99" s="137">
        <f>'бюджет округа (района)'!AC99</f>
        <v>0</v>
      </c>
      <c r="BE99" s="134">
        <f>'бюджет округа (района)'!AD99+'бюджеты поселений'!AD99</f>
        <v>0</v>
      </c>
      <c r="BF99" s="137">
        <f>'бюджет округа (района)'!AD99</f>
        <v>0</v>
      </c>
      <c r="BG99" s="137">
        <f t="shared" si="570"/>
        <v>0</v>
      </c>
      <c r="BH99" s="137">
        <f t="shared" si="570"/>
        <v>0</v>
      </c>
      <c r="BI99" s="135">
        <f t="shared" si="546"/>
        <v>1</v>
      </c>
      <c r="BJ99" s="135">
        <f t="shared" si="546"/>
        <v>1</v>
      </c>
      <c r="BK99" s="134">
        <f>'бюджет округа (района)'!AG99+'бюджеты поселений'!AG99</f>
        <v>0</v>
      </c>
      <c r="BL99" s="137">
        <f>'бюджет округа (района)'!AG99</f>
        <v>0</v>
      </c>
      <c r="BM99" s="137">
        <f t="shared" si="571"/>
        <v>0</v>
      </c>
      <c r="BN99" s="137">
        <f t="shared" si="571"/>
        <v>0</v>
      </c>
      <c r="BO99" s="135">
        <f t="shared" si="547"/>
        <v>1</v>
      </c>
      <c r="BP99" s="135">
        <f t="shared" si="547"/>
        <v>1</v>
      </c>
      <c r="BQ99" s="134">
        <f>'бюджет округа (района)'!AJ99+'бюджеты поселений'!AJ99</f>
        <v>0</v>
      </c>
      <c r="BR99" s="137">
        <f>'бюджет округа (района)'!AJ99</f>
        <v>0</v>
      </c>
      <c r="BS99" s="137">
        <f t="shared" si="572"/>
        <v>0</v>
      </c>
      <c r="BT99" s="137">
        <f t="shared" si="572"/>
        <v>0</v>
      </c>
      <c r="BU99" s="135">
        <f t="shared" si="548"/>
        <v>1</v>
      </c>
      <c r="BV99" s="135">
        <f t="shared" si="548"/>
        <v>1</v>
      </c>
      <c r="BW99" s="134">
        <f>'бюджет округа (района)'!AM99+'бюджеты поселений'!AM99</f>
        <v>0</v>
      </c>
      <c r="BX99" s="137">
        <f>'бюджет округа (района)'!AM99</f>
        <v>0</v>
      </c>
      <c r="BY99" s="137">
        <f t="shared" si="573"/>
        <v>0</v>
      </c>
      <c r="BZ99" s="137">
        <f t="shared" si="573"/>
        <v>0</v>
      </c>
      <c r="CA99" s="135">
        <f t="shared" si="549"/>
        <v>1</v>
      </c>
      <c r="CB99" s="135">
        <f t="shared" si="549"/>
        <v>1</v>
      </c>
      <c r="CC99" s="134">
        <f>'бюджет округа (района)'!AP99+'бюджеты поселений'!AP99</f>
        <v>0</v>
      </c>
      <c r="CD99" s="137">
        <f>'бюджет округа (района)'!AP99</f>
        <v>0</v>
      </c>
      <c r="CE99" s="137">
        <f t="shared" si="574"/>
        <v>0</v>
      </c>
      <c r="CF99" s="137">
        <f t="shared" si="574"/>
        <v>0</v>
      </c>
      <c r="CG99" s="135">
        <f t="shared" si="550"/>
        <v>1</v>
      </c>
      <c r="CH99" s="135">
        <f t="shared" si="550"/>
        <v>1</v>
      </c>
      <c r="CI99" s="134">
        <f>'бюджет округа (района)'!AS99+'бюджеты поселений'!AS99</f>
        <v>0</v>
      </c>
      <c r="CJ99" s="137">
        <f>'бюджет округа (района)'!AS99</f>
        <v>0</v>
      </c>
      <c r="CK99" s="137">
        <f t="shared" si="575"/>
        <v>0</v>
      </c>
      <c r="CL99" s="137">
        <f t="shared" si="575"/>
        <v>0</v>
      </c>
      <c r="CM99" s="135">
        <f t="shared" si="551"/>
        <v>1</v>
      </c>
      <c r="CN99" s="135">
        <f t="shared" si="551"/>
        <v>1</v>
      </c>
      <c r="CO99" s="134">
        <f>'бюджет округа (района)'!AV99+'бюджеты поселений'!AV99</f>
        <v>0</v>
      </c>
      <c r="CP99" s="137">
        <f>'бюджет округа (района)'!AV99</f>
        <v>0</v>
      </c>
      <c r="CQ99" s="137">
        <f t="shared" si="576"/>
        <v>0</v>
      </c>
      <c r="CR99" s="137">
        <f t="shared" si="576"/>
        <v>0</v>
      </c>
      <c r="CS99" s="135">
        <f t="shared" si="552"/>
        <v>1</v>
      </c>
      <c r="CT99" s="135">
        <f t="shared" si="552"/>
        <v>1</v>
      </c>
      <c r="CU99" s="134">
        <f>'бюджет округа (района)'!AY99+'бюджеты поселений'!AY99</f>
        <v>0</v>
      </c>
      <c r="CV99" s="137">
        <f>'бюджет округа (района)'!AY99</f>
        <v>0</v>
      </c>
      <c r="CW99" s="137">
        <f t="shared" si="577"/>
        <v>0</v>
      </c>
      <c r="CX99" s="137">
        <f t="shared" si="577"/>
        <v>0</v>
      </c>
      <c r="CY99" s="135">
        <f t="shared" si="553"/>
        <v>1</v>
      </c>
      <c r="CZ99" s="135">
        <f t="shared" si="553"/>
        <v>1</v>
      </c>
      <c r="DA99" s="134">
        <f>'бюджет округа (района)'!BB99+'бюджеты поселений'!BB99</f>
        <v>0</v>
      </c>
      <c r="DB99" s="137">
        <f>'бюджет округа (района)'!BB99</f>
        <v>0</v>
      </c>
      <c r="DC99" s="137">
        <f t="shared" si="578"/>
        <v>0</v>
      </c>
      <c r="DD99" s="137">
        <f t="shared" si="578"/>
        <v>0</v>
      </c>
      <c r="DE99" s="135">
        <f t="shared" si="554"/>
        <v>1</v>
      </c>
      <c r="DF99" s="135">
        <f t="shared" si="554"/>
        <v>1</v>
      </c>
      <c r="DG99" s="134">
        <f>'бюджет округа (района)'!BE99+'бюджеты поселений'!BE99</f>
        <v>0</v>
      </c>
      <c r="DH99" s="137">
        <f>'бюджет округа (района)'!BE99</f>
        <v>0</v>
      </c>
      <c r="DI99" s="137">
        <f t="shared" si="579"/>
        <v>0</v>
      </c>
      <c r="DJ99" s="137">
        <f t="shared" si="579"/>
        <v>0</v>
      </c>
      <c r="DK99" s="135">
        <f t="shared" si="555"/>
        <v>1</v>
      </c>
      <c r="DL99" s="135">
        <f t="shared" si="555"/>
        <v>1</v>
      </c>
      <c r="DM99" s="134">
        <f>'бюджет округа (района)'!BH99+'бюджеты поселений'!BH99</f>
        <v>0</v>
      </c>
      <c r="DN99" s="137">
        <f>'бюджет округа (района)'!BH99</f>
        <v>0</v>
      </c>
      <c r="DO99" s="134">
        <f>'бюджет округа (района)'!BI99+'бюджеты поселений'!BI99</f>
        <v>0</v>
      </c>
      <c r="DP99" s="137">
        <f>'бюджет округа (района)'!BI99</f>
        <v>0</v>
      </c>
      <c r="DQ99" s="134">
        <f>'бюджет округа (района)'!BJ99+'бюджеты поселений'!BJ99</f>
        <v>0</v>
      </c>
      <c r="DR99" s="137">
        <f>'бюджет округа (района)'!BJ99</f>
        <v>0</v>
      </c>
      <c r="DS99" s="135">
        <f t="shared" si="584"/>
        <v>1</v>
      </c>
      <c r="DT99" s="135">
        <f t="shared" si="585"/>
        <v>1</v>
      </c>
      <c r="DU99" s="135">
        <f t="shared" si="557"/>
        <v>1</v>
      </c>
      <c r="DV99" s="135">
        <f t="shared" si="558"/>
        <v>1</v>
      </c>
      <c r="DW99" s="167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  <c r="GY99" s="105"/>
      <c r="GZ99" s="105"/>
      <c r="HA99" s="105"/>
      <c r="HB99" s="105"/>
      <c r="HC99" s="105"/>
      <c r="HD99" s="105"/>
      <c r="HE99" s="105"/>
      <c r="HF99" s="105"/>
      <c r="HG99" s="105"/>
      <c r="HH99" s="105"/>
      <c r="HI99" s="105"/>
      <c r="HJ99" s="105"/>
      <c r="HK99" s="105"/>
      <c r="HL99" s="105"/>
      <c r="HM99" s="105"/>
      <c r="HN99" s="105"/>
      <c r="HO99" s="105"/>
      <c r="HP99" s="105"/>
      <c r="HQ99" s="105"/>
      <c r="HR99" s="105"/>
      <c r="HS99" s="105"/>
      <c r="HT99" s="105"/>
      <c r="HU99" s="105"/>
      <c r="HV99" s="105"/>
      <c r="HW99" s="105"/>
      <c r="HX99" s="105"/>
      <c r="HY99" s="105"/>
      <c r="HZ99" s="105"/>
      <c r="IA99" s="105"/>
      <c r="IB99" s="105"/>
      <c r="IC99" s="105"/>
      <c r="ID99" s="105"/>
      <c r="IE99" s="105"/>
      <c r="IF99" s="105"/>
      <c r="IG99" s="105"/>
      <c r="IH99" s="105"/>
      <c r="II99" s="105"/>
      <c r="IJ99" s="105"/>
      <c r="IK99" s="105"/>
      <c r="IL99" s="105"/>
      <c r="IM99" s="105"/>
      <c r="IN99" s="105"/>
      <c r="IO99" s="105"/>
      <c r="IP99" s="105"/>
      <c r="IQ99" s="105"/>
      <c r="IR99" s="105"/>
      <c r="IS99" s="105"/>
      <c r="IT99" s="105"/>
      <c r="IU99" s="105"/>
      <c r="IV99" s="105"/>
      <c r="IW99" s="105"/>
      <c r="IX99" s="105"/>
      <c r="IY99" s="105"/>
      <c r="IZ99" s="105"/>
      <c r="JA99" s="105"/>
      <c r="JB99" s="105"/>
      <c r="JC99" s="105"/>
      <c r="JD99" s="105"/>
      <c r="JE99" s="105"/>
      <c r="JF99" s="105"/>
      <c r="JG99" s="105"/>
      <c r="JH99" s="105"/>
    </row>
    <row r="100" spans="1:268" ht="16.5">
      <c r="A100" s="292" t="s">
        <v>34</v>
      </c>
      <c r="B100" s="293"/>
      <c r="C100" s="134">
        <f>'бюджет округа (района)'!C100+'бюджеты поселений'!C100</f>
        <v>0</v>
      </c>
      <c r="D100" s="137">
        <f>'бюджет округа (района)'!C100</f>
        <v>0</v>
      </c>
      <c r="E100" s="134">
        <f t="shared" si="583"/>
        <v>0</v>
      </c>
      <c r="F100" s="137">
        <f t="shared" si="583"/>
        <v>0</v>
      </c>
      <c r="G100" s="134">
        <f>'бюджет округа (района)'!E100+'бюджеты поселений'!E100</f>
        <v>0</v>
      </c>
      <c r="H100" s="137">
        <f>'бюджет округа (района)'!E100</f>
        <v>0</v>
      </c>
      <c r="I100" s="134">
        <f>'бюджет округа (района)'!F100+'бюджеты поселений'!F100</f>
        <v>0</v>
      </c>
      <c r="J100" s="137">
        <f>'бюджет округа (района)'!F100</f>
        <v>0</v>
      </c>
      <c r="K100" s="137">
        <f t="shared" si="560"/>
        <v>0</v>
      </c>
      <c r="L100" s="137">
        <f t="shared" si="560"/>
        <v>0</v>
      </c>
      <c r="M100" s="134">
        <f>'бюджет округа (района)'!H100+'бюджеты поселений'!H100</f>
        <v>0</v>
      </c>
      <c r="N100" s="137">
        <f>'бюджет округа (района)'!H100</f>
        <v>0</v>
      </c>
      <c r="O100" s="137">
        <f t="shared" si="561"/>
        <v>0</v>
      </c>
      <c r="P100" s="137">
        <f t="shared" si="561"/>
        <v>0</v>
      </c>
      <c r="Q100" s="134">
        <f>'бюджет округа (района)'!J100+'бюджеты поселений'!J100</f>
        <v>0</v>
      </c>
      <c r="R100" s="137">
        <f>'бюджет округа (района)'!J100</f>
        <v>0</v>
      </c>
      <c r="S100" s="137">
        <f t="shared" si="562"/>
        <v>0</v>
      </c>
      <c r="T100" s="137">
        <f t="shared" si="562"/>
        <v>0</v>
      </c>
      <c r="U100" s="134">
        <f>'бюджет округа (района)'!L100+'бюджеты поселений'!L100</f>
        <v>0</v>
      </c>
      <c r="V100" s="137">
        <f>'бюджет округа (района)'!L100</f>
        <v>0</v>
      </c>
      <c r="W100" s="137">
        <f t="shared" si="563"/>
        <v>0</v>
      </c>
      <c r="X100" s="137">
        <f t="shared" si="563"/>
        <v>0</v>
      </c>
      <c r="Y100" s="134">
        <f>'бюджет округа (района)'!N100+'бюджеты поселений'!N100</f>
        <v>0</v>
      </c>
      <c r="Z100" s="137">
        <f>'бюджет округа (района)'!N100</f>
        <v>0</v>
      </c>
      <c r="AA100" s="137">
        <f t="shared" si="564"/>
        <v>0</v>
      </c>
      <c r="AB100" s="137">
        <f t="shared" si="564"/>
        <v>0</v>
      </c>
      <c r="AC100" s="134">
        <f>'бюджет округа (района)'!P100+'бюджеты поселений'!P100</f>
        <v>0</v>
      </c>
      <c r="AD100" s="137">
        <f>'бюджет округа (района)'!P100</f>
        <v>0</v>
      </c>
      <c r="AE100" s="137">
        <f t="shared" si="565"/>
        <v>0</v>
      </c>
      <c r="AF100" s="137">
        <f t="shared" si="565"/>
        <v>0</v>
      </c>
      <c r="AG100" s="134">
        <f>'бюджет округа (района)'!R100+'бюджеты поселений'!R100</f>
        <v>0</v>
      </c>
      <c r="AH100" s="137">
        <f>'бюджет округа (района)'!R100</f>
        <v>0</v>
      </c>
      <c r="AI100" s="137">
        <f t="shared" si="566"/>
        <v>0</v>
      </c>
      <c r="AJ100" s="137">
        <f t="shared" si="566"/>
        <v>0</v>
      </c>
      <c r="AK100" s="134">
        <f>'бюджет округа (района)'!T100+'бюджеты поселений'!T100</f>
        <v>0</v>
      </c>
      <c r="AL100" s="137">
        <f>'бюджет округа (района)'!T100</f>
        <v>0</v>
      </c>
      <c r="AM100" s="137">
        <f t="shared" si="567"/>
        <v>0</v>
      </c>
      <c r="AN100" s="137">
        <f t="shared" si="567"/>
        <v>0</v>
      </c>
      <c r="AO100" s="134">
        <f>'бюджет округа (района)'!V100+'бюджеты поселений'!V100</f>
        <v>0</v>
      </c>
      <c r="AP100" s="137">
        <f>'бюджет округа (района)'!V100</f>
        <v>0</v>
      </c>
      <c r="AQ100" s="137">
        <f t="shared" si="568"/>
        <v>0</v>
      </c>
      <c r="AR100" s="137">
        <f t="shared" si="568"/>
        <v>0</v>
      </c>
      <c r="AS100" s="134">
        <f>'бюджет округа (района)'!X100+'бюджеты поселений'!X100</f>
        <v>0</v>
      </c>
      <c r="AT100" s="137">
        <f>'бюджет округа (района)'!X100</f>
        <v>0</v>
      </c>
      <c r="AU100" s="137">
        <f t="shared" si="569"/>
        <v>0</v>
      </c>
      <c r="AV100" s="137">
        <f t="shared" si="569"/>
        <v>0</v>
      </c>
      <c r="AW100" s="134">
        <f>'бюджет округа (района)'!Z100+'бюджеты поселений'!Z100</f>
        <v>0</v>
      </c>
      <c r="AX100" s="137">
        <f>'бюджет округа (района)'!Z100</f>
        <v>0</v>
      </c>
      <c r="AY100" s="134">
        <f>'бюджет округа (района)'!AA100+'бюджеты поселений'!AA100</f>
        <v>0</v>
      </c>
      <c r="AZ100" s="137">
        <f>'бюджет округа (района)'!AA100</f>
        <v>0</v>
      </c>
      <c r="BA100" s="135">
        <f t="shared" si="581"/>
        <v>1</v>
      </c>
      <c r="BB100" s="135">
        <f t="shared" si="581"/>
        <v>1</v>
      </c>
      <c r="BC100" s="134">
        <f>'бюджет округа (района)'!AC100+'бюджеты поселений'!AC100</f>
        <v>0</v>
      </c>
      <c r="BD100" s="137">
        <f>'бюджет округа (района)'!AC100</f>
        <v>0</v>
      </c>
      <c r="BE100" s="134">
        <f>'бюджет округа (района)'!AD100+'бюджеты поселений'!AD100</f>
        <v>0</v>
      </c>
      <c r="BF100" s="137">
        <f>'бюджет округа (района)'!AD100</f>
        <v>0</v>
      </c>
      <c r="BG100" s="137">
        <f t="shared" si="570"/>
        <v>0</v>
      </c>
      <c r="BH100" s="137">
        <f t="shared" si="570"/>
        <v>0</v>
      </c>
      <c r="BI100" s="135">
        <f t="shared" si="546"/>
        <v>1</v>
      </c>
      <c r="BJ100" s="135">
        <f t="shared" si="546"/>
        <v>1</v>
      </c>
      <c r="BK100" s="134">
        <f>'бюджет округа (района)'!AG100+'бюджеты поселений'!AG100</f>
        <v>0</v>
      </c>
      <c r="BL100" s="137">
        <f>'бюджет округа (района)'!AG100</f>
        <v>0</v>
      </c>
      <c r="BM100" s="137">
        <f t="shared" si="571"/>
        <v>0</v>
      </c>
      <c r="BN100" s="137">
        <f t="shared" si="571"/>
        <v>0</v>
      </c>
      <c r="BO100" s="135">
        <f t="shared" si="547"/>
        <v>1</v>
      </c>
      <c r="BP100" s="135">
        <f t="shared" si="547"/>
        <v>1</v>
      </c>
      <c r="BQ100" s="134">
        <f>'бюджет округа (района)'!AJ100+'бюджеты поселений'!AJ100</f>
        <v>0</v>
      </c>
      <c r="BR100" s="137">
        <f>'бюджет округа (района)'!AJ100</f>
        <v>0</v>
      </c>
      <c r="BS100" s="137">
        <f t="shared" si="572"/>
        <v>0</v>
      </c>
      <c r="BT100" s="137">
        <f t="shared" si="572"/>
        <v>0</v>
      </c>
      <c r="BU100" s="135">
        <f t="shared" si="548"/>
        <v>1</v>
      </c>
      <c r="BV100" s="135">
        <f t="shared" si="548"/>
        <v>1</v>
      </c>
      <c r="BW100" s="134">
        <f>'бюджет округа (района)'!AM100+'бюджеты поселений'!AM100</f>
        <v>0</v>
      </c>
      <c r="BX100" s="137">
        <f>'бюджет округа (района)'!AM100</f>
        <v>0</v>
      </c>
      <c r="BY100" s="137">
        <f t="shared" si="573"/>
        <v>0</v>
      </c>
      <c r="BZ100" s="137">
        <f t="shared" si="573"/>
        <v>0</v>
      </c>
      <c r="CA100" s="135">
        <f t="shared" si="549"/>
        <v>1</v>
      </c>
      <c r="CB100" s="135">
        <f t="shared" si="549"/>
        <v>1</v>
      </c>
      <c r="CC100" s="134">
        <f>'бюджет округа (района)'!AP100+'бюджеты поселений'!AP100</f>
        <v>0</v>
      </c>
      <c r="CD100" s="137">
        <f>'бюджет округа (района)'!AP100</f>
        <v>0</v>
      </c>
      <c r="CE100" s="137">
        <f t="shared" si="574"/>
        <v>0</v>
      </c>
      <c r="CF100" s="137">
        <f t="shared" si="574"/>
        <v>0</v>
      </c>
      <c r="CG100" s="135">
        <f t="shared" si="550"/>
        <v>1</v>
      </c>
      <c r="CH100" s="135">
        <f t="shared" si="550"/>
        <v>1</v>
      </c>
      <c r="CI100" s="134">
        <f>'бюджет округа (района)'!AS100+'бюджеты поселений'!AS100</f>
        <v>0</v>
      </c>
      <c r="CJ100" s="137">
        <f>'бюджет округа (района)'!AS100</f>
        <v>0</v>
      </c>
      <c r="CK100" s="137">
        <f t="shared" si="575"/>
        <v>0</v>
      </c>
      <c r="CL100" s="137">
        <f t="shared" si="575"/>
        <v>0</v>
      </c>
      <c r="CM100" s="135">
        <f t="shared" si="551"/>
        <v>1</v>
      </c>
      <c r="CN100" s="135">
        <f t="shared" si="551"/>
        <v>1</v>
      </c>
      <c r="CO100" s="134">
        <f>'бюджет округа (района)'!AV100+'бюджеты поселений'!AV100</f>
        <v>0</v>
      </c>
      <c r="CP100" s="137">
        <f>'бюджет округа (района)'!AV100</f>
        <v>0</v>
      </c>
      <c r="CQ100" s="137">
        <f t="shared" si="576"/>
        <v>0</v>
      </c>
      <c r="CR100" s="137">
        <f t="shared" si="576"/>
        <v>0</v>
      </c>
      <c r="CS100" s="135">
        <f t="shared" si="552"/>
        <v>1</v>
      </c>
      <c r="CT100" s="135">
        <f t="shared" si="552"/>
        <v>1</v>
      </c>
      <c r="CU100" s="134">
        <f>'бюджет округа (района)'!AY100+'бюджеты поселений'!AY100</f>
        <v>0</v>
      </c>
      <c r="CV100" s="137">
        <f>'бюджет округа (района)'!AY100</f>
        <v>0</v>
      </c>
      <c r="CW100" s="137">
        <f t="shared" si="577"/>
        <v>0</v>
      </c>
      <c r="CX100" s="137">
        <f t="shared" si="577"/>
        <v>0</v>
      </c>
      <c r="CY100" s="135">
        <f t="shared" si="553"/>
        <v>1</v>
      </c>
      <c r="CZ100" s="135">
        <f t="shared" si="553"/>
        <v>1</v>
      </c>
      <c r="DA100" s="134">
        <f>'бюджет округа (района)'!BB100+'бюджеты поселений'!BB100</f>
        <v>0</v>
      </c>
      <c r="DB100" s="137">
        <f>'бюджет округа (района)'!BB100</f>
        <v>0</v>
      </c>
      <c r="DC100" s="137">
        <f t="shared" si="578"/>
        <v>0</v>
      </c>
      <c r="DD100" s="137">
        <f t="shared" si="578"/>
        <v>0</v>
      </c>
      <c r="DE100" s="135">
        <f t="shared" si="554"/>
        <v>1</v>
      </c>
      <c r="DF100" s="135">
        <f t="shared" si="554"/>
        <v>1</v>
      </c>
      <c r="DG100" s="134">
        <f>'бюджет округа (района)'!BE100+'бюджеты поселений'!BE100</f>
        <v>0</v>
      </c>
      <c r="DH100" s="137">
        <f>'бюджет округа (района)'!BE100</f>
        <v>0</v>
      </c>
      <c r="DI100" s="137">
        <f t="shared" si="579"/>
        <v>0</v>
      </c>
      <c r="DJ100" s="137">
        <f t="shared" si="579"/>
        <v>0</v>
      </c>
      <c r="DK100" s="135">
        <f t="shared" si="555"/>
        <v>1</v>
      </c>
      <c r="DL100" s="135">
        <f t="shared" si="555"/>
        <v>1</v>
      </c>
      <c r="DM100" s="134">
        <f>'бюджет округа (района)'!BH100+'бюджеты поселений'!BH100</f>
        <v>0</v>
      </c>
      <c r="DN100" s="137">
        <f>'бюджет округа (района)'!BH100</f>
        <v>0</v>
      </c>
      <c r="DO100" s="134">
        <f>'бюджет округа (района)'!BI100+'бюджеты поселений'!BI100</f>
        <v>0</v>
      </c>
      <c r="DP100" s="137">
        <f>'бюджет округа (района)'!BI100</f>
        <v>0</v>
      </c>
      <c r="DQ100" s="134">
        <f>'бюджет округа (района)'!BJ100+'бюджеты поселений'!BJ100</f>
        <v>0</v>
      </c>
      <c r="DR100" s="137">
        <f>'бюджет округа (района)'!BJ100</f>
        <v>0</v>
      </c>
      <c r="DS100" s="135">
        <f t="shared" si="584"/>
        <v>1</v>
      </c>
      <c r="DT100" s="135">
        <f t="shared" si="585"/>
        <v>1</v>
      </c>
      <c r="DU100" s="135">
        <f t="shared" si="557"/>
        <v>1</v>
      </c>
      <c r="DV100" s="135">
        <f t="shared" si="558"/>
        <v>1</v>
      </c>
    </row>
    <row r="101" spans="1:268" s="104" customFormat="1" ht="18" customHeight="1">
      <c r="A101" s="296" t="s">
        <v>68</v>
      </c>
      <c r="B101" s="297"/>
      <c r="C101" s="137">
        <f t="shared" ref="C101:J101" si="586">C102+C103+C104+C105+C106+C107+C108+C112+C109+C110+C111</f>
        <v>0</v>
      </c>
      <c r="D101" s="137">
        <f t="shared" si="586"/>
        <v>0</v>
      </c>
      <c r="E101" s="137">
        <f t="shared" si="586"/>
        <v>0</v>
      </c>
      <c r="F101" s="137">
        <f t="shared" si="586"/>
        <v>0</v>
      </c>
      <c r="G101" s="137">
        <f t="shared" si="586"/>
        <v>0</v>
      </c>
      <c r="H101" s="137">
        <f t="shared" si="586"/>
        <v>0</v>
      </c>
      <c r="I101" s="137">
        <f t="shared" si="586"/>
        <v>0</v>
      </c>
      <c r="J101" s="137">
        <f t="shared" si="586"/>
        <v>0</v>
      </c>
      <c r="K101" s="137">
        <f t="shared" si="560"/>
        <v>0</v>
      </c>
      <c r="L101" s="137">
        <f t="shared" si="560"/>
        <v>0</v>
      </c>
      <c r="M101" s="137">
        <f>M102+M103+M104+M105+M106+M107+M108+M112+M109+M110+M111</f>
        <v>0</v>
      </c>
      <c r="N101" s="137">
        <f>N102+N103+N104+N105+N106+N107+N108+N112+N109+N110+N111</f>
        <v>0</v>
      </c>
      <c r="O101" s="137">
        <f t="shared" ref="O101:P101" si="587">O102+O103+O104+O105+O106+O107+O108+O112</f>
        <v>0</v>
      </c>
      <c r="P101" s="137">
        <f t="shared" si="587"/>
        <v>0</v>
      </c>
      <c r="Q101" s="137">
        <f>Q102+Q103+Q104+Q105+Q106+Q107+Q108+Q112+Q109+Q110+Q111</f>
        <v>0</v>
      </c>
      <c r="R101" s="137">
        <f>R102+R103+R104+R105+R106+R107+R108+R112+R109+R110+R111</f>
        <v>0</v>
      </c>
      <c r="S101" s="137">
        <f t="shared" si="562"/>
        <v>0</v>
      </c>
      <c r="T101" s="137">
        <f t="shared" si="562"/>
        <v>0</v>
      </c>
      <c r="U101" s="137">
        <f>U102+U103+U104+U105+U106+U107+U108+U112+U109+U110+U111</f>
        <v>0</v>
      </c>
      <c r="V101" s="137">
        <f>V102+V103+V104+V105+V106+V107+V108+V112+V109+V110+V111</f>
        <v>0</v>
      </c>
      <c r="W101" s="137">
        <f t="shared" si="563"/>
        <v>0</v>
      </c>
      <c r="X101" s="137">
        <f t="shared" si="563"/>
        <v>0</v>
      </c>
      <c r="Y101" s="137">
        <f>Y102+Y103+Y104+Y105+Y106+Y107+Y108+Y112+Y109+Y110+Y111</f>
        <v>0</v>
      </c>
      <c r="Z101" s="137">
        <f>Z102+Z103+Z104+Z105+Z106+Z107+Z108+Z112+Z109+Z110+Z111</f>
        <v>0</v>
      </c>
      <c r="AA101" s="137">
        <f t="shared" si="564"/>
        <v>0</v>
      </c>
      <c r="AB101" s="137">
        <f t="shared" si="564"/>
        <v>0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565"/>
        <v>0</v>
      </c>
      <c r="AF101" s="137">
        <f t="shared" si="565"/>
        <v>0</v>
      </c>
      <c r="AG101" s="137">
        <f>AG102+AG103+AG104+AG105+AG106+AG107+AG108+AG112+AG109+AG110+AG111</f>
        <v>0</v>
      </c>
      <c r="AH101" s="137">
        <f>AH102+AH103+AH104+AH105+AH106+AH107+AH108+AH112+AH109+AH110+AH111</f>
        <v>0</v>
      </c>
      <c r="AI101" s="137">
        <f t="shared" si="566"/>
        <v>0</v>
      </c>
      <c r="AJ101" s="137">
        <f t="shared" si="566"/>
        <v>0</v>
      </c>
      <c r="AK101" s="137">
        <f>AK102+AK103+AK104+AK105+AK106+AK107+AK108+AK112+AK109+AK110+AK111</f>
        <v>0</v>
      </c>
      <c r="AL101" s="137">
        <f>AL102+AL103+AL104+AL105+AL106+AL107+AL108+AL112+AL109+AL110+AL111</f>
        <v>0</v>
      </c>
      <c r="AM101" s="137">
        <f t="shared" si="567"/>
        <v>0</v>
      </c>
      <c r="AN101" s="137">
        <f t="shared" si="567"/>
        <v>0</v>
      </c>
      <c r="AO101" s="137">
        <f>AO102+AO103+AO104+AO105+AO106+AO107+AO108+AO112+AO109+AO110+AO111</f>
        <v>0</v>
      </c>
      <c r="AP101" s="137">
        <f>AP102+AP103+AP104+AP105+AP106+AP107+AP108+AP112+AP109+AP110+AP111</f>
        <v>0</v>
      </c>
      <c r="AQ101" s="137">
        <f t="shared" si="568"/>
        <v>0</v>
      </c>
      <c r="AR101" s="137">
        <f t="shared" si="568"/>
        <v>0</v>
      </c>
      <c r="AS101" s="137">
        <f>AS102+AS103+AS104+AS105+AS106+AS107+AS108+AS112+AS109+AS110+AS111</f>
        <v>0</v>
      </c>
      <c r="AT101" s="137">
        <f>AT102+AT103+AT104+AT105+AT106+AT107+AT108+AT112+AT109+AT110+AT111</f>
        <v>0</v>
      </c>
      <c r="AU101" s="137">
        <f t="shared" si="569"/>
        <v>0</v>
      </c>
      <c r="AV101" s="137">
        <f t="shared" si="569"/>
        <v>0</v>
      </c>
      <c r="AW101" s="137">
        <f>AW102+AW103+AW104+AW105+AW106+AW107+AW108+AW112+AW109+AW110+AW111</f>
        <v>0</v>
      </c>
      <c r="AX101" s="137">
        <f>AX102+AX103+AX104+AX105+AX106+AX107+AX108+AX112+AX109+AX110+AX111</f>
        <v>0</v>
      </c>
      <c r="AY101" s="137">
        <f>AY102+AY103+AY104+AY105+AY106+AY107+AY108+AY112+AY109+AY110+AY111</f>
        <v>0</v>
      </c>
      <c r="AZ101" s="137">
        <f>AZ102+AZ103+AZ104+AZ105+AZ106+AZ107+AZ108+AZ112+AZ109+AZ110+AZ111</f>
        <v>0</v>
      </c>
      <c r="BA101" s="135">
        <f t="shared" si="581"/>
        <v>1</v>
      </c>
      <c r="BB101" s="135">
        <f t="shared" si="581"/>
        <v>1</v>
      </c>
      <c r="BC101" s="137">
        <f>BC102+BC103+BC104+BC105+BC106+BC107+BC108+BC112+BC109+BC110+BC111</f>
        <v>0</v>
      </c>
      <c r="BD101" s="137">
        <f>BD102+BD103+BD104+BD105+BD106+BD107+BD108+BD112+BD109+BD110+BD111</f>
        <v>0</v>
      </c>
      <c r="BE101" s="137">
        <f>BE102+BE103+BE104+BE105+BE106+BE107+BE108+BE112+BE109+BE110+BE111</f>
        <v>0</v>
      </c>
      <c r="BF101" s="137">
        <f>BF102+BF103+BF104+BF105+BF106+BF107+BF108+BF112+BF109+BF110+BF111</f>
        <v>0</v>
      </c>
      <c r="BG101" s="137">
        <f t="shared" si="570"/>
        <v>0</v>
      </c>
      <c r="BH101" s="137">
        <f t="shared" si="570"/>
        <v>0</v>
      </c>
      <c r="BI101" s="135">
        <f t="shared" si="546"/>
        <v>1</v>
      </c>
      <c r="BJ101" s="135">
        <f t="shared" si="546"/>
        <v>1</v>
      </c>
      <c r="BK101" s="137">
        <f>BK102+BK103+BK104+BK105+BK106+BK107+BK108+BK112+BK109+BK110+BK111</f>
        <v>0</v>
      </c>
      <c r="BL101" s="137">
        <f>BL102+BL103+BL104+BL105+BL106+BL107+BL108+BL112+BL109+BL110+BL111</f>
        <v>0</v>
      </c>
      <c r="BM101" s="137">
        <f t="shared" si="571"/>
        <v>0</v>
      </c>
      <c r="BN101" s="137">
        <f t="shared" si="571"/>
        <v>0</v>
      </c>
      <c r="BO101" s="135">
        <f t="shared" si="547"/>
        <v>1</v>
      </c>
      <c r="BP101" s="135">
        <f t="shared" si="547"/>
        <v>1</v>
      </c>
      <c r="BQ101" s="137">
        <f>BQ102+BQ103+BQ104+BQ105+BQ106+BQ107+BQ108+BQ112+BQ109+BQ110+BQ111</f>
        <v>0</v>
      </c>
      <c r="BR101" s="137">
        <f>BR102+BR103+BR104+BR105+BR106+BR107+BR108+BR112+BR109+BR110+BR111</f>
        <v>0</v>
      </c>
      <c r="BS101" s="137">
        <f t="shared" si="572"/>
        <v>0</v>
      </c>
      <c r="BT101" s="137">
        <f t="shared" si="572"/>
        <v>0</v>
      </c>
      <c r="BU101" s="135">
        <f t="shared" si="548"/>
        <v>1</v>
      </c>
      <c r="BV101" s="135">
        <f t="shared" si="548"/>
        <v>1</v>
      </c>
      <c r="BW101" s="137">
        <f>BW102+BW103+BW104+BW105+BW106+BW107+BW108+BW112+BW109+BW110+BW111</f>
        <v>0</v>
      </c>
      <c r="BX101" s="137">
        <f>BX102+BX103+BX104+BX105+BX106+BX107+BX108+BX112+BX109+BX110+BX111</f>
        <v>0</v>
      </c>
      <c r="BY101" s="137">
        <f t="shared" si="573"/>
        <v>0</v>
      </c>
      <c r="BZ101" s="137">
        <f t="shared" si="573"/>
        <v>0</v>
      </c>
      <c r="CA101" s="135">
        <f t="shared" si="549"/>
        <v>1</v>
      </c>
      <c r="CB101" s="135">
        <f t="shared" si="549"/>
        <v>1</v>
      </c>
      <c r="CC101" s="137">
        <f>CC102+CC103+CC104+CC105+CC106+CC107+CC108+CC112+CC109+CC110+CC111</f>
        <v>0</v>
      </c>
      <c r="CD101" s="137">
        <f>CD102+CD103+CD104+CD105+CD106+CD107+CD108+CD112+CD109+CD110+CD111</f>
        <v>0</v>
      </c>
      <c r="CE101" s="137">
        <f t="shared" si="574"/>
        <v>0</v>
      </c>
      <c r="CF101" s="137">
        <f t="shared" si="574"/>
        <v>0</v>
      </c>
      <c r="CG101" s="135">
        <f t="shared" si="550"/>
        <v>1</v>
      </c>
      <c r="CH101" s="135">
        <f t="shared" si="550"/>
        <v>1</v>
      </c>
      <c r="CI101" s="137">
        <f>CI102+CI103+CI104+CI105+CI106+CI107+CI108+CI112+CI109+CI110+CI111</f>
        <v>0</v>
      </c>
      <c r="CJ101" s="137">
        <f>CJ102+CJ103+CJ104+CJ105+CJ106+CJ107+CJ108+CJ112+CJ109+CJ110+CJ111</f>
        <v>0</v>
      </c>
      <c r="CK101" s="137">
        <f t="shared" si="575"/>
        <v>0</v>
      </c>
      <c r="CL101" s="137">
        <f t="shared" si="575"/>
        <v>0</v>
      </c>
      <c r="CM101" s="135">
        <f t="shared" si="551"/>
        <v>1</v>
      </c>
      <c r="CN101" s="135">
        <f t="shared" si="551"/>
        <v>1</v>
      </c>
      <c r="CO101" s="137">
        <f>CO102+CO103+CO104+CO105+CO106+CO107+CO108+CO112+CO109+CO110+CO111</f>
        <v>0</v>
      </c>
      <c r="CP101" s="137">
        <f>CP102+CP103+CP104+CP105+CP106+CP107+CP108+CP112+CP109+CP110+CP111</f>
        <v>0</v>
      </c>
      <c r="CQ101" s="137">
        <f t="shared" si="576"/>
        <v>0</v>
      </c>
      <c r="CR101" s="137">
        <f t="shared" si="576"/>
        <v>0</v>
      </c>
      <c r="CS101" s="135">
        <f t="shared" si="552"/>
        <v>1</v>
      </c>
      <c r="CT101" s="135">
        <f t="shared" si="552"/>
        <v>1</v>
      </c>
      <c r="CU101" s="137">
        <f>CU102+CU103+CU104+CU105+CU106+CU107+CU108+CU112+CU109+CU110+CU111</f>
        <v>0</v>
      </c>
      <c r="CV101" s="137">
        <f>CV102+CV103+CV104+CV105+CV106+CV107+CV108+CV112+CV109+CV110+CV111</f>
        <v>0</v>
      </c>
      <c r="CW101" s="137">
        <f t="shared" si="577"/>
        <v>0</v>
      </c>
      <c r="CX101" s="137">
        <f t="shared" si="577"/>
        <v>0</v>
      </c>
      <c r="CY101" s="135">
        <f t="shared" si="553"/>
        <v>1</v>
      </c>
      <c r="CZ101" s="135">
        <f t="shared" si="553"/>
        <v>1</v>
      </c>
      <c r="DA101" s="137">
        <f>DA102+DA103+DA104+DA105+DA106+DA107+DA108+DA112+DA109+DA110+DA111</f>
        <v>0</v>
      </c>
      <c r="DB101" s="137">
        <f>DB102+DB103+DB104+DB105+DB106+DB107+DB108+DB112+DB109+DB110+DB111</f>
        <v>0</v>
      </c>
      <c r="DC101" s="137">
        <f t="shared" si="578"/>
        <v>0</v>
      </c>
      <c r="DD101" s="137">
        <f t="shared" si="578"/>
        <v>0</v>
      </c>
      <c r="DE101" s="135">
        <f t="shared" si="554"/>
        <v>1</v>
      </c>
      <c r="DF101" s="135">
        <f t="shared" si="554"/>
        <v>1</v>
      </c>
      <c r="DG101" s="137">
        <f>DG102+DG103+DG104+DG105+DG106+DG107+DG108+DG112+DG109+DG110+DG111</f>
        <v>0</v>
      </c>
      <c r="DH101" s="137">
        <f>DH102+DH103+DH104+DH105+DH106+DH107+DH108+DH112+DH109+DH110+DH111</f>
        <v>0</v>
      </c>
      <c r="DI101" s="137">
        <f t="shared" si="579"/>
        <v>0</v>
      </c>
      <c r="DJ101" s="137">
        <f t="shared" si="579"/>
        <v>0</v>
      </c>
      <c r="DK101" s="135">
        <f t="shared" si="555"/>
        <v>1</v>
      </c>
      <c r="DL101" s="135">
        <f t="shared" si="555"/>
        <v>1</v>
      </c>
      <c r="DM101" s="137">
        <f t="shared" ref="DM101:DR101" si="588">DM102+DM103+DM104+DM105+DM106+DM107+DM108+DM112+DM109+DM110+DM111</f>
        <v>0</v>
      </c>
      <c r="DN101" s="137">
        <f t="shared" si="588"/>
        <v>0</v>
      </c>
      <c r="DO101" s="137">
        <f t="shared" si="588"/>
        <v>0</v>
      </c>
      <c r="DP101" s="137">
        <f t="shared" si="588"/>
        <v>0</v>
      </c>
      <c r="DQ101" s="137">
        <f t="shared" si="588"/>
        <v>0</v>
      </c>
      <c r="DR101" s="137">
        <f t="shared" si="588"/>
        <v>0</v>
      </c>
      <c r="DS101" s="135">
        <f>IF($AY$101=0,1,DQ101/$AY$101-1)</f>
        <v>1</v>
      </c>
      <c r="DT101" s="135">
        <f>IF($AZ$101=0,1,DR101/$AZ$101-1)</f>
        <v>1</v>
      </c>
      <c r="DU101" s="135">
        <f t="shared" si="557"/>
        <v>1</v>
      </c>
      <c r="DV101" s="135">
        <f t="shared" si="558"/>
        <v>1</v>
      </c>
      <c r="DW101" s="167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  <c r="GY101" s="103"/>
      <c r="GZ101" s="103"/>
      <c r="HA101" s="103"/>
      <c r="HB101" s="103"/>
      <c r="HC101" s="103"/>
      <c r="HD101" s="103"/>
      <c r="HE101" s="103"/>
      <c r="HF101" s="103"/>
      <c r="HG101" s="103"/>
      <c r="HH101" s="103"/>
      <c r="HI101" s="103"/>
      <c r="HJ101" s="103"/>
      <c r="HK101" s="103"/>
      <c r="HL101" s="103"/>
      <c r="HM101" s="103"/>
      <c r="HN101" s="103"/>
      <c r="HO101" s="103"/>
      <c r="HP101" s="103"/>
      <c r="HQ101" s="103"/>
      <c r="HR101" s="103"/>
      <c r="HS101" s="103"/>
      <c r="HT101" s="103"/>
      <c r="HU101" s="103"/>
      <c r="HV101" s="103"/>
      <c r="HW101" s="103"/>
      <c r="HX101" s="103"/>
      <c r="HY101" s="103"/>
      <c r="HZ101" s="103"/>
      <c r="IA101" s="103"/>
      <c r="IB101" s="103"/>
      <c r="IC101" s="103"/>
      <c r="ID101" s="103"/>
      <c r="IE101" s="103"/>
      <c r="IF101" s="103"/>
      <c r="IG101" s="103"/>
      <c r="IH101" s="103"/>
      <c r="II101" s="103"/>
      <c r="IJ101" s="103"/>
      <c r="IK101" s="103"/>
      <c r="IL101" s="103"/>
      <c r="IM101" s="103"/>
      <c r="IN101" s="103"/>
      <c r="IO101" s="103"/>
      <c r="IP101" s="103"/>
      <c r="IQ101" s="103"/>
      <c r="IR101" s="103"/>
      <c r="IS101" s="103"/>
      <c r="IT101" s="103"/>
      <c r="IU101" s="103"/>
      <c r="IV101" s="103"/>
      <c r="IW101" s="103"/>
      <c r="IX101" s="103"/>
      <c r="IY101" s="103"/>
      <c r="IZ101" s="103"/>
      <c r="JA101" s="103"/>
      <c r="JB101" s="103"/>
      <c r="JC101" s="103"/>
      <c r="JD101" s="103"/>
      <c r="JE101" s="103"/>
      <c r="JF101" s="103"/>
      <c r="JG101" s="103"/>
      <c r="JH101" s="103"/>
    </row>
    <row r="102" spans="1:268" s="104" customFormat="1" ht="19.5" customHeight="1">
      <c r="A102" s="290">
        <v>243</v>
      </c>
      <c r="B102" s="291"/>
      <c r="C102" s="134">
        <f>'бюджет округа (района)'!C102+'бюджеты поселений'!C102</f>
        <v>0</v>
      </c>
      <c r="D102" s="137">
        <f>'бюджет округа (района)'!C102</f>
        <v>0</v>
      </c>
      <c r="E102" s="134">
        <f t="shared" ref="E102:F112" si="589">G102+I102+M102+Q102+U102+Y102+AC102+AG102+AK102+AO102+AS102+AW102</f>
        <v>0</v>
      </c>
      <c r="F102" s="137">
        <f t="shared" si="589"/>
        <v>0</v>
      </c>
      <c r="G102" s="134">
        <f>'бюджет округа (района)'!E102+'бюджеты поселений'!E102</f>
        <v>0</v>
      </c>
      <c r="H102" s="137">
        <f>'бюджет округа (района)'!E102</f>
        <v>0</v>
      </c>
      <c r="I102" s="134">
        <f>'бюджет округа (района)'!F102+'бюджеты поселений'!F102</f>
        <v>0</v>
      </c>
      <c r="J102" s="137">
        <f>'бюджет округа (района)'!F102</f>
        <v>0</v>
      </c>
      <c r="K102" s="137">
        <f t="shared" si="560"/>
        <v>0</v>
      </c>
      <c r="L102" s="137">
        <f t="shared" si="560"/>
        <v>0</v>
      </c>
      <c r="M102" s="134">
        <f>'бюджет округа (района)'!H102+'бюджеты поселений'!H102</f>
        <v>0</v>
      </c>
      <c r="N102" s="137">
        <f>'бюджет округа (района)'!H102</f>
        <v>0</v>
      </c>
      <c r="O102" s="137">
        <f t="shared" ref="O102:P112" si="590">I102+G102</f>
        <v>0</v>
      </c>
      <c r="P102" s="137">
        <f t="shared" si="590"/>
        <v>0</v>
      </c>
      <c r="Q102" s="134">
        <f>'бюджет округа (района)'!J102+'бюджеты поселений'!J102</f>
        <v>0</v>
      </c>
      <c r="R102" s="137">
        <f>'бюджет округа (района)'!J102</f>
        <v>0</v>
      </c>
      <c r="S102" s="137">
        <f t="shared" si="562"/>
        <v>0</v>
      </c>
      <c r="T102" s="137">
        <f t="shared" si="562"/>
        <v>0</v>
      </c>
      <c r="U102" s="134">
        <f>'бюджет округа (района)'!L102+'бюджеты поселений'!L102</f>
        <v>0</v>
      </c>
      <c r="V102" s="137">
        <f>'бюджет округа (района)'!L102</f>
        <v>0</v>
      </c>
      <c r="W102" s="137">
        <f t="shared" si="563"/>
        <v>0</v>
      </c>
      <c r="X102" s="137">
        <f t="shared" si="563"/>
        <v>0</v>
      </c>
      <c r="Y102" s="134">
        <f>'бюджет округа (района)'!N102+'бюджеты поселений'!N102</f>
        <v>0</v>
      </c>
      <c r="Z102" s="137">
        <f>'бюджет округа (района)'!N102</f>
        <v>0</v>
      </c>
      <c r="AA102" s="137">
        <f t="shared" si="564"/>
        <v>0</v>
      </c>
      <c r="AB102" s="137">
        <f t="shared" si="564"/>
        <v>0</v>
      </c>
      <c r="AC102" s="134">
        <f>'бюджет округа (района)'!P102+'бюджеты поселений'!P102</f>
        <v>0</v>
      </c>
      <c r="AD102" s="137">
        <f>'бюджет округа (района)'!P102</f>
        <v>0</v>
      </c>
      <c r="AE102" s="137">
        <f t="shared" si="565"/>
        <v>0</v>
      </c>
      <c r="AF102" s="137">
        <f t="shared" si="565"/>
        <v>0</v>
      </c>
      <c r="AG102" s="134">
        <f>'бюджет округа (района)'!R102+'бюджеты поселений'!R102</f>
        <v>0</v>
      </c>
      <c r="AH102" s="137">
        <f>'бюджет округа (района)'!R102</f>
        <v>0</v>
      </c>
      <c r="AI102" s="137">
        <f t="shared" si="566"/>
        <v>0</v>
      </c>
      <c r="AJ102" s="137">
        <f t="shared" si="566"/>
        <v>0</v>
      </c>
      <c r="AK102" s="134">
        <f>'бюджет округа (района)'!T102+'бюджеты поселений'!T102</f>
        <v>0</v>
      </c>
      <c r="AL102" s="137">
        <f>'бюджет округа (района)'!T102</f>
        <v>0</v>
      </c>
      <c r="AM102" s="137">
        <f t="shared" si="567"/>
        <v>0</v>
      </c>
      <c r="AN102" s="137">
        <f t="shared" si="567"/>
        <v>0</v>
      </c>
      <c r="AO102" s="134">
        <f>'бюджет округа (района)'!V102+'бюджеты поселений'!V102</f>
        <v>0</v>
      </c>
      <c r="AP102" s="137">
        <f>'бюджет округа (района)'!V102</f>
        <v>0</v>
      </c>
      <c r="AQ102" s="137">
        <f t="shared" si="568"/>
        <v>0</v>
      </c>
      <c r="AR102" s="137">
        <f t="shared" si="568"/>
        <v>0</v>
      </c>
      <c r="AS102" s="134">
        <f>'бюджет округа (района)'!X102+'бюджеты поселений'!X102</f>
        <v>0</v>
      </c>
      <c r="AT102" s="137">
        <f>'бюджет округа (района)'!X102</f>
        <v>0</v>
      </c>
      <c r="AU102" s="137">
        <f t="shared" si="569"/>
        <v>0</v>
      </c>
      <c r="AV102" s="137">
        <f t="shared" si="569"/>
        <v>0</v>
      </c>
      <c r="AW102" s="134">
        <f>'бюджет округа (района)'!Z102+'бюджеты поселений'!Z102</f>
        <v>0</v>
      </c>
      <c r="AX102" s="137">
        <f>'бюджет округа (района)'!Z102</f>
        <v>0</v>
      </c>
      <c r="AY102" s="134">
        <f>'бюджет округа (района)'!AA102+'бюджеты поселений'!AA102</f>
        <v>0</v>
      </c>
      <c r="AZ102" s="137">
        <f>'бюджет округа (района)'!AA102</f>
        <v>0</v>
      </c>
      <c r="BA102" s="135">
        <f t="shared" si="581"/>
        <v>1</v>
      </c>
      <c r="BB102" s="135">
        <f t="shared" si="581"/>
        <v>1</v>
      </c>
      <c r="BC102" s="134">
        <f>'бюджет округа (района)'!AC102+'бюджеты поселений'!AC102</f>
        <v>0</v>
      </c>
      <c r="BD102" s="137">
        <f>'бюджет округа (района)'!AC102</f>
        <v>0</v>
      </c>
      <c r="BE102" s="134">
        <f>'бюджет округа (района)'!AD102+'бюджеты поселений'!AD102</f>
        <v>0</v>
      </c>
      <c r="BF102" s="137">
        <f>'бюджет округа (района)'!AD102</f>
        <v>0</v>
      </c>
      <c r="BG102" s="137">
        <f t="shared" si="570"/>
        <v>0</v>
      </c>
      <c r="BH102" s="137">
        <f t="shared" si="570"/>
        <v>0</v>
      </c>
      <c r="BI102" s="135">
        <f t="shared" si="546"/>
        <v>1</v>
      </c>
      <c r="BJ102" s="135">
        <f t="shared" si="546"/>
        <v>1</v>
      </c>
      <c r="BK102" s="134">
        <f>'бюджет округа (района)'!AG102+'бюджеты поселений'!AG102</f>
        <v>0</v>
      </c>
      <c r="BL102" s="137">
        <f>'бюджет округа (района)'!AG102</f>
        <v>0</v>
      </c>
      <c r="BM102" s="137">
        <f t="shared" si="571"/>
        <v>0</v>
      </c>
      <c r="BN102" s="137">
        <f t="shared" si="571"/>
        <v>0</v>
      </c>
      <c r="BO102" s="135">
        <f t="shared" si="547"/>
        <v>1</v>
      </c>
      <c r="BP102" s="135">
        <f t="shared" si="547"/>
        <v>1</v>
      </c>
      <c r="BQ102" s="134">
        <f>'бюджет округа (района)'!AJ102+'бюджеты поселений'!AJ102</f>
        <v>0</v>
      </c>
      <c r="BR102" s="137">
        <f>'бюджет округа (района)'!AJ102</f>
        <v>0</v>
      </c>
      <c r="BS102" s="137">
        <f t="shared" si="572"/>
        <v>0</v>
      </c>
      <c r="BT102" s="137">
        <f t="shared" si="572"/>
        <v>0</v>
      </c>
      <c r="BU102" s="135">
        <f t="shared" si="548"/>
        <v>1</v>
      </c>
      <c r="BV102" s="135">
        <f t="shared" si="548"/>
        <v>1</v>
      </c>
      <c r="BW102" s="134">
        <f>'бюджет округа (района)'!AM102+'бюджеты поселений'!AM102</f>
        <v>0</v>
      </c>
      <c r="BX102" s="137">
        <f>'бюджет округа (района)'!AM102</f>
        <v>0</v>
      </c>
      <c r="BY102" s="137">
        <f t="shared" si="573"/>
        <v>0</v>
      </c>
      <c r="BZ102" s="137">
        <f t="shared" si="573"/>
        <v>0</v>
      </c>
      <c r="CA102" s="135">
        <f t="shared" si="549"/>
        <v>1</v>
      </c>
      <c r="CB102" s="135">
        <f t="shared" si="549"/>
        <v>1</v>
      </c>
      <c r="CC102" s="134">
        <f>'бюджет округа (района)'!AP102+'бюджеты поселений'!AP102</f>
        <v>0</v>
      </c>
      <c r="CD102" s="137">
        <f>'бюджет округа (района)'!AP102</f>
        <v>0</v>
      </c>
      <c r="CE102" s="137">
        <f t="shared" si="574"/>
        <v>0</v>
      </c>
      <c r="CF102" s="137">
        <f t="shared" si="574"/>
        <v>0</v>
      </c>
      <c r="CG102" s="135">
        <f t="shared" si="550"/>
        <v>1</v>
      </c>
      <c r="CH102" s="135">
        <f t="shared" si="550"/>
        <v>1</v>
      </c>
      <c r="CI102" s="134">
        <f>'бюджет округа (района)'!AS102+'бюджеты поселений'!AS102</f>
        <v>0</v>
      </c>
      <c r="CJ102" s="137">
        <f>'бюджет округа (района)'!AS102</f>
        <v>0</v>
      </c>
      <c r="CK102" s="137">
        <f t="shared" si="575"/>
        <v>0</v>
      </c>
      <c r="CL102" s="137">
        <f t="shared" si="575"/>
        <v>0</v>
      </c>
      <c r="CM102" s="135">
        <f t="shared" si="551"/>
        <v>1</v>
      </c>
      <c r="CN102" s="135">
        <f t="shared" si="551"/>
        <v>1</v>
      </c>
      <c r="CO102" s="134">
        <f>'бюджет округа (района)'!AV102+'бюджеты поселений'!AV102</f>
        <v>0</v>
      </c>
      <c r="CP102" s="137">
        <f>'бюджет округа (района)'!AV102</f>
        <v>0</v>
      </c>
      <c r="CQ102" s="137">
        <f t="shared" si="576"/>
        <v>0</v>
      </c>
      <c r="CR102" s="137">
        <f t="shared" si="576"/>
        <v>0</v>
      </c>
      <c r="CS102" s="135">
        <f t="shared" si="552"/>
        <v>1</v>
      </c>
      <c r="CT102" s="135">
        <f t="shared" si="552"/>
        <v>1</v>
      </c>
      <c r="CU102" s="134">
        <f>'бюджет округа (района)'!AY102+'бюджеты поселений'!AY102</f>
        <v>0</v>
      </c>
      <c r="CV102" s="137">
        <f>'бюджет округа (района)'!AY102</f>
        <v>0</v>
      </c>
      <c r="CW102" s="137">
        <f t="shared" si="577"/>
        <v>0</v>
      </c>
      <c r="CX102" s="137">
        <f t="shared" si="577"/>
        <v>0</v>
      </c>
      <c r="CY102" s="135">
        <f t="shared" si="553"/>
        <v>1</v>
      </c>
      <c r="CZ102" s="135">
        <f t="shared" si="553"/>
        <v>1</v>
      </c>
      <c r="DA102" s="134">
        <f>'бюджет округа (района)'!BB102+'бюджеты поселений'!BB102</f>
        <v>0</v>
      </c>
      <c r="DB102" s="137">
        <f>'бюджет округа (района)'!BB102</f>
        <v>0</v>
      </c>
      <c r="DC102" s="137">
        <f t="shared" si="578"/>
        <v>0</v>
      </c>
      <c r="DD102" s="137">
        <f t="shared" si="578"/>
        <v>0</v>
      </c>
      <c r="DE102" s="135">
        <f t="shared" si="554"/>
        <v>1</v>
      </c>
      <c r="DF102" s="135">
        <f t="shared" si="554"/>
        <v>1</v>
      </c>
      <c r="DG102" s="134">
        <f>'бюджет округа (района)'!BE102+'бюджеты поселений'!BE102</f>
        <v>0</v>
      </c>
      <c r="DH102" s="137">
        <f>'бюджет округа (района)'!BE102</f>
        <v>0</v>
      </c>
      <c r="DI102" s="137">
        <f t="shared" si="579"/>
        <v>0</v>
      </c>
      <c r="DJ102" s="137">
        <f t="shared" si="579"/>
        <v>0</v>
      </c>
      <c r="DK102" s="135">
        <f t="shared" si="555"/>
        <v>1</v>
      </c>
      <c r="DL102" s="135">
        <f t="shared" si="555"/>
        <v>1</v>
      </c>
      <c r="DM102" s="134">
        <f>'бюджет округа (района)'!BH102+'бюджеты поселений'!BH102</f>
        <v>0</v>
      </c>
      <c r="DN102" s="137">
        <f>'бюджет округа (района)'!BH102</f>
        <v>0</v>
      </c>
      <c r="DO102" s="134">
        <f>'бюджет округа (района)'!BI102+'бюджеты поселений'!BI102</f>
        <v>0</v>
      </c>
      <c r="DP102" s="137">
        <f>'бюджет округа (района)'!BI102</f>
        <v>0</v>
      </c>
      <c r="DQ102" s="134">
        <f>'бюджет округа (района)'!BJ102+'бюджеты поселений'!BJ102</f>
        <v>0</v>
      </c>
      <c r="DR102" s="137">
        <f>'бюджет округа (района)'!BJ102</f>
        <v>0</v>
      </c>
      <c r="DS102" s="135">
        <f>IF($AY$102=0,1,DQ102/$AY$102-1)</f>
        <v>1</v>
      </c>
      <c r="DT102" s="135">
        <f>IF($AZ$102=0,1,DR102/$AZ$102-1)</f>
        <v>1</v>
      </c>
      <c r="DU102" s="135">
        <f t="shared" si="557"/>
        <v>1</v>
      </c>
      <c r="DV102" s="135">
        <f t="shared" si="558"/>
        <v>1</v>
      </c>
      <c r="DW102" s="167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  <c r="GY102" s="103"/>
      <c r="GZ102" s="103"/>
      <c r="HA102" s="103"/>
      <c r="HB102" s="103"/>
      <c r="HC102" s="103"/>
      <c r="HD102" s="103"/>
      <c r="HE102" s="103"/>
      <c r="HF102" s="103"/>
      <c r="HG102" s="103"/>
      <c r="HH102" s="103"/>
      <c r="HI102" s="103"/>
      <c r="HJ102" s="103"/>
      <c r="HK102" s="103"/>
      <c r="HL102" s="103"/>
      <c r="HM102" s="103"/>
      <c r="HN102" s="103"/>
      <c r="HO102" s="103"/>
      <c r="HP102" s="103"/>
      <c r="HQ102" s="103"/>
      <c r="HR102" s="103"/>
      <c r="HS102" s="103"/>
      <c r="HT102" s="103"/>
      <c r="HU102" s="103"/>
      <c r="HV102" s="103"/>
      <c r="HW102" s="103"/>
      <c r="HX102" s="103"/>
      <c r="HY102" s="103"/>
      <c r="HZ102" s="103"/>
      <c r="IA102" s="103"/>
      <c r="IB102" s="103"/>
      <c r="IC102" s="103"/>
      <c r="ID102" s="103"/>
      <c r="IE102" s="103"/>
      <c r="IF102" s="103"/>
      <c r="IG102" s="103"/>
      <c r="IH102" s="103"/>
      <c r="II102" s="103"/>
      <c r="IJ102" s="103"/>
      <c r="IK102" s="103"/>
      <c r="IL102" s="103"/>
      <c r="IM102" s="103"/>
      <c r="IN102" s="103"/>
      <c r="IO102" s="103"/>
      <c r="IP102" s="103"/>
      <c r="IQ102" s="103"/>
      <c r="IR102" s="103"/>
      <c r="IS102" s="103"/>
      <c r="IT102" s="103"/>
      <c r="IU102" s="103"/>
      <c r="IV102" s="103"/>
      <c r="IW102" s="103"/>
      <c r="IX102" s="103"/>
      <c r="IY102" s="103"/>
      <c r="IZ102" s="103"/>
      <c r="JA102" s="103"/>
      <c r="JB102" s="103"/>
      <c r="JC102" s="103"/>
      <c r="JD102" s="103"/>
      <c r="JE102" s="103"/>
      <c r="JF102" s="103"/>
      <c r="JG102" s="103"/>
      <c r="JH102" s="103"/>
    </row>
    <row r="103" spans="1:268" s="106" customFormat="1" ht="18" customHeight="1">
      <c r="A103" s="290">
        <v>244</v>
      </c>
      <c r="B103" s="291"/>
      <c r="C103" s="134">
        <f>'бюджет округа (района)'!C103+'бюджеты поселений'!C103</f>
        <v>0</v>
      </c>
      <c r="D103" s="137">
        <f>'бюджет округа (района)'!C103</f>
        <v>0</v>
      </c>
      <c r="E103" s="134">
        <f t="shared" si="589"/>
        <v>0</v>
      </c>
      <c r="F103" s="137">
        <f t="shared" si="589"/>
        <v>0</v>
      </c>
      <c r="G103" s="134">
        <f>'бюджет округа (района)'!E103+'бюджеты поселений'!E103</f>
        <v>0</v>
      </c>
      <c r="H103" s="137">
        <f>'бюджет округа (района)'!E103</f>
        <v>0</v>
      </c>
      <c r="I103" s="134">
        <f>'бюджет округа (района)'!F103+'бюджеты поселений'!F103</f>
        <v>0</v>
      </c>
      <c r="J103" s="137">
        <f>'бюджет округа (района)'!F103</f>
        <v>0</v>
      </c>
      <c r="K103" s="137">
        <f t="shared" si="560"/>
        <v>0</v>
      </c>
      <c r="L103" s="137">
        <f t="shared" si="560"/>
        <v>0</v>
      </c>
      <c r="M103" s="134">
        <f>'бюджет округа (района)'!H103+'бюджеты поселений'!H103</f>
        <v>0</v>
      </c>
      <c r="N103" s="137">
        <f>'бюджет округа (района)'!H103</f>
        <v>0</v>
      </c>
      <c r="O103" s="137">
        <f t="shared" si="590"/>
        <v>0</v>
      </c>
      <c r="P103" s="137">
        <f t="shared" si="590"/>
        <v>0</v>
      </c>
      <c r="Q103" s="134">
        <f>'бюджет округа (района)'!J103+'бюджеты поселений'!J103</f>
        <v>0</v>
      </c>
      <c r="R103" s="137">
        <f>'бюджет округа (района)'!J103</f>
        <v>0</v>
      </c>
      <c r="S103" s="137">
        <f t="shared" si="562"/>
        <v>0</v>
      </c>
      <c r="T103" s="137">
        <f t="shared" si="562"/>
        <v>0</v>
      </c>
      <c r="U103" s="134">
        <f>'бюджет округа (района)'!L103+'бюджеты поселений'!L103</f>
        <v>0</v>
      </c>
      <c r="V103" s="137">
        <f>'бюджет округа (района)'!L103</f>
        <v>0</v>
      </c>
      <c r="W103" s="137">
        <f t="shared" si="563"/>
        <v>0</v>
      </c>
      <c r="X103" s="137">
        <f t="shared" si="563"/>
        <v>0</v>
      </c>
      <c r="Y103" s="134">
        <f>'бюджет округа (района)'!N103+'бюджеты поселений'!N103</f>
        <v>0</v>
      </c>
      <c r="Z103" s="137">
        <f>'бюджет округа (района)'!N103</f>
        <v>0</v>
      </c>
      <c r="AA103" s="137">
        <f t="shared" si="564"/>
        <v>0</v>
      </c>
      <c r="AB103" s="137">
        <f t="shared" si="564"/>
        <v>0</v>
      </c>
      <c r="AC103" s="134">
        <f>'бюджет округа (района)'!P103+'бюджеты поселений'!P103</f>
        <v>0</v>
      </c>
      <c r="AD103" s="137">
        <f>'бюджет округа (района)'!P103</f>
        <v>0</v>
      </c>
      <c r="AE103" s="137">
        <f t="shared" si="565"/>
        <v>0</v>
      </c>
      <c r="AF103" s="137">
        <f t="shared" si="565"/>
        <v>0</v>
      </c>
      <c r="AG103" s="134">
        <f>'бюджет округа (района)'!R103+'бюджеты поселений'!R103</f>
        <v>0</v>
      </c>
      <c r="AH103" s="137">
        <f>'бюджет округа (района)'!R103</f>
        <v>0</v>
      </c>
      <c r="AI103" s="137">
        <f t="shared" si="566"/>
        <v>0</v>
      </c>
      <c r="AJ103" s="137">
        <f t="shared" si="566"/>
        <v>0</v>
      </c>
      <c r="AK103" s="134">
        <f>'бюджет округа (района)'!T103+'бюджеты поселений'!T103</f>
        <v>0</v>
      </c>
      <c r="AL103" s="137">
        <f>'бюджет округа (района)'!T103</f>
        <v>0</v>
      </c>
      <c r="AM103" s="137">
        <f t="shared" si="567"/>
        <v>0</v>
      </c>
      <c r="AN103" s="137">
        <f t="shared" si="567"/>
        <v>0</v>
      </c>
      <c r="AO103" s="134">
        <f>'бюджет округа (района)'!V103+'бюджеты поселений'!V103</f>
        <v>0</v>
      </c>
      <c r="AP103" s="137">
        <f>'бюджет округа (района)'!V103</f>
        <v>0</v>
      </c>
      <c r="AQ103" s="137">
        <f t="shared" si="568"/>
        <v>0</v>
      </c>
      <c r="AR103" s="137">
        <f t="shared" si="568"/>
        <v>0</v>
      </c>
      <c r="AS103" s="134">
        <f>'бюджет округа (района)'!X103+'бюджеты поселений'!X103</f>
        <v>0</v>
      </c>
      <c r="AT103" s="137">
        <f>'бюджет округа (района)'!X103</f>
        <v>0</v>
      </c>
      <c r="AU103" s="137">
        <f t="shared" si="569"/>
        <v>0</v>
      </c>
      <c r="AV103" s="137">
        <f t="shared" si="569"/>
        <v>0</v>
      </c>
      <c r="AW103" s="134">
        <f>'бюджет округа (района)'!Z103+'бюджеты поселений'!Z103</f>
        <v>0</v>
      </c>
      <c r="AX103" s="137">
        <f>'бюджет округа (района)'!Z103</f>
        <v>0</v>
      </c>
      <c r="AY103" s="134">
        <f>'бюджет округа (района)'!AA103+'бюджеты поселений'!AA103</f>
        <v>0</v>
      </c>
      <c r="AZ103" s="137">
        <f>'бюджет округа (района)'!AA103</f>
        <v>0</v>
      </c>
      <c r="BA103" s="135">
        <f t="shared" si="581"/>
        <v>1</v>
      </c>
      <c r="BB103" s="135">
        <f t="shared" si="581"/>
        <v>1</v>
      </c>
      <c r="BC103" s="134">
        <f>'бюджет округа (района)'!AC103+'бюджеты поселений'!AC103</f>
        <v>0</v>
      </c>
      <c r="BD103" s="137">
        <f>'бюджет округа (района)'!AC103</f>
        <v>0</v>
      </c>
      <c r="BE103" s="134">
        <f>'бюджет округа (района)'!AD103+'бюджеты поселений'!AD103</f>
        <v>0</v>
      </c>
      <c r="BF103" s="137">
        <f>'бюджет округа (района)'!AD103</f>
        <v>0</v>
      </c>
      <c r="BG103" s="137">
        <f t="shared" si="570"/>
        <v>0</v>
      </c>
      <c r="BH103" s="137">
        <f t="shared" si="570"/>
        <v>0</v>
      </c>
      <c r="BI103" s="135">
        <f t="shared" si="546"/>
        <v>1</v>
      </c>
      <c r="BJ103" s="135">
        <f t="shared" si="546"/>
        <v>1</v>
      </c>
      <c r="BK103" s="134">
        <f>'бюджет округа (района)'!AG103+'бюджеты поселений'!AG103</f>
        <v>0</v>
      </c>
      <c r="BL103" s="137">
        <f>'бюджет округа (района)'!AG103</f>
        <v>0</v>
      </c>
      <c r="BM103" s="137">
        <f t="shared" si="571"/>
        <v>0</v>
      </c>
      <c r="BN103" s="137">
        <f t="shared" si="571"/>
        <v>0</v>
      </c>
      <c r="BO103" s="135">
        <f t="shared" si="547"/>
        <v>1</v>
      </c>
      <c r="BP103" s="135">
        <f t="shared" si="547"/>
        <v>1</v>
      </c>
      <c r="BQ103" s="134">
        <f>'бюджет округа (района)'!AJ103+'бюджеты поселений'!AJ103</f>
        <v>0</v>
      </c>
      <c r="BR103" s="137">
        <f>'бюджет округа (района)'!AJ103</f>
        <v>0</v>
      </c>
      <c r="BS103" s="137">
        <f t="shared" si="572"/>
        <v>0</v>
      </c>
      <c r="BT103" s="137">
        <f t="shared" si="572"/>
        <v>0</v>
      </c>
      <c r="BU103" s="135">
        <f t="shared" si="548"/>
        <v>1</v>
      </c>
      <c r="BV103" s="135">
        <f t="shared" si="548"/>
        <v>1</v>
      </c>
      <c r="BW103" s="134">
        <f>'бюджет округа (района)'!AM103+'бюджеты поселений'!AM103</f>
        <v>0</v>
      </c>
      <c r="BX103" s="137">
        <f>'бюджет округа (района)'!AM103</f>
        <v>0</v>
      </c>
      <c r="BY103" s="137">
        <f t="shared" si="573"/>
        <v>0</v>
      </c>
      <c r="BZ103" s="137">
        <f t="shared" si="573"/>
        <v>0</v>
      </c>
      <c r="CA103" s="135">
        <f t="shared" si="549"/>
        <v>1</v>
      </c>
      <c r="CB103" s="135">
        <f t="shared" si="549"/>
        <v>1</v>
      </c>
      <c r="CC103" s="134">
        <f>'бюджет округа (района)'!AP103+'бюджеты поселений'!AP103</f>
        <v>0</v>
      </c>
      <c r="CD103" s="137">
        <f>'бюджет округа (района)'!AP103</f>
        <v>0</v>
      </c>
      <c r="CE103" s="137">
        <f t="shared" si="574"/>
        <v>0</v>
      </c>
      <c r="CF103" s="137">
        <f t="shared" si="574"/>
        <v>0</v>
      </c>
      <c r="CG103" s="135">
        <f t="shared" si="550"/>
        <v>1</v>
      </c>
      <c r="CH103" s="135">
        <f t="shared" si="550"/>
        <v>1</v>
      </c>
      <c r="CI103" s="134">
        <f>'бюджет округа (района)'!AS103+'бюджеты поселений'!AS103</f>
        <v>0</v>
      </c>
      <c r="CJ103" s="137">
        <f>'бюджет округа (района)'!AS103</f>
        <v>0</v>
      </c>
      <c r="CK103" s="137">
        <f t="shared" si="575"/>
        <v>0</v>
      </c>
      <c r="CL103" s="137">
        <f t="shared" si="575"/>
        <v>0</v>
      </c>
      <c r="CM103" s="135">
        <f t="shared" si="551"/>
        <v>1</v>
      </c>
      <c r="CN103" s="135">
        <f t="shared" si="551"/>
        <v>1</v>
      </c>
      <c r="CO103" s="134">
        <f>'бюджет округа (района)'!AV103+'бюджеты поселений'!AV103</f>
        <v>0</v>
      </c>
      <c r="CP103" s="137">
        <f>'бюджет округа (района)'!AV103</f>
        <v>0</v>
      </c>
      <c r="CQ103" s="137">
        <f t="shared" si="576"/>
        <v>0</v>
      </c>
      <c r="CR103" s="137">
        <f t="shared" si="576"/>
        <v>0</v>
      </c>
      <c r="CS103" s="135">
        <f t="shared" si="552"/>
        <v>1</v>
      </c>
      <c r="CT103" s="135">
        <f t="shared" si="552"/>
        <v>1</v>
      </c>
      <c r="CU103" s="134">
        <f>'бюджет округа (района)'!AY103+'бюджеты поселений'!AY103</f>
        <v>0</v>
      </c>
      <c r="CV103" s="137">
        <f>'бюджет округа (района)'!AY103</f>
        <v>0</v>
      </c>
      <c r="CW103" s="137">
        <f t="shared" si="577"/>
        <v>0</v>
      </c>
      <c r="CX103" s="137">
        <f t="shared" si="577"/>
        <v>0</v>
      </c>
      <c r="CY103" s="135">
        <f t="shared" si="553"/>
        <v>1</v>
      </c>
      <c r="CZ103" s="135">
        <f t="shared" si="553"/>
        <v>1</v>
      </c>
      <c r="DA103" s="134">
        <f>'бюджет округа (района)'!BB103+'бюджеты поселений'!BB103</f>
        <v>0</v>
      </c>
      <c r="DB103" s="137">
        <f>'бюджет округа (района)'!BB103</f>
        <v>0</v>
      </c>
      <c r="DC103" s="137">
        <f t="shared" si="578"/>
        <v>0</v>
      </c>
      <c r="DD103" s="137">
        <f t="shared" si="578"/>
        <v>0</v>
      </c>
      <c r="DE103" s="135">
        <f t="shared" si="554"/>
        <v>1</v>
      </c>
      <c r="DF103" s="135">
        <f t="shared" si="554"/>
        <v>1</v>
      </c>
      <c r="DG103" s="134">
        <f>'бюджет округа (района)'!BE103+'бюджеты поселений'!BE103</f>
        <v>0</v>
      </c>
      <c r="DH103" s="137">
        <f>'бюджет округа (района)'!BE103</f>
        <v>0</v>
      </c>
      <c r="DI103" s="137">
        <f t="shared" si="579"/>
        <v>0</v>
      </c>
      <c r="DJ103" s="137">
        <f t="shared" si="579"/>
        <v>0</v>
      </c>
      <c r="DK103" s="135">
        <f t="shared" si="555"/>
        <v>1</v>
      </c>
      <c r="DL103" s="135">
        <f t="shared" si="555"/>
        <v>1</v>
      </c>
      <c r="DM103" s="134">
        <f>'бюджет округа (района)'!BH103+'бюджеты поселений'!BH103</f>
        <v>0</v>
      </c>
      <c r="DN103" s="137">
        <f>'бюджет округа (района)'!BH103</f>
        <v>0</v>
      </c>
      <c r="DO103" s="134">
        <f>'бюджет округа (района)'!BI103+'бюджеты поселений'!BI103</f>
        <v>0</v>
      </c>
      <c r="DP103" s="137">
        <f>'бюджет округа (района)'!BI103</f>
        <v>0</v>
      </c>
      <c r="DQ103" s="134">
        <f>'бюджет округа (района)'!BJ103+'бюджеты поселений'!BJ103</f>
        <v>0</v>
      </c>
      <c r="DR103" s="137">
        <f>'бюджет округа (района)'!BJ103</f>
        <v>0</v>
      </c>
      <c r="DS103" s="135">
        <f>IF($AY$103=0,1,DQ103/$AY$103-1)</f>
        <v>1</v>
      </c>
      <c r="DT103" s="135">
        <f>IF($AZ$103=0,1,DR103/$AZ$103-1)</f>
        <v>1</v>
      </c>
      <c r="DU103" s="135">
        <f t="shared" si="557"/>
        <v>1</v>
      </c>
      <c r="DV103" s="135">
        <f t="shared" si="558"/>
        <v>1</v>
      </c>
      <c r="DW103" s="167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  <c r="GY103" s="105"/>
      <c r="GZ103" s="105"/>
      <c r="HA103" s="105"/>
      <c r="HB103" s="105"/>
      <c r="HC103" s="105"/>
      <c r="HD103" s="105"/>
      <c r="HE103" s="105"/>
      <c r="HF103" s="105"/>
      <c r="HG103" s="105"/>
      <c r="HH103" s="105"/>
      <c r="HI103" s="105"/>
      <c r="HJ103" s="105"/>
      <c r="HK103" s="105"/>
      <c r="HL103" s="105"/>
      <c r="HM103" s="105"/>
      <c r="HN103" s="105"/>
      <c r="HO103" s="105"/>
      <c r="HP103" s="105"/>
      <c r="HQ103" s="105"/>
      <c r="HR103" s="105"/>
      <c r="HS103" s="105"/>
      <c r="HT103" s="105"/>
      <c r="HU103" s="105"/>
      <c r="HV103" s="105"/>
      <c r="HW103" s="105"/>
      <c r="HX103" s="105"/>
      <c r="HY103" s="105"/>
      <c r="HZ103" s="105"/>
      <c r="IA103" s="105"/>
      <c r="IB103" s="105"/>
      <c r="IC103" s="105"/>
      <c r="ID103" s="105"/>
      <c r="IE103" s="105"/>
      <c r="IF103" s="105"/>
      <c r="IG103" s="105"/>
      <c r="IH103" s="105"/>
      <c r="II103" s="105"/>
      <c r="IJ103" s="105"/>
      <c r="IK103" s="105"/>
      <c r="IL103" s="105"/>
      <c r="IM103" s="105"/>
      <c r="IN103" s="105"/>
      <c r="IO103" s="105"/>
      <c r="IP103" s="105"/>
      <c r="IQ103" s="105"/>
      <c r="IR103" s="105"/>
      <c r="IS103" s="105"/>
      <c r="IT103" s="105"/>
      <c r="IU103" s="105"/>
      <c r="IV103" s="105"/>
      <c r="IW103" s="105"/>
      <c r="IX103" s="105"/>
      <c r="IY103" s="105"/>
      <c r="IZ103" s="105"/>
      <c r="JA103" s="105"/>
      <c r="JB103" s="105"/>
      <c r="JC103" s="105"/>
      <c r="JD103" s="105"/>
      <c r="JE103" s="105"/>
      <c r="JF103" s="105"/>
      <c r="JG103" s="105"/>
      <c r="JH103" s="105"/>
    </row>
    <row r="104" spans="1:268" s="106" customFormat="1" ht="18" customHeight="1">
      <c r="A104" s="290">
        <v>414</v>
      </c>
      <c r="B104" s="291"/>
      <c r="C104" s="134">
        <f>'бюджет округа (района)'!C104+'бюджеты поселений'!C104</f>
        <v>0</v>
      </c>
      <c r="D104" s="137">
        <f>'бюджет округа (района)'!C104</f>
        <v>0</v>
      </c>
      <c r="E104" s="134">
        <f t="shared" si="589"/>
        <v>0</v>
      </c>
      <c r="F104" s="137">
        <f t="shared" si="589"/>
        <v>0</v>
      </c>
      <c r="G104" s="134">
        <f>'бюджет округа (района)'!E104+'бюджеты поселений'!E104</f>
        <v>0</v>
      </c>
      <c r="H104" s="137">
        <f>'бюджет округа (района)'!E104</f>
        <v>0</v>
      </c>
      <c r="I104" s="134">
        <f>'бюджет округа (района)'!F104+'бюджеты поселений'!F104</f>
        <v>0</v>
      </c>
      <c r="J104" s="137">
        <f>'бюджет округа (района)'!F104</f>
        <v>0</v>
      </c>
      <c r="K104" s="137">
        <f t="shared" si="560"/>
        <v>0</v>
      </c>
      <c r="L104" s="137">
        <f t="shared" si="560"/>
        <v>0</v>
      </c>
      <c r="M104" s="134">
        <f>'бюджет округа (района)'!H104+'бюджеты поселений'!H104</f>
        <v>0</v>
      </c>
      <c r="N104" s="137">
        <f>'бюджет округа (района)'!H104</f>
        <v>0</v>
      </c>
      <c r="O104" s="137">
        <f t="shared" si="590"/>
        <v>0</v>
      </c>
      <c r="P104" s="137">
        <f t="shared" si="590"/>
        <v>0</v>
      </c>
      <c r="Q104" s="134">
        <f>'бюджет округа (района)'!J104+'бюджеты поселений'!J104</f>
        <v>0</v>
      </c>
      <c r="R104" s="137">
        <f>'бюджет округа (района)'!J104</f>
        <v>0</v>
      </c>
      <c r="S104" s="137">
        <f t="shared" si="562"/>
        <v>0</v>
      </c>
      <c r="T104" s="137">
        <f t="shared" si="562"/>
        <v>0</v>
      </c>
      <c r="U104" s="134">
        <f>'бюджет округа (района)'!L104+'бюджеты поселений'!L104</f>
        <v>0</v>
      </c>
      <c r="V104" s="137">
        <f>'бюджет округа (района)'!L104</f>
        <v>0</v>
      </c>
      <c r="W104" s="137">
        <f t="shared" si="563"/>
        <v>0</v>
      </c>
      <c r="X104" s="137">
        <f t="shared" si="563"/>
        <v>0</v>
      </c>
      <c r="Y104" s="134">
        <f>'бюджет округа (района)'!N104+'бюджеты поселений'!N104</f>
        <v>0</v>
      </c>
      <c r="Z104" s="137">
        <f>'бюджет округа (района)'!N104</f>
        <v>0</v>
      </c>
      <c r="AA104" s="137">
        <f t="shared" si="564"/>
        <v>0</v>
      </c>
      <c r="AB104" s="137">
        <f t="shared" si="564"/>
        <v>0</v>
      </c>
      <c r="AC104" s="134">
        <f>'бюджет округа (района)'!P104+'бюджеты поселений'!P104</f>
        <v>0</v>
      </c>
      <c r="AD104" s="137">
        <f>'бюджет округа (района)'!P104</f>
        <v>0</v>
      </c>
      <c r="AE104" s="137">
        <f t="shared" si="565"/>
        <v>0</v>
      </c>
      <c r="AF104" s="137">
        <f t="shared" si="565"/>
        <v>0</v>
      </c>
      <c r="AG104" s="134">
        <f>'бюджет округа (района)'!R104+'бюджеты поселений'!R104</f>
        <v>0</v>
      </c>
      <c r="AH104" s="137">
        <f>'бюджет округа (района)'!R104</f>
        <v>0</v>
      </c>
      <c r="AI104" s="137">
        <f t="shared" si="566"/>
        <v>0</v>
      </c>
      <c r="AJ104" s="137">
        <f t="shared" si="566"/>
        <v>0</v>
      </c>
      <c r="AK104" s="134">
        <f>'бюджет округа (района)'!T104+'бюджеты поселений'!T104</f>
        <v>0</v>
      </c>
      <c r="AL104" s="137">
        <f>'бюджет округа (района)'!T104</f>
        <v>0</v>
      </c>
      <c r="AM104" s="137">
        <f t="shared" si="567"/>
        <v>0</v>
      </c>
      <c r="AN104" s="137">
        <f t="shared" si="567"/>
        <v>0</v>
      </c>
      <c r="AO104" s="134">
        <f>'бюджет округа (района)'!V104+'бюджеты поселений'!V104</f>
        <v>0</v>
      </c>
      <c r="AP104" s="137">
        <f>'бюджет округа (района)'!V104</f>
        <v>0</v>
      </c>
      <c r="AQ104" s="137">
        <f t="shared" si="568"/>
        <v>0</v>
      </c>
      <c r="AR104" s="137">
        <f t="shared" si="568"/>
        <v>0</v>
      </c>
      <c r="AS104" s="134">
        <f>'бюджет округа (района)'!X104+'бюджеты поселений'!X104</f>
        <v>0</v>
      </c>
      <c r="AT104" s="137">
        <f>'бюджет округа (района)'!X104</f>
        <v>0</v>
      </c>
      <c r="AU104" s="137">
        <f t="shared" si="569"/>
        <v>0</v>
      </c>
      <c r="AV104" s="137">
        <f t="shared" si="569"/>
        <v>0</v>
      </c>
      <c r="AW104" s="134">
        <f>'бюджет округа (района)'!Z104+'бюджеты поселений'!Z104</f>
        <v>0</v>
      </c>
      <c r="AX104" s="137">
        <f>'бюджет округа (района)'!Z104</f>
        <v>0</v>
      </c>
      <c r="AY104" s="134">
        <f>'бюджет округа (района)'!AA104+'бюджеты поселений'!AA104</f>
        <v>0</v>
      </c>
      <c r="AZ104" s="137">
        <f>'бюджет округа (района)'!AA104</f>
        <v>0</v>
      </c>
      <c r="BA104" s="135">
        <f t="shared" si="581"/>
        <v>1</v>
      </c>
      <c r="BB104" s="135">
        <f t="shared" si="581"/>
        <v>1</v>
      </c>
      <c r="BC104" s="134">
        <f>'бюджет округа (района)'!AC104+'бюджеты поселений'!AC104</f>
        <v>0</v>
      </c>
      <c r="BD104" s="137">
        <f>'бюджет округа (района)'!AC104</f>
        <v>0</v>
      </c>
      <c r="BE104" s="134">
        <f>'бюджет округа (района)'!AD104+'бюджеты поселений'!AD104</f>
        <v>0</v>
      </c>
      <c r="BF104" s="137">
        <f>'бюджет округа (района)'!AD104</f>
        <v>0</v>
      </c>
      <c r="BG104" s="137">
        <f t="shared" si="570"/>
        <v>0</v>
      </c>
      <c r="BH104" s="137">
        <f t="shared" si="570"/>
        <v>0</v>
      </c>
      <c r="BI104" s="135">
        <f t="shared" si="546"/>
        <v>1</v>
      </c>
      <c r="BJ104" s="135">
        <f t="shared" si="546"/>
        <v>1</v>
      </c>
      <c r="BK104" s="134">
        <f>'бюджет округа (района)'!AG104+'бюджеты поселений'!AG104</f>
        <v>0</v>
      </c>
      <c r="BL104" s="137">
        <f>'бюджет округа (района)'!AG104</f>
        <v>0</v>
      </c>
      <c r="BM104" s="137">
        <f t="shared" si="571"/>
        <v>0</v>
      </c>
      <c r="BN104" s="137">
        <f t="shared" si="571"/>
        <v>0</v>
      </c>
      <c r="BO104" s="135">
        <f t="shared" si="547"/>
        <v>1</v>
      </c>
      <c r="BP104" s="135">
        <f t="shared" si="547"/>
        <v>1</v>
      </c>
      <c r="BQ104" s="134">
        <f>'бюджет округа (района)'!AJ104+'бюджеты поселений'!AJ104</f>
        <v>0</v>
      </c>
      <c r="BR104" s="137">
        <f>'бюджет округа (района)'!AJ104</f>
        <v>0</v>
      </c>
      <c r="BS104" s="137">
        <f t="shared" si="572"/>
        <v>0</v>
      </c>
      <c r="BT104" s="137">
        <f t="shared" si="572"/>
        <v>0</v>
      </c>
      <c r="BU104" s="135">
        <f t="shared" si="548"/>
        <v>1</v>
      </c>
      <c r="BV104" s="135">
        <f t="shared" si="548"/>
        <v>1</v>
      </c>
      <c r="BW104" s="134">
        <f>'бюджет округа (района)'!AM104+'бюджеты поселений'!AM104</f>
        <v>0</v>
      </c>
      <c r="BX104" s="137">
        <f>'бюджет округа (района)'!AM104</f>
        <v>0</v>
      </c>
      <c r="BY104" s="137">
        <f t="shared" si="573"/>
        <v>0</v>
      </c>
      <c r="BZ104" s="137">
        <f t="shared" si="573"/>
        <v>0</v>
      </c>
      <c r="CA104" s="135">
        <f t="shared" si="549"/>
        <v>1</v>
      </c>
      <c r="CB104" s="135">
        <f t="shared" si="549"/>
        <v>1</v>
      </c>
      <c r="CC104" s="134">
        <f>'бюджет округа (района)'!AP104+'бюджеты поселений'!AP104</f>
        <v>0</v>
      </c>
      <c r="CD104" s="137">
        <f>'бюджет округа (района)'!AP104</f>
        <v>0</v>
      </c>
      <c r="CE104" s="137">
        <f t="shared" si="574"/>
        <v>0</v>
      </c>
      <c r="CF104" s="137">
        <f t="shared" si="574"/>
        <v>0</v>
      </c>
      <c r="CG104" s="135">
        <f t="shared" si="550"/>
        <v>1</v>
      </c>
      <c r="CH104" s="135">
        <f t="shared" si="550"/>
        <v>1</v>
      </c>
      <c r="CI104" s="134">
        <f>'бюджет округа (района)'!AS104+'бюджеты поселений'!AS104</f>
        <v>0</v>
      </c>
      <c r="CJ104" s="137">
        <f>'бюджет округа (района)'!AS104</f>
        <v>0</v>
      </c>
      <c r="CK104" s="137">
        <f t="shared" si="575"/>
        <v>0</v>
      </c>
      <c r="CL104" s="137">
        <f t="shared" si="575"/>
        <v>0</v>
      </c>
      <c r="CM104" s="135">
        <f t="shared" si="551"/>
        <v>1</v>
      </c>
      <c r="CN104" s="135">
        <f t="shared" si="551"/>
        <v>1</v>
      </c>
      <c r="CO104" s="134">
        <f>'бюджет округа (района)'!AV104+'бюджеты поселений'!AV104</f>
        <v>0</v>
      </c>
      <c r="CP104" s="137">
        <f>'бюджет округа (района)'!AV104</f>
        <v>0</v>
      </c>
      <c r="CQ104" s="137">
        <f t="shared" si="576"/>
        <v>0</v>
      </c>
      <c r="CR104" s="137">
        <f t="shared" si="576"/>
        <v>0</v>
      </c>
      <c r="CS104" s="135">
        <f t="shared" si="552"/>
        <v>1</v>
      </c>
      <c r="CT104" s="135">
        <f t="shared" si="552"/>
        <v>1</v>
      </c>
      <c r="CU104" s="134">
        <f>'бюджет округа (района)'!AY104+'бюджеты поселений'!AY104</f>
        <v>0</v>
      </c>
      <c r="CV104" s="137">
        <f>'бюджет округа (района)'!AY104</f>
        <v>0</v>
      </c>
      <c r="CW104" s="137">
        <f t="shared" si="577"/>
        <v>0</v>
      </c>
      <c r="CX104" s="137">
        <f t="shared" si="577"/>
        <v>0</v>
      </c>
      <c r="CY104" s="135">
        <f t="shared" si="553"/>
        <v>1</v>
      </c>
      <c r="CZ104" s="135">
        <f t="shared" si="553"/>
        <v>1</v>
      </c>
      <c r="DA104" s="134">
        <f>'бюджет округа (района)'!BB104+'бюджеты поселений'!BB104</f>
        <v>0</v>
      </c>
      <c r="DB104" s="137">
        <f>'бюджет округа (района)'!BB104</f>
        <v>0</v>
      </c>
      <c r="DC104" s="137">
        <f t="shared" si="578"/>
        <v>0</v>
      </c>
      <c r="DD104" s="137">
        <f t="shared" si="578"/>
        <v>0</v>
      </c>
      <c r="DE104" s="135">
        <f t="shared" si="554"/>
        <v>1</v>
      </c>
      <c r="DF104" s="135">
        <f t="shared" si="554"/>
        <v>1</v>
      </c>
      <c r="DG104" s="134">
        <f>'бюджет округа (района)'!BE104+'бюджеты поселений'!BE104</f>
        <v>0</v>
      </c>
      <c r="DH104" s="137">
        <f>'бюджет округа (района)'!BE104</f>
        <v>0</v>
      </c>
      <c r="DI104" s="137">
        <f t="shared" si="579"/>
        <v>0</v>
      </c>
      <c r="DJ104" s="137">
        <f t="shared" si="579"/>
        <v>0</v>
      </c>
      <c r="DK104" s="135">
        <f t="shared" si="555"/>
        <v>1</v>
      </c>
      <c r="DL104" s="135">
        <f t="shared" si="555"/>
        <v>1</v>
      </c>
      <c r="DM104" s="134">
        <f>'бюджет округа (района)'!BH104+'бюджеты поселений'!BH104</f>
        <v>0</v>
      </c>
      <c r="DN104" s="137">
        <f>'бюджет округа (района)'!BH104</f>
        <v>0</v>
      </c>
      <c r="DO104" s="134">
        <f>'бюджет округа (района)'!BI104+'бюджеты поселений'!BI104</f>
        <v>0</v>
      </c>
      <c r="DP104" s="137">
        <f>'бюджет округа (района)'!BI104</f>
        <v>0</v>
      </c>
      <c r="DQ104" s="134">
        <f>'бюджет округа (района)'!BJ104+'бюджеты поселений'!BJ104</f>
        <v>0</v>
      </c>
      <c r="DR104" s="137">
        <f>'бюджет округа (района)'!BJ104</f>
        <v>0</v>
      </c>
      <c r="DS104" s="135">
        <f>IF($AY$104=0,1,DQ104/$AY$104-1)</f>
        <v>1</v>
      </c>
      <c r="DT104" s="135">
        <f>IF($AZ$104=0,1,DR104/$AZ$104-1)</f>
        <v>1</v>
      </c>
      <c r="DU104" s="135">
        <f t="shared" si="557"/>
        <v>1</v>
      </c>
      <c r="DV104" s="135">
        <f t="shared" si="558"/>
        <v>1</v>
      </c>
      <c r="DW104" s="167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  <c r="GY104" s="105"/>
      <c r="GZ104" s="105"/>
      <c r="HA104" s="105"/>
      <c r="HB104" s="105"/>
      <c r="HC104" s="105"/>
      <c r="HD104" s="105"/>
      <c r="HE104" s="105"/>
      <c r="HF104" s="105"/>
      <c r="HG104" s="105"/>
      <c r="HH104" s="105"/>
      <c r="HI104" s="105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5"/>
      <c r="HV104" s="105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05"/>
      <c r="II104" s="105"/>
      <c r="IJ104" s="105"/>
      <c r="IK104" s="105"/>
      <c r="IL104" s="105"/>
      <c r="IM104" s="105"/>
      <c r="IN104" s="105"/>
      <c r="IO104" s="105"/>
      <c r="IP104" s="105"/>
      <c r="IQ104" s="105"/>
      <c r="IR104" s="105"/>
      <c r="IS104" s="105"/>
      <c r="IT104" s="105"/>
      <c r="IU104" s="105"/>
      <c r="IV104" s="105"/>
      <c r="IW104" s="105"/>
      <c r="IX104" s="105"/>
      <c r="IY104" s="105"/>
      <c r="IZ104" s="105"/>
      <c r="JA104" s="105"/>
      <c r="JB104" s="105"/>
      <c r="JC104" s="105"/>
      <c r="JD104" s="105"/>
      <c r="JE104" s="105"/>
      <c r="JF104" s="105"/>
      <c r="JG104" s="105"/>
      <c r="JH104" s="105"/>
    </row>
    <row r="105" spans="1:268" s="106" customFormat="1" ht="18" customHeight="1">
      <c r="A105" s="290">
        <v>521</v>
      </c>
      <c r="B105" s="291"/>
      <c r="C105" s="134">
        <f>'бюджет округа (района)'!C105+'бюджеты поселений'!C105</f>
        <v>0</v>
      </c>
      <c r="D105" s="137">
        <f>'бюджет округа (района)'!C105</f>
        <v>0</v>
      </c>
      <c r="E105" s="134">
        <f t="shared" si="589"/>
        <v>0</v>
      </c>
      <c r="F105" s="137">
        <f t="shared" si="589"/>
        <v>0</v>
      </c>
      <c r="G105" s="134">
        <f>'бюджет округа (района)'!E105+'бюджеты поселений'!E105</f>
        <v>0</v>
      </c>
      <c r="H105" s="137">
        <f>'бюджет округа (района)'!E105</f>
        <v>0</v>
      </c>
      <c r="I105" s="134">
        <f>'бюджет округа (района)'!F105+'бюджеты поселений'!F105</f>
        <v>0</v>
      </c>
      <c r="J105" s="137">
        <f>'бюджет округа (района)'!F105</f>
        <v>0</v>
      </c>
      <c r="K105" s="137">
        <f t="shared" si="560"/>
        <v>0</v>
      </c>
      <c r="L105" s="137">
        <f t="shared" si="560"/>
        <v>0</v>
      </c>
      <c r="M105" s="134">
        <f>'бюджет округа (района)'!H105+'бюджеты поселений'!H105</f>
        <v>0</v>
      </c>
      <c r="N105" s="137">
        <f>'бюджет округа (района)'!H105</f>
        <v>0</v>
      </c>
      <c r="O105" s="137">
        <f t="shared" si="590"/>
        <v>0</v>
      </c>
      <c r="P105" s="137">
        <f t="shared" si="590"/>
        <v>0</v>
      </c>
      <c r="Q105" s="134">
        <f>'бюджет округа (района)'!J105+'бюджеты поселений'!J105</f>
        <v>0</v>
      </c>
      <c r="R105" s="137">
        <f>'бюджет округа (района)'!J105</f>
        <v>0</v>
      </c>
      <c r="S105" s="137">
        <f t="shared" si="562"/>
        <v>0</v>
      </c>
      <c r="T105" s="137">
        <f t="shared" si="562"/>
        <v>0</v>
      </c>
      <c r="U105" s="134">
        <f>'бюджет округа (района)'!L105+'бюджеты поселений'!L105</f>
        <v>0</v>
      </c>
      <c r="V105" s="137">
        <f>'бюджет округа (района)'!L105</f>
        <v>0</v>
      </c>
      <c r="W105" s="137">
        <f t="shared" si="563"/>
        <v>0</v>
      </c>
      <c r="X105" s="137">
        <f t="shared" si="563"/>
        <v>0</v>
      </c>
      <c r="Y105" s="134">
        <f>'бюджет округа (района)'!N105+'бюджеты поселений'!N105</f>
        <v>0</v>
      </c>
      <c r="Z105" s="137">
        <f>'бюджет округа (района)'!N105</f>
        <v>0</v>
      </c>
      <c r="AA105" s="137">
        <f t="shared" si="564"/>
        <v>0</v>
      </c>
      <c r="AB105" s="137">
        <f t="shared" si="564"/>
        <v>0</v>
      </c>
      <c r="AC105" s="134">
        <f>'бюджет округа (района)'!P105+'бюджеты поселений'!P105</f>
        <v>0</v>
      </c>
      <c r="AD105" s="137">
        <f>'бюджет округа (района)'!P105</f>
        <v>0</v>
      </c>
      <c r="AE105" s="137">
        <f t="shared" si="565"/>
        <v>0</v>
      </c>
      <c r="AF105" s="137">
        <f t="shared" si="565"/>
        <v>0</v>
      </c>
      <c r="AG105" s="134">
        <f>'бюджет округа (района)'!R105+'бюджеты поселений'!R105</f>
        <v>0</v>
      </c>
      <c r="AH105" s="137">
        <f>'бюджет округа (района)'!R105</f>
        <v>0</v>
      </c>
      <c r="AI105" s="137">
        <f t="shared" si="566"/>
        <v>0</v>
      </c>
      <c r="AJ105" s="137">
        <f t="shared" si="566"/>
        <v>0</v>
      </c>
      <c r="AK105" s="134">
        <f>'бюджет округа (района)'!T105+'бюджеты поселений'!T105</f>
        <v>0</v>
      </c>
      <c r="AL105" s="137">
        <f>'бюджет округа (района)'!T105</f>
        <v>0</v>
      </c>
      <c r="AM105" s="137">
        <f t="shared" si="567"/>
        <v>0</v>
      </c>
      <c r="AN105" s="137">
        <f t="shared" si="567"/>
        <v>0</v>
      </c>
      <c r="AO105" s="134">
        <f>'бюджет округа (района)'!V105+'бюджеты поселений'!V105</f>
        <v>0</v>
      </c>
      <c r="AP105" s="137">
        <f>'бюджет округа (района)'!V105</f>
        <v>0</v>
      </c>
      <c r="AQ105" s="137">
        <f t="shared" si="568"/>
        <v>0</v>
      </c>
      <c r="AR105" s="137">
        <f t="shared" si="568"/>
        <v>0</v>
      </c>
      <c r="AS105" s="134">
        <f>'бюджет округа (района)'!X105+'бюджеты поселений'!X105</f>
        <v>0</v>
      </c>
      <c r="AT105" s="137">
        <f>'бюджет округа (района)'!X105</f>
        <v>0</v>
      </c>
      <c r="AU105" s="137">
        <f t="shared" si="569"/>
        <v>0</v>
      </c>
      <c r="AV105" s="137">
        <f t="shared" si="569"/>
        <v>0</v>
      </c>
      <c r="AW105" s="134">
        <f>'бюджет округа (района)'!Z105+'бюджеты поселений'!Z105</f>
        <v>0</v>
      </c>
      <c r="AX105" s="137">
        <f>'бюджет округа (района)'!Z105</f>
        <v>0</v>
      </c>
      <c r="AY105" s="134">
        <f>'бюджет округа (района)'!AA105+'бюджеты поселений'!AA105</f>
        <v>0</v>
      </c>
      <c r="AZ105" s="137">
        <f>'бюджет округа (района)'!AA105</f>
        <v>0</v>
      </c>
      <c r="BA105" s="135">
        <f t="shared" si="581"/>
        <v>1</v>
      </c>
      <c r="BB105" s="135">
        <f t="shared" si="581"/>
        <v>1</v>
      </c>
      <c r="BC105" s="134">
        <f>'бюджет округа (района)'!AC105+'бюджеты поселений'!AC105</f>
        <v>0</v>
      </c>
      <c r="BD105" s="137">
        <f>'бюджет округа (района)'!AC105</f>
        <v>0</v>
      </c>
      <c r="BE105" s="134">
        <f>'бюджет округа (района)'!AD105+'бюджеты поселений'!AD105</f>
        <v>0</v>
      </c>
      <c r="BF105" s="137">
        <f>'бюджет округа (района)'!AD105</f>
        <v>0</v>
      </c>
      <c r="BG105" s="137">
        <f t="shared" si="570"/>
        <v>0</v>
      </c>
      <c r="BH105" s="137">
        <f t="shared" si="570"/>
        <v>0</v>
      </c>
      <c r="BI105" s="135">
        <f t="shared" si="546"/>
        <v>1</v>
      </c>
      <c r="BJ105" s="135">
        <f t="shared" si="546"/>
        <v>1</v>
      </c>
      <c r="BK105" s="134">
        <f>'бюджет округа (района)'!AG105+'бюджеты поселений'!AG105</f>
        <v>0</v>
      </c>
      <c r="BL105" s="137">
        <f>'бюджет округа (района)'!AG105</f>
        <v>0</v>
      </c>
      <c r="BM105" s="137">
        <f t="shared" si="571"/>
        <v>0</v>
      </c>
      <c r="BN105" s="137">
        <f t="shared" si="571"/>
        <v>0</v>
      </c>
      <c r="BO105" s="135">
        <f t="shared" si="547"/>
        <v>1</v>
      </c>
      <c r="BP105" s="135">
        <f t="shared" si="547"/>
        <v>1</v>
      </c>
      <c r="BQ105" s="134">
        <f>'бюджет округа (района)'!AJ105+'бюджеты поселений'!AJ105</f>
        <v>0</v>
      </c>
      <c r="BR105" s="137">
        <f>'бюджет округа (района)'!AJ105</f>
        <v>0</v>
      </c>
      <c r="BS105" s="137">
        <f t="shared" si="572"/>
        <v>0</v>
      </c>
      <c r="BT105" s="137">
        <f t="shared" si="572"/>
        <v>0</v>
      </c>
      <c r="BU105" s="135">
        <f t="shared" si="548"/>
        <v>1</v>
      </c>
      <c r="BV105" s="135">
        <f t="shared" si="548"/>
        <v>1</v>
      </c>
      <c r="BW105" s="134">
        <f>'бюджет округа (района)'!AM105+'бюджеты поселений'!AM105</f>
        <v>0</v>
      </c>
      <c r="BX105" s="137">
        <f>'бюджет округа (района)'!AM105</f>
        <v>0</v>
      </c>
      <c r="BY105" s="137">
        <f t="shared" si="573"/>
        <v>0</v>
      </c>
      <c r="BZ105" s="137">
        <f t="shared" si="573"/>
        <v>0</v>
      </c>
      <c r="CA105" s="135">
        <f t="shared" si="549"/>
        <v>1</v>
      </c>
      <c r="CB105" s="135">
        <f t="shared" si="549"/>
        <v>1</v>
      </c>
      <c r="CC105" s="134">
        <f>'бюджет округа (района)'!AP105+'бюджеты поселений'!AP105</f>
        <v>0</v>
      </c>
      <c r="CD105" s="137">
        <f>'бюджет округа (района)'!AP105</f>
        <v>0</v>
      </c>
      <c r="CE105" s="137">
        <f t="shared" si="574"/>
        <v>0</v>
      </c>
      <c r="CF105" s="137">
        <f t="shared" si="574"/>
        <v>0</v>
      </c>
      <c r="CG105" s="135">
        <f t="shared" si="550"/>
        <v>1</v>
      </c>
      <c r="CH105" s="135">
        <f t="shared" si="550"/>
        <v>1</v>
      </c>
      <c r="CI105" s="134">
        <f>'бюджет округа (района)'!AS105+'бюджеты поселений'!AS105</f>
        <v>0</v>
      </c>
      <c r="CJ105" s="137">
        <f>'бюджет округа (района)'!AS105</f>
        <v>0</v>
      </c>
      <c r="CK105" s="137">
        <f t="shared" si="575"/>
        <v>0</v>
      </c>
      <c r="CL105" s="137">
        <f t="shared" si="575"/>
        <v>0</v>
      </c>
      <c r="CM105" s="135">
        <f t="shared" si="551"/>
        <v>1</v>
      </c>
      <c r="CN105" s="135">
        <f t="shared" si="551"/>
        <v>1</v>
      </c>
      <c r="CO105" s="134">
        <f>'бюджет округа (района)'!AV105+'бюджеты поселений'!AV105</f>
        <v>0</v>
      </c>
      <c r="CP105" s="137">
        <f>'бюджет округа (района)'!AV105</f>
        <v>0</v>
      </c>
      <c r="CQ105" s="137">
        <f t="shared" si="576"/>
        <v>0</v>
      </c>
      <c r="CR105" s="137">
        <f t="shared" si="576"/>
        <v>0</v>
      </c>
      <c r="CS105" s="135">
        <f t="shared" si="552"/>
        <v>1</v>
      </c>
      <c r="CT105" s="135">
        <f t="shared" si="552"/>
        <v>1</v>
      </c>
      <c r="CU105" s="134">
        <f>'бюджет округа (района)'!AY105+'бюджеты поселений'!AY105</f>
        <v>0</v>
      </c>
      <c r="CV105" s="137">
        <f>'бюджет округа (района)'!AY105</f>
        <v>0</v>
      </c>
      <c r="CW105" s="137">
        <f t="shared" si="577"/>
        <v>0</v>
      </c>
      <c r="CX105" s="137">
        <f t="shared" si="577"/>
        <v>0</v>
      </c>
      <c r="CY105" s="135">
        <f t="shared" si="553"/>
        <v>1</v>
      </c>
      <c r="CZ105" s="135">
        <f t="shared" si="553"/>
        <v>1</v>
      </c>
      <c r="DA105" s="134">
        <f>'бюджет округа (района)'!BB105+'бюджеты поселений'!BB105</f>
        <v>0</v>
      </c>
      <c r="DB105" s="137">
        <f>'бюджет округа (района)'!BB105</f>
        <v>0</v>
      </c>
      <c r="DC105" s="137">
        <f t="shared" si="578"/>
        <v>0</v>
      </c>
      <c r="DD105" s="137">
        <f t="shared" si="578"/>
        <v>0</v>
      </c>
      <c r="DE105" s="135">
        <f t="shared" si="554"/>
        <v>1</v>
      </c>
      <c r="DF105" s="135">
        <f t="shared" si="554"/>
        <v>1</v>
      </c>
      <c r="DG105" s="134">
        <f>'бюджет округа (района)'!BE105+'бюджеты поселений'!BE105</f>
        <v>0</v>
      </c>
      <c r="DH105" s="137">
        <f>'бюджет округа (района)'!BE105</f>
        <v>0</v>
      </c>
      <c r="DI105" s="137">
        <f t="shared" si="579"/>
        <v>0</v>
      </c>
      <c r="DJ105" s="137">
        <f t="shared" si="579"/>
        <v>0</v>
      </c>
      <c r="DK105" s="135">
        <f t="shared" si="555"/>
        <v>1</v>
      </c>
      <c r="DL105" s="135">
        <f t="shared" si="555"/>
        <v>1</v>
      </c>
      <c r="DM105" s="134">
        <f>'бюджет округа (района)'!BH105+'бюджеты поселений'!BH105</f>
        <v>0</v>
      </c>
      <c r="DN105" s="137">
        <f>'бюджет округа (района)'!BH105</f>
        <v>0</v>
      </c>
      <c r="DO105" s="134">
        <f>'бюджет округа (района)'!BI105+'бюджеты поселений'!BI105</f>
        <v>0</v>
      </c>
      <c r="DP105" s="137">
        <f>'бюджет округа (района)'!BI105</f>
        <v>0</v>
      </c>
      <c r="DQ105" s="134">
        <f>'бюджет округа (района)'!BJ105+'бюджеты поселений'!BJ105</f>
        <v>0</v>
      </c>
      <c r="DR105" s="137">
        <f>'бюджет округа (района)'!BJ105</f>
        <v>0</v>
      </c>
      <c r="DS105" s="135">
        <f>IF($AY$105=0,1,DQ105/$AY$105-1)</f>
        <v>1</v>
      </c>
      <c r="DT105" s="135">
        <f>IF($AZ$105=0,1,DR105/$AZ$105-1)</f>
        <v>1</v>
      </c>
      <c r="DU105" s="135">
        <f t="shared" si="557"/>
        <v>1</v>
      </c>
      <c r="DV105" s="135">
        <f t="shared" si="558"/>
        <v>1</v>
      </c>
      <c r="DW105" s="167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  <c r="GY105" s="105"/>
      <c r="GZ105" s="105"/>
      <c r="HA105" s="105"/>
      <c r="HB105" s="105"/>
      <c r="HC105" s="105"/>
      <c r="HD105" s="105"/>
      <c r="HE105" s="105"/>
      <c r="HF105" s="105"/>
      <c r="HG105" s="105"/>
      <c r="HH105" s="105"/>
      <c r="HI105" s="105"/>
      <c r="HJ105" s="105"/>
      <c r="HK105" s="105"/>
      <c r="HL105" s="105"/>
      <c r="HM105" s="105"/>
      <c r="HN105" s="105"/>
      <c r="HO105" s="105"/>
      <c r="HP105" s="105"/>
      <c r="HQ105" s="105"/>
      <c r="HR105" s="105"/>
      <c r="HS105" s="105"/>
      <c r="HT105" s="105"/>
      <c r="HU105" s="105"/>
      <c r="HV105" s="105"/>
      <c r="HW105" s="105"/>
      <c r="HX105" s="105"/>
      <c r="HY105" s="105"/>
      <c r="HZ105" s="105"/>
      <c r="IA105" s="105"/>
      <c r="IB105" s="105"/>
      <c r="IC105" s="105"/>
      <c r="ID105" s="105"/>
      <c r="IE105" s="105"/>
      <c r="IF105" s="105"/>
      <c r="IG105" s="105"/>
      <c r="IH105" s="105"/>
      <c r="II105" s="105"/>
      <c r="IJ105" s="105"/>
      <c r="IK105" s="105"/>
      <c r="IL105" s="105"/>
      <c r="IM105" s="105"/>
      <c r="IN105" s="105"/>
      <c r="IO105" s="105"/>
      <c r="IP105" s="105"/>
      <c r="IQ105" s="105"/>
      <c r="IR105" s="105"/>
      <c r="IS105" s="105"/>
      <c r="IT105" s="105"/>
      <c r="IU105" s="105"/>
      <c r="IV105" s="105"/>
      <c r="IW105" s="105"/>
      <c r="IX105" s="105"/>
      <c r="IY105" s="105"/>
      <c r="IZ105" s="105"/>
      <c r="JA105" s="105"/>
      <c r="JB105" s="105"/>
      <c r="JC105" s="105"/>
      <c r="JD105" s="105"/>
      <c r="JE105" s="105"/>
      <c r="JF105" s="105"/>
      <c r="JG105" s="105"/>
      <c r="JH105" s="105"/>
    </row>
    <row r="106" spans="1:268" s="106" customFormat="1" ht="18" customHeight="1">
      <c r="A106" s="290">
        <v>831</v>
      </c>
      <c r="B106" s="291"/>
      <c r="C106" s="134">
        <f>'бюджет округа (района)'!C106+'бюджеты поселений'!C106</f>
        <v>0</v>
      </c>
      <c r="D106" s="137">
        <f>'бюджет округа (района)'!C106</f>
        <v>0</v>
      </c>
      <c r="E106" s="134">
        <f t="shared" si="589"/>
        <v>0</v>
      </c>
      <c r="F106" s="137">
        <f t="shared" si="589"/>
        <v>0</v>
      </c>
      <c r="G106" s="134">
        <f>'бюджет округа (района)'!E106+'бюджеты поселений'!E106</f>
        <v>0</v>
      </c>
      <c r="H106" s="137">
        <f>'бюджет округа (района)'!E106</f>
        <v>0</v>
      </c>
      <c r="I106" s="134">
        <f>'бюджет округа (района)'!F106+'бюджеты поселений'!F106</f>
        <v>0</v>
      </c>
      <c r="J106" s="137">
        <f>'бюджет округа (района)'!F106</f>
        <v>0</v>
      </c>
      <c r="K106" s="137">
        <f t="shared" si="560"/>
        <v>0</v>
      </c>
      <c r="L106" s="137">
        <f t="shared" si="560"/>
        <v>0</v>
      </c>
      <c r="M106" s="134">
        <f>'бюджет округа (района)'!H106+'бюджеты поселений'!H106</f>
        <v>0</v>
      </c>
      <c r="N106" s="137">
        <f>'бюджет округа (района)'!H106</f>
        <v>0</v>
      </c>
      <c r="O106" s="137">
        <f t="shared" si="590"/>
        <v>0</v>
      </c>
      <c r="P106" s="137">
        <f t="shared" si="590"/>
        <v>0</v>
      </c>
      <c r="Q106" s="134">
        <f>'бюджет округа (района)'!J106+'бюджеты поселений'!J106</f>
        <v>0</v>
      </c>
      <c r="R106" s="137">
        <f>'бюджет округа (района)'!J106</f>
        <v>0</v>
      </c>
      <c r="S106" s="137">
        <f t="shared" si="562"/>
        <v>0</v>
      </c>
      <c r="T106" s="137">
        <f t="shared" si="562"/>
        <v>0</v>
      </c>
      <c r="U106" s="134">
        <f>'бюджет округа (района)'!L106+'бюджеты поселений'!L106</f>
        <v>0</v>
      </c>
      <c r="V106" s="137">
        <f>'бюджет округа (района)'!L106</f>
        <v>0</v>
      </c>
      <c r="W106" s="137">
        <f t="shared" si="563"/>
        <v>0</v>
      </c>
      <c r="X106" s="137">
        <f t="shared" si="563"/>
        <v>0</v>
      </c>
      <c r="Y106" s="134">
        <f>'бюджет округа (района)'!N106+'бюджеты поселений'!N106</f>
        <v>0</v>
      </c>
      <c r="Z106" s="137">
        <f>'бюджет округа (района)'!N106</f>
        <v>0</v>
      </c>
      <c r="AA106" s="137">
        <f t="shared" si="564"/>
        <v>0</v>
      </c>
      <c r="AB106" s="137">
        <f t="shared" si="564"/>
        <v>0</v>
      </c>
      <c r="AC106" s="134">
        <f>'бюджет округа (района)'!P106+'бюджеты поселений'!P106</f>
        <v>0</v>
      </c>
      <c r="AD106" s="137">
        <f>'бюджет округа (района)'!P106</f>
        <v>0</v>
      </c>
      <c r="AE106" s="137">
        <f t="shared" si="565"/>
        <v>0</v>
      </c>
      <c r="AF106" s="137">
        <f t="shared" si="565"/>
        <v>0</v>
      </c>
      <c r="AG106" s="134">
        <f>'бюджет округа (района)'!R106+'бюджеты поселений'!R106</f>
        <v>0</v>
      </c>
      <c r="AH106" s="137">
        <f>'бюджет округа (района)'!R106</f>
        <v>0</v>
      </c>
      <c r="AI106" s="137">
        <f t="shared" si="566"/>
        <v>0</v>
      </c>
      <c r="AJ106" s="137">
        <f t="shared" si="566"/>
        <v>0</v>
      </c>
      <c r="AK106" s="134">
        <f>'бюджет округа (района)'!T106+'бюджеты поселений'!T106</f>
        <v>0</v>
      </c>
      <c r="AL106" s="137">
        <f>'бюджет округа (района)'!T106</f>
        <v>0</v>
      </c>
      <c r="AM106" s="137">
        <f t="shared" si="567"/>
        <v>0</v>
      </c>
      <c r="AN106" s="137">
        <f t="shared" si="567"/>
        <v>0</v>
      </c>
      <c r="AO106" s="134">
        <f>'бюджет округа (района)'!V106+'бюджеты поселений'!V106</f>
        <v>0</v>
      </c>
      <c r="AP106" s="137">
        <f>'бюджет округа (района)'!V106</f>
        <v>0</v>
      </c>
      <c r="AQ106" s="137">
        <f t="shared" si="568"/>
        <v>0</v>
      </c>
      <c r="AR106" s="137">
        <f t="shared" si="568"/>
        <v>0</v>
      </c>
      <c r="AS106" s="134">
        <f>'бюджет округа (района)'!X106+'бюджеты поселений'!X106</f>
        <v>0</v>
      </c>
      <c r="AT106" s="137">
        <f>'бюджет округа (района)'!X106</f>
        <v>0</v>
      </c>
      <c r="AU106" s="137">
        <f t="shared" si="569"/>
        <v>0</v>
      </c>
      <c r="AV106" s="137">
        <f t="shared" si="569"/>
        <v>0</v>
      </c>
      <c r="AW106" s="134">
        <f>'бюджет округа (района)'!Z106+'бюджеты поселений'!Z106</f>
        <v>0</v>
      </c>
      <c r="AX106" s="137">
        <f>'бюджет округа (района)'!Z106</f>
        <v>0</v>
      </c>
      <c r="AY106" s="134">
        <f>'бюджет округа (района)'!AA106+'бюджеты поселений'!AA106</f>
        <v>0</v>
      </c>
      <c r="AZ106" s="137">
        <f>'бюджет округа (района)'!AA106</f>
        <v>0</v>
      </c>
      <c r="BA106" s="135">
        <f t="shared" si="581"/>
        <v>1</v>
      </c>
      <c r="BB106" s="135">
        <f t="shared" si="581"/>
        <v>1</v>
      </c>
      <c r="BC106" s="134">
        <f>'бюджет округа (района)'!AC106+'бюджеты поселений'!AC106</f>
        <v>0</v>
      </c>
      <c r="BD106" s="137">
        <f>'бюджет округа (района)'!AC106</f>
        <v>0</v>
      </c>
      <c r="BE106" s="134">
        <f>'бюджет округа (района)'!AD106+'бюджеты поселений'!AD106</f>
        <v>0</v>
      </c>
      <c r="BF106" s="137">
        <f>'бюджет округа (района)'!AD106</f>
        <v>0</v>
      </c>
      <c r="BG106" s="137">
        <f t="shared" si="570"/>
        <v>0</v>
      </c>
      <c r="BH106" s="137">
        <f t="shared" si="570"/>
        <v>0</v>
      </c>
      <c r="BI106" s="135">
        <f t="shared" si="546"/>
        <v>1</v>
      </c>
      <c r="BJ106" s="135">
        <f t="shared" si="546"/>
        <v>1</v>
      </c>
      <c r="BK106" s="134">
        <f>'бюджет округа (района)'!AG106+'бюджеты поселений'!AG106</f>
        <v>0</v>
      </c>
      <c r="BL106" s="137">
        <f>'бюджет округа (района)'!AG106</f>
        <v>0</v>
      </c>
      <c r="BM106" s="137">
        <f t="shared" si="571"/>
        <v>0</v>
      </c>
      <c r="BN106" s="137">
        <f t="shared" si="571"/>
        <v>0</v>
      </c>
      <c r="BO106" s="135">
        <f t="shared" si="547"/>
        <v>1</v>
      </c>
      <c r="BP106" s="135">
        <f t="shared" si="547"/>
        <v>1</v>
      </c>
      <c r="BQ106" s="134">
        <f>'бюджет округа (района)'!AJ106+'бюджеты поселений'!AJ106</f>
        <v>0</v>
      </c>
      <c r="BR106" s="137">
        <f>'бюджет округа (района)'!AJ106</f>
        <v>0</v>
      </c>
      <c r="BS106" s="137">
        <f t="shared" si="572"/>
        <v>0</v>
      </c>
      <c r="BT106" s="137">
        <f t="shared" si="572"/>
        <v>0</v>
      </c>
      <c r="BU106" s="135">
        <f t="shared" si="548"/>
        <v>1</v>
      </c>
      <c r="BV106" s="135">
        <f t="shared" si="548"/>
        <v>1</v>
      </c>
      <c r="BW106" s="134">
        <f>'бюджет округа (района)'!AM106+'бюджеты поселений'!AM106</f>
        <v>0</v>
      </c>
      <c r="BX106" s="137">
        <f>'бюджет округа (района)'!AM106</f>
        <v>0</v>
      </c>
      <c r="BY106" s="137">
        <f t="shared" si="573"/>
        <v>0</v>
      </c>
      <c r="BZ106" s="137">
        <f t="shared" si="573"/>
        <v>0</v>
      </c>
      <c r="CA106" s="135">
        <f t="shared" si="549"/>
        <v>1</v>
      </c>
      <c r="CB106" s="135">
        <f t="shared" si="549"/>
        <v>1</v>
      </c>
      <c r="CC106" s="134">
        <f>'бюджет округа (района)'!AP106+'бюджеты поселений'!AP106</f>
        <v>0</v>
      </c>
      <c r="CD106" s="137">
        <f>'бюджет округа (района)'!AP106</f>
        <v>0</v>
      </c>
      <c r="CE106" s="137">
        <f t="shared" si="574"/>
        <v>0</v>
      </c>
      <c r="CF106" s="137">
        <f t="shared" si="574"/>
        <v>0</v>
      </c>
      <c r="CG106" s="135">
        <f t="shared" si="550"/>
        <v>1</v>
      </c>
      <c r="CH106" s="135">
        <f t="shared" si="550"/>
        <v>1</v>
      </c>
      <c r="CI106" s="134">
        <f>'бюджет округа (района)'!AS106+'бюджеты поселений'!AS106</f>
        <v>0</v>
      </c>
      <c r="CJ106" s="137">
        <f>'бюджет округа (района)'!AS106</f>
        <v>0</v>
      </c>
      <c r="CK106" s="137">
        <f t="shared" si="575"/>
        <v>0</v>
      </c>
      <c r="CL106" s="137">
        <f t="shared" si="575"/>
        <v>0</v>
      </c>
      <c r="CM106" s="135">
        <f t="shared" si="551"/>
        <v>1</v>
      </c>
      <c r="CN106" s="135">
        <f t="shared" si="551"/>
        <v>1</v>
      </c>
      <c r="CO106" s="134">
        <f>'бюджет округа (района)'!AV106+'бюджеты поселений'!AV106</f>
        <v>0</v>
      </c>
      <c r="CP106" s="137">
        <f>'бюджет округа (района)'!AV106</f>
        <v>0</v>
      </c>
      <c r="CQ106" s="137">
        <f t="shared" si="576"/>
        <v>0</v>
      </c>
      <c r="CR106" s="137">
        <f t="shared" si="576"/>
        <v>0</v>
      </c>
      <c r="CS106" s="135">
        <f t="shared" si="552"/>
        <v>1</v>
      </c>
      <c r="CT106" s="135">
        <f t="shared" si="552"/>
        <v>1</v>
      </c>
      <c r="CU106" s="134">
        <f>'бюджет округа (района)'!AY106+'бюджеты поселений'!AY106</f>
        <v>0</v>
      </c>
      <c r="CV106" s="137">
        <f>'бюджет округа (района)'!AY106</f>
        <v>0</v>
      </c>
      <c r="CW106" s="137">
        <f t="shared" si="577"/>
        <v>0</v>
      </c>
      <c r="CX106" s="137">
        <f t="shared" si="577"/>
        <v>0</v>
      </c>
      <c r="CY106" s="135">
        <f t="shared" si="553"/>
        <v>1</v>
      </c>
      <c r="CZ106" s="135">
        <f t="shared" si="553"/>
        <v>1</v>
      </c>
      <c r="DA106" s="134">
        <f>'бюджет округа (района)'!BB106+'бюджеты поселений'!BB106</f>
        <v>0</v>
      </c>
      <c r="DB106" s="137">
        <f>'бюджет округа (района)'!BB106</f>
        <v>0</v>
      </c>
      <c r="DC106" s="137">
        <f t="shared" si="578"/>
        <v>0</v>
      </c>
      <c r="DD106" s="137">
        <f t="shared" si="578"/>
        <v>0</v>
      </c>
      <c r="DE106" s="135">
        <f t="shared" si="554"/>
        <v>1</v>
      </c>
      <c r="DF106" s="135">
        <f t="shared" si="554"/>
        <v>1</v>
      </c>
      <c r="DG106" s="134">
        <f>'бюджет округа (района)'!BE106+'бюджеты поселений'!BE106</f>
        <v>0</v>
      </c>
      <c r="DH106" s="137">
        <f>'бюджет округа (района)'!BE106</f>
        <v>0</v>
      </c>
      <c r="DI106" s="137">
        <f t="shared" si="579"/>
        <v>0</v>
      </c>
      <c r="DJ106" s="137">
        <f t="shared" si="579"/>
        <v>0</v>
      </c>
      <c r="DK106" s="135">
        <f t="shared" si="555"/>
        <v>1</v>
      </c>
      <c r="DL106" s="135">
        <f t="shared" si="555"/>
        <v>1</v>
      </c>
      <c r="DM106" s="134">
        <f>'бюджет округа (района)'!BH106+'бюджеты поселений'!BH106</f>
        <v>0</v>
      </c>
      <c r="DN106" s="137">
        <f>'бюджет округа (района)'!BH106</f>
        <v>0</v>
      </c>
      <c r="DO106" s="134">
        <f>'бюджет округа (района)'!BI106+'бюджеты поселений'!BI106</f>
        <v>0</v>
      </c>
      <c r="DP106" s="137">
        <f>'бюджет округа (района)'!BI106</f>
        <v>0</v>
      </c>
      <c r="DQ106" s="134">
        <f>'бюджет округа (района)'!BJ106+'бюджеты поселений'!BJ106</f>
        <v>0</v>
      </c>
      <c r="DR106" s="137">
        <f>'бюджет округа (района)'!BJ106</f>
        <v>0</v>
      </c>
      <c r="DS106" s="135">
        <f t="shared" ref="DS106:DS112" si="591">IF($AY$105=0,1,DQ106/$AY$105-1)</f>
        <v>1</v>
      </c>
      <c r="DT106" s="135">
        <f t="shared" ref="DT106:DT112" si="592">IF($AZ$105=0,1,DR106/$AZ$105-1)</f>
        <v>1</v>
      </c>
      <c r="DU106" s="135">
        <f t="shared" si="557"/>
        <v>1</v>
      </c>
      <c r="DV106" s="135">
        <f t="shared" si="558"/>
        <v>1</v>
      </c>
      <c r="DW106" s="167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  <c r="GY106" s="105"/>
      <c r="GZ106" s="105"/>
      <c r="HA106" s="105"/>
      <c r="HB106" s="105"/>
      <c r="HC106" s="105"/>
      <c r="HD106" s="105"/>
      <c r="HE106" s="105"/>
      <c r="HF106" s="105"/>
      <c r="HG106" s="105"/>
      <c r="HH106" s="105"/>
      <c r="HI106" s="105"/>
      <c r="HJ106" s="105"/>
      <c r="HK106" s="105"/>
      <c r="HL106" s="105"/>
      <c r="HM106" s="105"/>
      <c r="HN106" s="105"/>
      <c r="HO106" s="105"/>
      <c r="HP106" s="105"/>
      <c r="HQ106" s="105"/>
      <c r="HR106" s="105"/>
      <c r="HS106" s="105"/>
      <c r="HT106" s="105"/>
      <c r="HU106" s="105"/>
      <c r="HV106" s="105"/>
      <c r="HW106" s="105"/>
      <c r="HX106" s="105"/>
      <c r="HY106" s="105"/>
      <c r="HZ106" s="105"/>
      <c r="IA106" s="105"/>
      <c r="IB106" s="105"/>
      <c r="IC106" s="105"/>
      <c r="ID106" s="105"/>
      <c r="IE106" s="105"/>
      <c r="IF106" s="105"/>
      <c r="IG106" s="105"/>
      <c r="IH106" s="105"/>
      <c r="II106" s="105"/>
      <c r="IJ106" s="105"/>
      <c r="IK106" s="105"/>
      <c r="IL106" s="105"/>
      <c r="IM106" s="105"/>
      <c r="IN106" s="105"/>
      <c r="IO106" s="105"/>
      <c r="IP106" s="105"/>
      <c r="IQ106" s="105"/>
      <c r="IR106" s="105"/>
      <c r="IS106" s="105"/>
      <c r="IT106" s="105"/>
      <c r="IU106" s="105"/>
      <c r="IV106" s="105"/>
      <c r="IW106" s="105"/>
      <c r="IX106" s="105"/>
      <c r="IY106" s="105"/>
      <c r="IZ106" s="105"/>
      <c r="JA106" s="105"/>
      <c r="JB106" s="105"/>
      <c r="JC106" s="105"/>
      <c r="JD106" s="105"/>
      <c r="JE106" s="105"/>
      <c r="JF106" s="105"/>
      <c r="JG106" s="105"/>
      <c r="JH106" s="105"/>
    </row>
    <row r="107" spans="1:268" s="106" customFormat="1" ht="18" customHeight="1">
      <c r="A107" s="290">
        <v>851</v>
      </c>
      <c r="B107" s="291"/>
      <c r="C107" s="134">
        <f>'бюджет округа (района)'!C107+'бюджеты поселений'!C107</f>
        <v>0</v>
      </c>
      <c r="D107" s="137">
        <f>'бюджет округа (района)'!C107</f>
        <v>0</v>
      </c>
      <c r="E107" s="134">
        <f t="shared" si="589"/>
        <v>0</v>
      </c>
      <c r="F107" s="137">
        <f t="shared" si="589"/>
        <v>0</v>
      </c>
      <c r="G107" s="134">
        <f>'бюджет округа (района)'!E107+'бюджеты поселений'!E107</f>
        <v>0</v>
      </c>
      <c r="H107" s="137">
        <f>'бюджет округа (района)'!E107</f>
        <v>0</v>
      </c>
      <c r="I107" s="134">
        <f>'бюджет округа (района)'!F107+'бюджеты поселений'!F107</f>
        <v>0</v>
      </c>
      <c r="J107" s="137">
        <f>'бюджет округа (района)'!F107</f>
        <v>0</v>
      </c>
      <c r="K107" s="137">
        <f t="shared" si="560"/>
        <v>0</v>
      </c>
      <c r="L107" s="137">
        <f t="shared" si="560"/>
        <v>0</v>
      </c>
      <c r="M107" s="134">
        <f>'бюджет округа (района)'!H107+'бюджеты поселений'!H107</f>
        <v>0</v>
      </c>
      <c r="N107" s="137">
        <f>'бюджет округа (района)'!H107</f>
        <v>0</v>
      </c>
      <c r="O107" s="137">
        <f t="shared" si="590"/>
        <v>0</v>
      </c>
      <c r="P107" s="137">
        <f t="shared" si="590"/>
        <v>0</v>
      </c>
      <c r="Q107" s="134">
        <f>'бюджет округа (района)'!J107+'бюджеты поселений'!J107</f>
        <v>0</v>
      </c>
      <c r="R107" s="137">
        <f>'бюджет округа (района)'!J107</f>
        <v>0</v>
      </c>
      <c r="S107" s="137">
        <f t="shared" si="562"/>
        <v>0</v>
      </c>
      <c r="T107" s="137">
        <f t="shared" si="562"/>
        <v>0</v>
      </c>
      <c r="U107" s="134">
        <f>'бюджет округа (района)'!L107+'бюджеты поселений'!L107</f>
        <v>0</v>
      </c>
      <c r="V107" s="137">
        <f>'бюджет округа (района)'!L107</f>
        <v>0</v>
      </c>
      <c r="W107" s="137">
        <f t="shared" si="563"/>
        <v>0</v>
      </c>
      <c r="X107" s="137">
        <f t="shared" si="563"/>
        <v>0</v>
      </c>
      <c r="Y107" s="134">
        <f>'бюджет округа (района)'!N107+'бюджеты поселений'!N107</f>
        <v>0</v>
      </c>
      <c r="Z107" s="137">
        <f>'бюджет округа (района)'!N107</f>
        <v>0</v>
      </c>
      <c r="AA107" s="137">
        <f t="shared" si="564"/>
        <v>0</v>
      </c>
      <c r="AB107" s="137">
        <f t="shared" si="564"/>
        <v>0</v>
      </c>
      <c r="AC107" s="134">
        <f>'бюджет округа (района)'!P107+'бюджеты поселений'!P107</f>
        <v>0</v>
      </c>
      <c r="AD107" s="137">
        <f>'бюджет округа (района)'!P107</f>
        <v>0</v>
      </c>
      <c r="AE107" s="137">
        <f t="shared" si="565"/>
        <v>0</v>
      </c>
      <c r="AF107" s="137">
        <f t="shared" si="565"/>
        <v>0</v>
      </c>
      <c r="AG107" s="134">
        <f>'бюджет округа (района)'!R107+'бюджеты поселений'!R107</f>
        <v>0</v>
      </c>
      <c r="AH107" s="137">
        <f>'бюджет округа (района)'!R107</f>
        <v>0</v>
      </c>
      <c r="AI107" s="137">
        <f t="shared" si="566"/>
        <v>0</v>
      </c>
      <c r="AJ107" s="137">
        <f t="shared" si="566"/>
        <v>0</v>
      </c>
      <c r="AK107" s="134">
        <f>'бюджет округа (района)'!T107+'бюджеты поселений'!T107</f>
        <v>0</v>
      </c>
      <c r="AL107" s="137">
        <f>'бюджет округа (района)'!T107</f>
        <v>0</v>
      </c>
      <c r="AM107" s="137">
        <f t="shared" si="567"/>
        <v>0</v>
      </c>
      <c r="AN107" s="137">
        <f t="shared" si="567"/>
        <v>0</v>
      </c>
      <c r="AO107" s="134">
        <f>'бюджет округа (района)'!V107+'бюджеты поселений'!V107</f>
        <v>0</v>
      </c>
      <c r="AP107" s="137">
        <f>'бюджет округа (района)'!V107</f>
        <v>0</v>
      </c>
      <c r="AQ107" s="137">
        <f t="shared" si="568"/>
        <v>0</v>
      </c>
      <c r="AR107" s="137">
        <f t="shared" si="568"/>
        <v>0</v>
      </c>
      <c r="AS107" s="134">
        <f>'бюджет округа (района)'!X107+'бюджеты поселений'!X107</f>
        <v>0</v>
      </c>
      <c r="AT107" s="137">
        <f>'бюджет округа (района)'!X107</f>
        <v>0</v>
      </c>
      <c r="AU107" s="137">
        <f t="shared" si="569"/>
        <v>0</v>
      </c>
      <c r="AV107" s="137">
        <f t="shared" si="569"/>
        <v>0</v>
      </c>
      <c r="AW107" s="134">
        <f>'бюджет округа (района)'!Z107+'бюджеты поселений'!Z107</f>
        <v>0</v>
      </c>
      <c r="AX107" s="137">
        <f>'бюджет округа (района)'!Z107</f>
        <v>0</v>
      </c>
      <c r="AY107" s="134">
        <f>'бюджет округа (района)'!AA107+'бюджеты поселений'!AA107</f>
        <v>0</v>
      </c>
      <c r="AZ107" s="137">
        <f>'бюджет округа (района)'!AA107</f>
        <v>0</v>
      </c>
      <c r="BA107" s="135">
        <f t="shared" si="581"/>
        <v>1</v>
      </c>
      <c r="BB107" s="135">
        <f t="shared" si="581"/>
        <v>1</v>
      </c>
      <c r="BC107" s="134">
        <f>'бюджет округа (района)'!AC107+'бюджеты поселений'!AC107</f>
        <v>0</v>
      </c>
      <c r="BD107" s="137">
        <f>'бюджет округа (района)'!AC107</f>
        <v>0</v>
      </c>
      <c r="BE107" s="134">
        <f>'бюджет округа (района)'!AD107+'бюджеты поселений'!AD107</f>
        <v>0</v>
      </c>
      <c r="BF107" s="137">
        <f>'бюджет округа (района)'!AD107</f>
        <v>0</v>
      </c>
      <c r="BG107" s="137">
        <f t="shared" si="570"/>
        <v>0</v>
      </c>
      <c r="BH107" s="137">
        <f t="shared" si="570"/>
        <v>0</v>
      </c>
      <c r="BI107" s="135">
        <f t="shared" si="546"/>
        <v>1</v>
      </c>
      <c r="BJ107" s="135">
        <f t="shared" si="546"/>
        <v>1</v>
      </c>
      <c r="BK107" s="134">
        <f>'бюджет округа (района)'!AG107+'бюджеты поселений'!AG107</f>
        <v>0</v>
      </c>
      <c r="BL107" s="137">
        <f>'бюджет округа (района)'!AG107</f>
        <v>0</v>
      </c>
      <c r="BM107" s="137">
        <f t="shared" si="571"/>
        <v>0</v>
      </c>
      <c r="BN107" s="137">
        <f t="shared" si="571"/>
        <v>0</v>
      </c>
      <c r="BO107" s="135">
        <f t="shared" si="547"/>
        <v>1</v>
      </c>
      <c r="BP107" s="135">
        <f t="shared" si="547"/>
        <v>1</v>
      </c>
      <c r="BQ107" s="134">
        <f>'бюджет округа (района)'!AJ107+'бюджеты поселений'!AJ107</f>
        <v>0</v>
      </c>
      <c r="BR107" s="137">
        <f>'бюджет округа (района)'!AJ107</f>
        <v>0</v>
      </c>
      <c r="BS107" s="137">
        <f t="shared" si="572"/>
        <v>0</v>
      </c>
      <c r="BT107" s="137">
        <f t="shared" si="572"/>
        <v>0</v>
      </c>
      <c r="BU107" s="135">
        <f t="shared" si="548"/>
        <v>1</v>
      </c>
      <c r="BV107" s="135">
        <f t="shared" si="548"/>
        <v>1</v>
      </c>
      <c r="BW107" s="134">
        <f>'бюджет округа (района)'!AM107+'бюджеты поселений'!AM107</f>
        <v>0</v>
      </c>
      <c r="BX107" s="137">
        <f>'бюджет округа (района)'!AM107</f>
        <v>0</v>
      </c>
      <c r="BY107" s="137">
        <f t="shared" si="573"/>
        <v>0</v>
      </c>
      <c r="BZ107" s="137">
        <f t="shared" si="573"/>
        <v>0</v>
      </c>
      <c r="CA107" s="135">
        <f t="shared" si="549"/>
        <v>1</v>
      </c>
      <c r="CB107" s="135">
        <f t="shared" si="549"/>
        <v>1</v>
      </c>
      <c r="CC107" s="134">
        <f>'бюджет округа (района)'!AP107+'бюджеты поселений'!AP107</f>
        <v>0</v>
      </c>
      <c r="CD107" s="137">
        <f>'бюджет округа (района)'!AP107</f>
        <v>0</v>
      </c>
      <c r="CE107" s="137">
        <f t="shared" si="574"/>
        <v>0</v>
      </c>
      <c r="CF107" s="137">
        <f t="shared" si="574"/>
        <v>0</v>
      </c>
      <c r="CG107" s="135">
        <f t="shared" si="550"/>
        <v>1</v>
      </c>
      <c r="CH107" s="135">
        <f t="shared" si="550"/>
        <v>1</v>
      </c>
      <c r="CI107" s="134">
        <f>'бюджет округа (района)'!AS107+'бюджеты поселений'!AS107</f>
        <v>0</v>
      </c>
      <c r="CJ107" s="137">
        <f>'бюджет округа (района)'!AS107</f>
        <v>0</v>
      </c>
      <c r="CK107" s="137">
        <f t="shared" si="575"/>
        <v>0</v>
      </c>
      <c r="CL107" s="137">
        <f t="shared" si="575"/>
        <v>0</v>
      </c>
      <c r="CM107" s="135">
        <f t="shared" si="551"/>
        <v>1</v>
      </c>
      <c r="CN107" s="135">
        <f t="shared" si="551"/>
        <v>1</v>
      </c>
      <c r="CO107" s="134">
        <f>'бюджет округа (района)'!AV107+'бюджеты поселений'!AV107</f>
        <v>0</v>
      </c>
      <c r="CP107" s="137">
        <f>'бюджет округа (района)'!AV107</f>
        <v>0</v>
      </c>
      <c r="CQ107" s="137">
        <f t="shared" si="576"/>
        <v>0</v>
      </c>
      <c r="CR107" s="137">
        <f t="shared" si="576"/>
        <v>0</v>
      </c>
      <c r="CS107" s="135">
        <f t="shared" si="552"/>
        <v>1</v>
      </c>
      <c r="CT107" s="135">
        <f t="shared" si="552"/>
        <v>1</v>
      </c>
      <c r="CU107" s="134">
        <f>'бюджет округа (района)'!AY107+'бюджеты поселений'!AY107</f>
        <v>0</v>
      </c>
      <c r="CV107" s="137">
        <f>'бюджет округа (района)'!AY107</f>
        <v>0</v>
      </c>
      <c r="CW107" s="137">
        <f t="shared" si="577"/>
        <v>0</v>
      </c>
      <c r="CX107" s="137">
        <f t="shared" si="577"/>
        <v>0</v>
      </c>
      <c r="CY107" s="135">
        <f t="shared" si="553"/>
        <v>1</v>
      </c>
      <c r="CZ107" s="135">
        <f t="shared" si="553"/>
        <v>1</v>
      </c>
      <c r="DA107" s="134">
        <f>'бюджет округа (района)'!BB107+'бюджеты поселений'!BB107</f>
        <v>0</v>
      </c>
      <c r="DB107" s="137">
        <f>'бюджет округа (района)'!BB107</f>
        <v>0</v>
      </c>
      <c r="DC107" s="137">
        <f t="shared" si="578"/>
        <v>0</v>
      </c>
      <c r="DD107" s="137">
        <f t="shared" si="578"/>
        <v>0</v>
      </c>
      <c r="DE107" s="135">
        <f t="shared" si="554"/>
        <v>1</v>
      </c>
      <c r="DF107" s="135">
        <f t="shared" si="554"/>
        <v>1</v>
      </c>
      <c r="DG107" s="134">
        <f>'бюджет округа (района)'!BE107+'бюджеты поселений'!BE107</f>
        <v>0</v>
      </c>
      <c r="DH107" s="137">
        <f>'бюджет округа (района)'!BE107</f>
        <v>0</v>
      </c>
      <c r="DI107" s="137">
        <f t="shared" si="579"/>
        <v>0</v>
      </c>
      <c r="DJ107" s="137">
        <f t="shared" si="579"/>
        <v>0</v>
      </c>
      <c r="DK107" s="135">
        <f t="shared" si="555"/>
        <v>1</v>
      </c>
      <c r="DL107" s="135">
        <f t="shared" si="555"/>
        <v>1</v>
      </c>
      <c r="DM107" s="134">
        <f>'бюджет округа (района)'!BH107+'бюджеты поселений'!BH107</f>
        <v>0</v>
      </c>
      <c r="DN107" s="137">
        <f>'бюджет округа (района)'!BH107</f>
        <v>0</v>
      </c>
      <c r="DO107" s="134">
        <f>'бюджет округа (района)'!BI107+'бюджеты поселений'!BI107</f>
        <v>0</v>
      </c>
      <c r="DP107" s="137">
        <f>'бюджет округа (района)'!BI107</f>
        <v>0</v>
      </c>
      <c r="DQ107" s="134">
        <f>'бюджет округа (района)'!BJ107+'бюджеты поселений'!BJ107</f>
        <v>0</v>
      </c>
      <c r="DR107" s="137">
        <f>'бюджет округа (района)'!BJ107</f>
        <v>0</v>
      </c>
      <c r="DS107" s="135">
        <f t="shared" si="591"/>
        <v>1</v>
      </c>
      <c r="DT107" s="135">
        <f t="shared" si="592"/>
        <v>1</v>
      </c>
      <c r="DU107" s="135">
        <f t="shared" si="557"/>
        <v>1</v>
      </c>
      <c r="DV107" s="135">
        <f t="shared" si="558"/>
        <v>1</v>
      </c>
      <c r="DW107" s="167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  <c r="GY107" s="105"/>
      <c r="GZ107" s="105"/>
      <c r="HA107" s="105"/>
      <c r="HB107" s="105"/>
      <c r="HC107" s="105"/>
      <c r="HD107" s="105"/>
      <c r="HE107" s="105"/>
      <c r="HF107" s="105"/>
      <c r="HG107" s="105"/>
      <c r="HH107" s="105"/>
      <c r="HI107" s="105"/>
      <c r="HJ107" s="105"/>
      <c r="HK107" s="105"/>
      <c r="HL107" s="105"/>
      <c r="HM107" s="105"/>
      <c r="HN107" s="105"/>
      <c r="HO107" s="105"/>
      <c r="HP107" s="105"/>
      <c r="HQ107" s="105"/>
      <c r="HR107" s="105"/>
      <c r="HS107" s="105"/>
      <c r="HT107" s="105"/>
      <c r="HU107" s="105"/>
      <c r="HV107" s="105"/>
      <c r="HW107" s="105"/>
      <c r="HX107" s="105"/>
      <c r="HY107" s="105"/>
      <c r="HZ107" s="105"/>
      <c r="IA107" s="105"/>
      <c r="IB107" s="105"/>
      <c r="IC107" s="105"/>
      <c r="ID107" s="105"/>
      <c r="IE107" s="105"/>
      <c r="IF107" s="105"/>
      <c r="IG107" s="105"/>
      <c r="IH107" s="105"/>
      <c r="II107" s="105"/>
      <c r="IJ107" s="105"/>
      <c r="IK107" s="105"/>
      <c r="IL107" s="105"/>
      <c r="IM107" s="105"/>
      <c r="IN107" s="105"/>
      <c r="IO107" s="105"/>
      <c r="IP107" s="105"/>
      <c r="IQ107" s="105"/>
      <c r="IR107" s="105"/>
      <c r="IS107" s="105"/>
      <c r="IT107" s="105"/>
      <c r="IU107" s="105"/>
      <c r="IV107" s="105"/>
      <c r="IW107" s="105"/>
      <c r="IX107" s="105"/>
      <c r="IY107" s="105"/>
      <c r="IZ107" s="105"/>
      <c r="JA107" s="105"/>
      <c r="JB107" s="105"/>
      <c r="JC107" s="105"/>
      <c r="JD107" s="105"/>
      <c r="JE107" s="105"/>
      <c r="JF107" s="105"/>
      <c r="JG107" s="105"/>
      <c r="JH107" s="105"/>
    </row>
    <row r="108" spans="1:268" s="106" customFormat="1" ht="18" customHeight="1">
      <c r="A108" s="290">
        <v>853</v>
      </c>
      <c r="B108" s="291"/>
      <c r="C108" s="134">
        <f>'бюджет округа (района)'!C108+'бюджеты поселений'!C108</f>
        <v>0</v>
      </c>
      <c r="D108" s="137">
        <f>'бюджет округа (района)'!C108</f>
        <v>0</v>
      </c>
      <c r="E108" s="134">
        <f t="shared" si="589"/>
        <v>0</v>
      </c>
      <c r="F108" s="137">
        <f t="shared" si="589"/>
        <v>0</v>
      </c>
      <c r="G108" s="134">
        <f>'бюджет округа (района)'!E108+'бюджеты поселений'!E108</f>
        <v>0</v>
      </c>
      <c r="H108" s="137">
        <f>'бюджет округа (района)'!E108</f>
        <v>0</v>
      </c>
      <c r="I108" s="134">
        <f>'бюджет округа (района)'!F108+'бюджеты поселений'!F108</f>
        <v>0</v>
      </c>
      <c r="J108" s="137">
        <f>'бюджет округа (района)'!F108</f>
        <v>0</v>
      </c>
      <c r="K108" s="137">
        <f t="shared" ref="K108:L112" si="593">G108+I108</f>
        <v>0</v>
      </c>
      <c r="L108" s="137">
        <f t="shared" si="593"/>
        <v>0</v>
      </c>
      <c r="M108" s="134">
        <f>'бюджет округа (района)'!H108+'бюджеты поселений'!H108</f>
        <v>0</v>
      </c>
      <c r="N108" s="137">
        <f>'бюджет округа (района)'!H108</f>
        <v>0</v>
      </c>
      <c r="O108" s="137">
        <f t="shared" si="590"/>
        <v>0</v>
      </c>
      <c r="P108" s="137">
        <f t="shared" si="590"/>
        <v>0</v>
      </c>
      <c r="Q108" s="134">
        <f>'бюджет округа (района)'!J108+'бюджеты поселений'!J108</f>
        <v>0</v>
      </c>
      <c r="R108" s="137">
        <f>'бюджет округа (района)'!J108</f>
        <v>0</v>
      </c>
      <c r="S108" s="137">
        <f t="shared" ref="S108:T112" si="594">O108+Q108</f>
        <v>0</v>
      </c>
      <c r="T108" s="137">
        <f t="shared" si="594"/>
        <v>0</v>
      </c>
      <c r="U108" s="134">
        <f>'бюджет округа (района)'!L108+'бюджеты поселений'!L108</f>
        <v>0</v>
      </c>
      <c r="V108" s="137">
        <f>'бюджет округа (района)'!L108</f>
        <v>0</v>
      </c>
      <c r="W108" s="137">
        <f t="shared" ref="W108:X112" si="595">S108+U108</f>
        <v>0</v>
      </c>
      <c r="X108" s="137">
        <f t="shared" si="595"/>
        <v>0</v>
      </c>
      <c r="Y108" s="134">
        <f>'бюджет округа (района)'!N108+'бюджеты поселений'!N108</f>
        <v>0</v>
      </c>
      <c r="Z108" s="137">
        <f>'бюджет округа (района)'!N108</f>
        <v>0</v>
      </c>
      <c r="AA108" s="137">
        <f t="shared" ref="AA108:AB112" si="596">W108+Y108</f>
        <v>0</v>
      </c>
      <c r="AB108" s="137">
        <f t="shared" si="596"/>
        <v>0</v>
      </c>
      <c r="AC108" s="134">
        <f>'бюджет округа (района)'!P108+'бюджеты поселений'!P108</f>
        <v>0</v>
      </c>
      <c r="AD108" s="137">
        <f>'бюджет округа (района)'!P108</f>
        <v>0</v>
      </c>
      <c r="AE108" s="137">
        <f t="shared" ref="AE108:AF112" si="597">AA108+AC108</f>
        <v>0</v>
      </c>
      <c r="AF108" s="137">
        <f t="shared" si="597"/>
        <v>0</v>
      </c>
      <c r="AG108" s="134">
        <f>'бюджет округа (района)'!R108+'бюджеты поселений'!R108</f>
        <v>0</v>
      </c>
      <c r="AH108" s="137">
        <f>'бюджет округа (района)'!R108</f>
        <v>0</v>
      </c>
      <c r="AI108" s="137">
        <f t="shared" ref="AI108:AJ112" si="598">AE108+AG108</f>
        <v>0</v>
      </c>
      <c r="AJ108" s="137">
        <f t="shared" si="598"/>
        <v>0</v>
      </c>
      <c r="AK108" s="134">
        <f>'бюджет округа (района)'!T108+'бюджеты поселений'!T108</f>
        <v>0</v>
      </c>
      <c r="AL108" s="137">
        <f>'бюджет округа (района)'!T108</f>
        <v>0</v>
      </c>
      <c r="AM108" s="137">
        <f t="shared" ref="AM108:AN112" si="599">AI108+AK108</f>
        <v>0</v>
      </c>
      <c r="AN108" s="137">
        <f t="shared" si="599"/>
        <v>0</v>
      </c>
      <c r="AO108" s="134">
        <f>'бюджет округа (района)'!V108+'бюджеты поселений'!V108</f>
        <v>0</v>
      </c>
      <c r="AP108" s="137">
        <f>'бюджет округа (района)'!V108</f>
        <v>0</v>
      </c>
      <c r="AQ108" s="137">
        <f t="shared" ref="AQ108:AR112" si="600">AM108+AO108</f>
        <v>0</v>
      </c>
      <c r="AR108" s="137">
        <f t="shared" si="600"/>
        <v>0</v>
      </c>
      <c r="AS108" s="134">
        <f>'бюджет округа (района)'!X108+'бюджеты поселений'!X108</f>
        <v>0</v>
      </c>
      <c r="AT108" s="137">
        <f>'бюджет округа (района)'!X108</f>
        <v>0</v>
      </c>
      <c r="AU108" s="137">
        <f t="shared" ref="AU108:AV112" si="601">AQ108+AS108</f>
        <v>0</v>
      </c>
      <c r="AV108" s="137">
        <f t="shared" si="601"/>
        <v>0</v>
      </c>
      <c r="AW108" s="134">
        <f>'бюджет округа (района)'!Z108+'бюджеты поселений'!Z108</f>
        <v>0</v>
      </c>
      <c r="AX108" s="137">
        <f>'бюджет округа (района)'!Z108</f>
        <v>0</v>
      </c>
      <c r="AY108" s="134">
        <f>'бюджет округа (района)'!AA108+'бюджеты поселений'!AA108</f>
        <v>0</v>
      </c>
      <c r="AZ108" s="137">
        <f>'бюджет округа (района)'!AA108</f>
        <v>0</v>
      </c>
      <c r="BA108" s="135">
        <f t="shared" si="581"/>
        <v>1</v>
      </c>
      <c r="BB108" s="135">
        <f t="shared" si="581"/>
        <v>1</v>
      </c>
      <c r="BC108" s="134">
        <f>'бюджет округа (района)'!AC108+'бюджеты поселений'!AC108</f>
        <v>0</v>
      </c>
      <c r="BD108" s="137">
        <f>'бюджет округа (района)'!AC108</f>
        <v>0</v>
      </c>
      <c r="BE108" s="134">
        <f>'бюджет округа (района)'!AD108+'бюджеты поселений'!AD108</f>
        <v>0</v>
      </c>
      <c r="BF108" s="137">
        <f>'бюджет округа (района)'!AD108</f>
        <v>0</v>
      </c>
      <c r="BG108" s="137">
        <f t="shared" ref="BG108:BH112" si="602">BC108+BE108</f>
        <v>0</v>
      </c>
      <c r="BH108" s="137">
        <f t="shared" si="602"/>
        <v>0</v>
      </c>
      <c r="BI108" s="135">
        <f t="shared" si="546"/>
        <v>1</v>
      </c>
      <c r="BJ108" s="135">
        <f t="shared" si="546"/>
        <v>1</v>
      </c>
      <c r="BK108" s="134">
        <f>'бюджет округа (района)'!AG108+'бюджеты поселений'!AG108</f>
        <v>0</v>
      </c>
      <c r="BL108" s="137">
        <f>'бюджет округа (района)'!AG108</f>
        <v>0</v>
      </c>
      <c r="BM108" s="137">
        <f t="shared" si="571"/>
        <v>0</v>
      </c>
      <c r="BN108" s="137">
        <f t="shared" si="571"/>
        <v>0</v>
      </c>
      <c r="BO108" s="135">
        <f t="shared" si="547"/>
        <v>1</v>
      </c>
      <c r="BP108" s="135">
        <f t="shared" si="547"/>
        <v>1</v>
      </c>
      <c r="BQ108" s="134">
        <f>'бюджет округа (района)'!AJ108+'бюджеты поселений'!AJ108</f>
        <v>0</v>
      </c>
      <c r="BR108" s="137">
        <f>'бюджет округа (района)'!AJ108</f>
        <v>0</v>
      </c>
      <c r="BS108" s="137">
        <f t="shared" si="572"/>
        <v>0</v>
      </c>
      <c r="BT108" s="137">
        <f t="shared" si="572"/>
        <v>0</v>
      </c>
      <c r="BU108" s="135">
        <f t="shared" si="548"/>
        <v>1</v>
      </c>
      <c r="BV108" s="135">
        <f t="shared" si="548"/>
        <v>1</v>
      </c>
      <c r="BW108" s="134">
        <f>'бюджет округа (района)'!AM108+'бюджеты поселений'!AM108</f>
        <v>0</v>
      </c>
      <c r="BX108" s="137">
        <f>'бюджет округа (района)'!AM108</f>
        <v>0</v>
      </c>
      <c r="BY108" s="137">
        <f t="shared" si="573"/>
        <v>0</v>
      </c>
      <c r="BZ108" s="137">
        <f t="shared" si="573"/>
        <v>0</v>
      </c>
      <c r="CA108" s="135">
        <f t="shared" si="549"/>
        <v>1</v>
      </c>
      <c r="CB108" s="135">
        <f t="shared" si="549"/>
        <v>1</v>
      </c>
      <c r="CC108" s="134">
        <f>'бюджет округа (района)'!AP108+'бюджеты поселений'!AP108</f>
        <v>0</v>
      </c>
      <c r="CD108" s="137">
        <f>'бюджет округа (района)'!AP108</f>
        <v>0</v>
      </c>
      <c r="CE108" s="137">
        <f t="shared" si="574"/>
        <v>0</v>
      </c>
      <c r="CF108" s="137">
        <f t="shared" si="574"/>
        <v>0</v>
      </c>
      <c r="CG108" s="135">
        <f t="shared" si="550"/>
        <v>1</v>
      </c>
      <c r="CH108" s="135">
        <f t="shared" si="550"/>
        <v>1</v>
      </c>
      <c r="CI108" s="134">
        <f>'бюджет округа (района)'!AS108+'бюджеты поселений'!AS108</f>
        <v>0</v>
      </c>
      <c r="CJ108" s="137">
        <f>'бюджет округа (района)'!AS108</f>
        <v>0</v>
      </c>
      <c r="CK108" s="137">
        <f t="shared" si="575"/>
        <v>0</v>
      </c>
      <c r="CL108" s="137">
        <f t="shared" si="575"/>
        <v>0</v>
      </c>
      <c r="CM108" s="135">
        <f t="shared" si="551"/>
        <v>1</v>
      </c>
      <c r="CN108" s="135">
        <f t="shared" si="551"/>
        <v>1</v>
      </c>
      <c r="CO108" s="134">
        <f>'бюджет округа (района)'!AV108+'бюджеты поселений'!AV108</f>
        <v>0</v>
      </c>
      <c r="CP108" s="137">
        <f>'бюджет округа (района)'!AV108</f>
        <v>0</v>
      </c>
      <c r="CQ108" s="137">
        <f t="shared" si="576"/>
        <v>0</v>
      </c>
      <c r="CR108" s="137">
        <f t="shared" si="576"/>
        <v>0</v>
      </c>
      <c r="CS108" s="135">
        <f t="shared" si="552"/>
        <v>1</v>
      </c>
      <c r="CT108" s="135">
        <f t="shared" si="552"/>
        <v>1</v>
      </c>
      <c r="CU108" s="134">
        <f>'бюджет округа (района)'!AY108+'бюджеты поселений'!AY108</f>
        <v>0</v>
      </c>
      <c r="CV108" s="137">
        <f>'бюджет округа (района)'!AY108</f>
        <v>0</v>
      </c>
      <c r="CW108" s="137">
        <f t="shared" si="577"/>
        <v>0</v>
      </c>
      <c r="CX108" s="137">
        <f t="shared" si="577"/>
        <v>0</v>
      </c>
      <c r="CY108" s="135">
        <f t="shared" si="553"/>
        <v>1</v>
      </c>
      <c r="CZ108" s="135">
        <f t="shared" si="553"/>
        <v>1</v>
      </c>
      <c r="DA108" s="134">
        <f>'бюджет округа (района)'!BB108+'бюджеты поселений'!BB108</f>
        <v>0</v>
      </c>
      <c r="DB108" s="137">
        <f>'бюджет округа (района)'!BB108</f>
        <v>0</v>
      </c>
      <c r="DC108" s="137">
        <f t="shared" si="578"/>
        <v>0</v>
      </c>
      <c r="DD108" s="137">
        <f t="shared" si="578"/>
        <v>0</v>
      </c>
      <c r="DE108" s="135">
        <f t="shared" si="554"/>
        <v>1</v>
      </c>
      <c r="DF108" s="135">
        <f t="shared" si="554"/>
        <v>1</v>
      </c>
      <c r="DG108" s="134">
        <f>'бюджет округа (района)'!BE108+'бюджеты поселений'!BE108</f>
        <v>0</v>
      </c>
      <c r="DH108" s="137">
        <f>'бюджет округа (района)'!BE108</f>
        <v>0</v>
      </c>
      <c r="DI108" s="137">
        <f t="shared" si="579"/>
        <v>0</v>
      </c>
      <c r="DJ108" s="137">
        <f t="shared" si="579"/>
        <v>0</v>
      </c>
      <c r="DK108" s="135">
        <f t="shared" si="555"/>
        <v>1</v>
      </c>
      <c r="DL108" s="135">
        <f t="shared" si="555"/>
        <v>1</v>
      </c>
      <c r="DM108" s="134">
        <f>'бюджет округа (района)'!BH108+'бюджеты поселений'!BH108</f>
        <v>0</v>
      </c>
      <c r="DN108" s="137">
        <f>'бюджет округа (района)'!BH108</f>
        <v>0</v>
      </c>
      <c r="DO108" s="134">
        <f>'бюджет округа (района)'!BI108+'бюджеты поселений'!BI108</f>
        <v>0</v>
      </c>
      <c r="DP108" s="137">
        <f>'бюджет округа (района)'!BI108</f>
        <v>0</v>
      </c>
      <c r="DQ108" s="134">
        <f>'бюджет округа (района)'!BJ108+'бюджеты поселений'!BJ108</f>
        <v>0</v>
      </c>
      <c r="DR108" s="137">
        <f>'бюджет округа (района)'!BJ108</f>
        <v>0</v>
      </c>
      <c r="DS108" s="135">
        <f t="shared" si="591"/>
        <v>1</v>
      </c>
      <c r="DT108" s="135">
        <f t="shared" si="592"/>
        <v>1</v>
      </c>
      <c r="DU108" s="135">
        <f t="shared" si="557"/>
        <v>1</v>
      </c>
      <c r="DV108" s="135">
        <f t="shared" si="558"/>
        <v>1</v>
      </c>
      <c r="DW108" s="167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  <c r="GY108" s="105"/>
      <c r="GZ108" s="105"/>
      <c r="HA108" s="105"/>
      <c r="HB108" s="105"/>
      <c r="HC108" s="105"/>
      <c r="HD108" s="105"/>
      <c r="HE108" s="105"/>
      <c r="HF108" s="105"/>
      <c r="HG108" s="105"/>
      <c r="HH108" s="105"/>
      <c r="HI108" s="105"/>
      <c r="HJ108" s="105"/>
      <c r="HK108" s="105"/>
      <c r="HL108" s="105"/>
      <c r="HM108" s="105"/>
      <c r="HN108" s="105"/>
      <c r="HO108" s="105"/>
      <c r="HP108" s="105"/>
      <c r="HQ108" s="105"/>
      <c r="HR108" s="105"/>
      <c r="HS108" s="105"/>
      <c r="HT108" s="105"/>
      <c r="HU108" s="105"/>
      <c r="HV108" s="105"/>
      <c r="HW108" s="105"/>
      <c r="HX108" s="105"/>
      <c r="HY108" s="105"/>
      <c r="HZ108" s="105"/>
      <c r="IA108" s="105"/>
      <c r="IB108" s="105"/>
      <c r="IC108" s="105"/>
      <c r="ID108" s="105"/>
      <c r="IE108" s="105"/>
      <c r="IF108" s="105"/>
      <c r="IG108" s="105"/>
      <c r="IH108" s="105"/>
      <c r="II108" s="105"/>
      <c r="IJ108" s="105"/>
      <c r="IK108" s="105"/>
      <c r="IL108" s="105"/>
      <c r="IM108" s="105"/>
      <c r="IN108" s="105"/>
      <c r="IO108" s="105"/>
      <c r="IP108" s="105"/>
      <c r="IQ108" s="105"/>
      <c r="IR108" s="105"/>
      <c r="IS108" s="105"/>
      <c r="IT108" s="105"/>
      <c r="IU108" s="105"/>
      <c r="IV108" s="105"/>
      <c r="IW108" s="105"/>
      <c r="IX108" s="105"/>
      <c r="IY108" s="105"/>
      <c r="IZ108" s="105"/>
      <c r="JA108" s="105"/>
      <c r="JB108" s="105"/>
      <c r="JC108" s="105"/>
      <c r="JD108" s="105"/>
      <c r="JE108" s="105"/>
      <c r="JF108" s="105"/>
      <c r="JG108" s="105"/>
      <c r="JH108" s="105"/>
    </row>
    <row r="109" spans="1:268" s="106" customFormat="1" ht="18" customHeight="1">
      <c r="A109" s="173"/>
      <c r="B109" s="174"/>
      <c r="C109" s="134">
        <f>'бюджет округа (района)'!C109+'бюджеты поселений'!C109</f>
        <v>0</v>
      </c>
      <c r="D109" s="137">
        <f>'бюджет округа (района)'!C109</f>
        <v>0</v>
      </c>
      <c r="E109" s="134">
        <f t="shared" si="589"/>
        <v>0</v>
      </c>
      <c r="F109" s="137">
        <f t="shared" si="589"/>
        <v>0</v>
      </c>
      <c r="G109" s="134">
        <f>'бюджет округа (района)'!E109+'бюджеты поселений'!E109</f>
        <v>0</v>
      </c>
      <c r="H109" s="137">
        <f>'бюджет округа (района)'!E109</f>
        <v>0</v>
      </c>
      <c r="I109" s="134">
        <f>'бюджет округа (района)'!F109+'бюджеты поселений'!F109</f>
        <v>0</v>
      </c>
      <c r="J109" s="137">
        <f>'бюджет округа (района)'!F109</f>
        <v>0</v>
      </c>
      <c r="K109" s="137">
        <f t="shared" si="593"/>
        <v>0</v>
      </c>
      <c r="L109" s="137">
        <f t="shared" si="593"/>
        <v>0</v>
      </c>
      <c r="M109" s="134">
        <f>'бюджет округа (района)'!H109+'бюджеты поселений'!H109</f>
        <v>0</v>
      </c>
      <c r="N109" s="137">
        <f>'бюджет округа (района)'!H109</f>
        <v>0</v>
      </c>
      <c r="O109" s="137">
        <f t="shared" si="590"/>
        <v>0</v>
      </c>
      <c r="P109" s="137">
        <f t="shared" si="590"/>
        <v>0</v>
      </c>
      <c r="Q109" s="134">
        <f>'бюджет округа (района)'!J109+'бюджеты поселений'!J109</f>
        <v>0</v>
      </c>
      <c r="R109" s="137">
        <f>'бюджет округа (района)'!J109</f>
        <v>0</v>
      </c>
      <c r="S109" s="137">
        <f t="shared" si="594"/>
        <v>0</v>
      </c>
      <c r="T109" s="137">
        <f t="shared" si="594"/>
        <v>0</v>
      </c>
      <c r="U109" s="134">
        <f>'бюджет округа (района)'!L109+'бюджеты поселений'!L109</f>
        <v>0</v>
      </c>
      <c r="V109" s="137">
        <f>'бюджет округа (района)'!L109</f>
        <v>0</v>
      </c>
      <c r="W109" s="137">
        <f t="shared" si="595"/>
        <v>0</v>
      </c>
      <c r="X109" s="137">
        <f t="shared" si="595"/>
        <v>0</v>
      </c>
      <c r="Y109" s="134">
        <f>'бюджет округа (района)'!N109+'бюджеты поселений'!N109</f>
        <v>0</v>
      </c>
      <c r="Z109" s="137">
        <f>'бюджет округа (района)'!N109</f>
        <v>0</v>
      </c>
      <c r="AA109" s="137">
        <f t="shared" si="596"/>
        <v>0</v>
      </c>
      <c r="AB109" s="137">
        <f t="shared" si="596"/>
        <v>0</v>
      </c>
      <c r="AC109" s="134">
        <f>'бюджет округа (района)'!P109+'бюджеты поселений'!P109</f>
        <v>0</v>
      </c>
      <c r="AD109" s="137">
        <f>'бюджет округа (района)'!P109</f>
        <v>0</v>
      </c>
      <c r="AE109" s="137">
        <f t="shared" si="597"/>
        <v>0</v>
      </c>
      <c r="AF109" s="137">
        <f t="shared" si="597"/>
        <v>0</v>
      </c>
      <c r="AG109" s="134">
        <f>'бюджет округа (района)'!R109+'бюджеты поселений'!R109</f>
        <v>0</v>
      </c>
      <c r="AH109" s="137">
        <f>'бюджет округа (района)'!R109</f>
        <v>0</v>
      </c>
      <c r="AI109" s="137">
        <f t="shared" si="598"/>
        <v>0</v>
      </c>
      <c r="AJ109" s="137">
        <f t="shared" si="598"/>
        <v>0</v>
      </c>
      <c r="AK109" s="134">
        <f>'бюджет округа (района)'!T109+'бюджеты поселений'!T109</f>
        <v>0</v>
      </c>
      <c r="AL109" s="137">
        <f>'бюджет округа (района)'!T109</f>
        <v>0</v>
      </c>
      <c r="AM109" s="137">
        <f t="shared" si="599"/>
        <v>0</v>
      </c>
      <c r="AN109" s="137">
        <f t="shared" si="599"/>
        <v>0</v>
      </c>
      <c r="AO109" s="134">
        <f>'бюджет округа (района)'!V109+'бюджеты поселений'!V109</f>
        <v>0</v>
      </c>
      <c r="AP109" s="137">
        <f>'бюджет округа (района)'!V109</f>
        <v>0</v>
      </c>
      <c r="AQ109" s="137">
        <f t="shared" si="600"/>
        <v>0</v>
      </c>
      <c r="AR109" s="137">
        <f t="shared" si="600"/>
        <v>0</v>
      </c>
      <c r="AS109" s="134">
        <f>'бюджет округа (района)'!X109+'бюджеты поселений'!X109</f>
        <v>0</v>
      </c>
      <c r="AT109" s="137">
        <f>'бюджет округа (района)'!X109</f>
        <v>0</v>
      </c>
      <c r="AU109" s="137">
        <f t="shared" si="601"/>
        <v>0</v>
      </c>
      <c r="AV109" s="137">
        <f t="shared" si="601"/>
        <v>0</v>
      </c>
      <c r="AW109" s="134">
        <f>'бюджет округа (района)'!Z109+'бюджеты поселений'!Z109</f>
        <v>0</v>
      </c>
      <c r="AX109" s="137">
        <f>'бюджет округа (района)'!Z109</f>
        <v>0</v>
      </c>
      <c r="AY109" s="134">
        <f>'бюджет округа (района)'!AA109+'бюджеты поселений'!AA109</f>
        <v>0</v>
      </c>
      <c r="AZ109" s="137">
        <f>'бюджет округа (района)'!AA109</f>
        <v>0</v>
      </c>
      <c r="BA109" s="135">
        <f t="shared" si="581"/>
        <v>1</v>
      </c>
      <c r="BB109" s="135">
        <f t="shared" si="581"/>
        <v>1</v>
      </c>
      <c r="BC109" s="134">
        <f>'бюджет округа (района)'!AC109+'бюджеты поселений'!AC109</f>
        <v>0</v>
      </c>
      <c r="BD109" s="137">
        <f>'бюджет округа (района)'!AC109</f>
        <v>0</v>
      </c>
      <c r="BE109" s="134">
        <f>'бюджет округа (района)'!AD109+'бюджеты поселений'!AD109</f>
        <v>0</v>
      </c>
      <c r="BF109" s="137">
        <f>'бюджет округа (района)'!AD109</f>
        <v>0</v>
      </c>
      <c r="BG109" s="137">
        <f t="shared" si="602"/>
        <v>0</v>
      </c>
      <c r="BH109" s="137">
        <f t="shared" si="602"/>
        <v>0</v>
      </c>
      <c r="BI109" s="135">
        <f t="shared" si="546"/>
        <v>1</v>
      </c>
      <c r="BJ109" s="135">
        <f t="shared" si="546"/>
        <v>1</v>
      </c>
      <c r="BK109" s="134">
        <f>'бюджет округа (района)'!AG109+'бюджеты поселений'!AG109</f>
        <v>0</v>
      </c>
      <c r="BL109" s="137">
        <f>'бюджет округа (района)'!AG109</f>
        <v>0</v>
      </c>
      <c r="BM109" s="137">
        <f t="shared" si="571"/>
        <v>0</v>
      </c>
      <c r="BN109" s="137">
        <f t="shared" si="571"/>
        <v>0</v>
      </c>
      <c r="BO109" s="135">
        <f t="shared" si="547"/>
        <v>1</v>
      </c>
      <c r="BP109" s="135">
        <f t="shared" si="547"/>
        <v>1</v>
      </c>
      <c r="BQ109" s="134">
        <f>'бюджет округа (района)'!AJ109+'бюджеты поселений'!AJ109</f>
        <v>0</v>
      </c>
      <c r="BR109" s="137">
        <f>'бюджет округа (района)'!AJ109</f>
        <v>0</v>
      </c>
      <c r="BS109" s="137">
        <f t="shared" si="572"/>
        <v>0</v>
      </c>
      <c r="BT109" s="137">
        <f t="shared" si="572"/>
        <v>0</v>
      </c>
      <c r="BU109" s="135">
        <f t="shared" si="548"/>
        <v>1</v>
      </c>
      <c r="BV109" s="135">
        <f t="shared" si="548"/>
        <v>1</v>
      </c>
      <c r="BW109" s="134">
        <f>'бюджет округа (района)'!AM109+'бюджеты поселений'!AM109</f>
        <v>0</v>
      </c>
      <c r="BX109" s="137">
        <f>'бюджет округа (района)'!AM109</f>
        <v>0</v>
      </c>
      <c r="BY109" s="137">
        <f t="shared" si="573"/>
        <v>0</v>
      </c>
      <c r="BZ109" s="137">
        <f t="shared" si="573"/>
        <v>0</v>
      </c>
      <c r="CA109" s="135">
        <f t="shared" si="549"/>
        <v>1</v>
      </c>
      <c r="CB109" s="135">
        <f t="shared" si="549"/>
        <v>1</v>
      </c>
      <c r="CC109" s="134">
        <f>'бюджет округа (района)'!AP109+'бюджеты поселений'!AP109</f>
        <v>0</v>
      </c>
      <c r="CD109" s="137">
        <f>'бюджет округа (района)'!AP109</f>
        <v>0</v>
      </c>
      <c r="CE109" s="137">
        <f t="shared" si="574"/>
        <v>0</v>
      </c>
      <c r="CF109" s="137">
        <f t="shared" si="574"/>
        <v>0</v>
      </c>
      <c r="CG109" s="135">
        <f t="shared" si="550"/>
        <v>1</v>
      </c>
      <c r="CH109" s="135">
        <f t="shared" si="550"/>
        <v>1</v>
      </c>
      <c r="CI109" s="134">
        <f>'бюджет округа (района)'!AS109+'бюджеты поселений'!AS109</f>
        <v>0</v>
      </c>
      <c r="CJ109" s="137">
        <f>'бюджет округа (района)'!AS109</f>
        <v>0</v>
      </c>
      <c r="CK109" s="137">
        <f t="shared" si="575"/>
        <v>0</v>
      </c>
      <c r="CL109" s="137">
        <f t="shared" si="575"/>
        <v>0</v>
      </c>
      <c r="CM109" s="135">
        <f t="shared" si="551"/>
        <v>1</v>
      </c>
      <c r="CN109" s="135">
        <f t="shared" si="551"/>
        <v>1</v>
      </c>
      <c r="CO109" s="134">
        <f>'бюджет округа (района)'!AV109+'бюджеты поселений'!AV109</f>
        <v>0</v>
      </c>
      <c r="CP109" s="137">
        <f>'бюджет округа (района)'!AV109</f>
        <v>0</v>
      </c>
      <c r="CQ109" s="137">
        <f t="shared" si="576"/>
        <v>0</v>
      </c>
      <c r="CR109" s="137">
        <f t="shared" si="576"/>
        <v>0</v>
      </c>
      <c r="CS109" s="135">
        <f t="shared" si="552"/>
        <v>1</v>
      </c>
      <c r="CT109" s="135">
        <f t="shared" si="552"/>
        <v>1</v>
      </c>
      <c r="CU109" s="134">
        <f>'бюджет округа (района)'!AY109+'бюджеты поселений'!AY109</f>
        <v>0</v>
      </c>
      <c r="CV109" s="137">
        <f>'бюджет округа (района)'!AY109</f>
        <v>0</v>
      </c>
      <c r="CW109" s="137">
        <f t="shared" si="577"/>
        <v>0</v>
      </c>
      <c r="CX109" s="137">
        <f t="shared" si="577"/>
        <v>0</v>
      </c>
      <c r="CY109" s="135">
        <f t="shared" si="553"/>
        <v>1</v>
      </c>
      <c r="CZ109" s="135">
        <f t="shared" si="553"/>
        <v>1</v>
      </c>
      <c r="DA109" s="134">
        <f>'бюджет округа (района)'!BB109+'бюджеты поселений'!BB109</f>
        <v>0</v>
      </c>
      <c r="DB109" s="137">
        <f>'бюджет округа (района)'!BB109</f>
        <v>0</v>
      </c>
      <c r="DC109" s="137">
        <f t="shared" si="578"/>
        <v>0</v>
      </c>
      <c r="DD109" s="137">
        <f t="shared" si="578"/>
        <v>0</v>
      </c>
      <c r="DE109" s="135">
        <f t="shared" si="554"/>
        <v>1</v>
      </c>
      <c r="DF109" s="135">
        <f t="shared" si="554"/>
        <v>1</v>
      </c>
      <c r="DG109" s="134">
        <f>'бюджет округа (района)'!BE109+'бюджеты поселений'!BE109</f>
        <v>0</v>
      </c>
      <c r="DH109" s="137">
        <f>'бюджет округа (района)'!BE109</f>
        <v>0</v>
      </c>
      <c r="DI109" s="137">
        <f t="shared" si="579"/>
        <v>0</v>
      </c>
      <c r="DJ109" s="137">
        <f t="shared" si="579"/>
        <v>0</v>
      </c>
      <c r="DK109" s="135">
        <f t="shared" si="555"/>
        <v>1</v>
      </c>
      <c r="DL109" s="135">
        <f t="shared" si="555"/>
        <v>1</v>
      </c>
      <c r="DM109" s="134">
        <f>'бюджет округа (района)'!BH109+'бюджеты поселений'!BH109</f>
        <v>0</v>
      </c>
      <c r="DN109" s="137">
        <f>'бюджет округа (района)'!BH109</f>
        <v>0</v>
      </c>
      <c r="DO109" s="134">
        <f>'бюджет округа (района)'!BI109+'бюджеты поселений'!BI109</f>
        <v>0</v>
      </c>
      <c r="DP109" s="137">
        <f>'бюджет округа (района)'!BI109</f>
        <v>0</v>
      </c>
      <c r="DQ109" s="134">
        <f>'бюджет округа (района)'!BJ109+'бюджеты поселений'!BJ109</f>
        <v>0</v>
      </c>
      <c r="DR109" s="137">
        <f>'бюджет округа (района)'!BJ109</f>
        <v>0</v>
      </c>
      <c r="DS109" s="135">
        <f t="shared" si="591"/>
        <v>1</v>
      </c>
      <c r="DT109" s="135">
        <f t="shared" si="592"/>
        <v>1</v>
      </c>
      <c r="DU109" s="135">
        <f t="shared" si="557"/>
        <v>1</v>
      </c>
      <c r="DV109" s="135">
        <f t="shared" si="558"/>
        <v>1</v>
      </c>
      <c r="DW109" s="167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  <c r="GY109" s="105"/>
      <c r="GZ109" s="105"/>
      <c r="HA109" s="105"/>
      <c r="HB109" s="105"/>
      <c r="HC109" s="105"/>
      <c r="HD109" s="105"/>
      <c r="HE109" s="105"/>
      <c r="HF109" s="105"/>
      <c r="HG109" s="105"/>
      <c r="HH109" s="105"/>
      <c r="HI109" s="105"/>
      <c r="HJ109" s="105"/>
      <c r="HK109" s="105"/>
      <c r="HL109" s="105"/>
      <c r="HM109" s="105"/>
      <c r="HN109" s="105"/>
      <c r="HO109" s="105"/>
      <c r="HP109" s="105"/>
      <c r="HQ109" s="105"/>
      <c r="HR109" s="105"/>
      <c r="HS109" s="105"/>
      <c r="HT109" s="105"/>
      <c r="HU109" s="105"/>
      <c r="HV109" s="105"/>
      <c r="HW109" s="105"/>
      <c r="HX109" s="105"/>
      <c r="HY109" s="105"/>
      <c r="HZ109" s="105"/>
      <c r="IA109" s="105"/>
      <c r="IB109" s="105"/>
      <c r="IC109" s="105"/>
      <c r="ID109" s="105"/>
      <c r="IE109" s="105"/>
      <c r="IF109" s="105"/>
      <c r="IG109" s="105"/>
      <c r="IH109" s="105"/>
      <c r="II109" s="105"/>
      <c r="IJ109" s="105"/>
      <c r="IK109" s="105"/>
      <c r="IL109" s="105"/>
      <c r="IM109" s="105"/>
      <c r="IN109" s="105"/>
      <c r="IO109" s="105"/>
      <c r="IP109" s="105"/>
      <c r="IQ109" s="105"/>
      <c r="IR109" s="105"/>
      <c r="IS109" s="105"/>
      <c r="IT109" s="105"/>
      <c r="IU109" s="105"/>
      <c r="IV109" s="105"/>
      <c r="IW109" s="105"/>
      <c r="IX109" s="105"/>
      <c r="IY109" s="105"/>
      <c r="IZ109" s="105"/>
      <c r="JA109" s="105"/>
      <c r="JB109" s="105"/>
      <c r="JC109" s="105"/>
      <c r="JD109" s="105"/>
      <c r="JE109" s="105"/>
      <c r="JF109" s="105"/>
      <c r="JG109" s="105"/>
      <c r="JH109" s="105"/>
    </row>
    <row r="110" spans="1:268" s="106" customFormat="1" ht="18" customHeight="1">
      <c r="A110" s="173"/>
      <c r="B110" s="174"/>
      <c r="C110" s="134">
        <f>'бюджет округа (района)'!C110+'бюджеты поселений'!C110</f>
        <v>0</v>
      </c>
      <c r="D110" s="137">
        <f>'бюджет округа (района)'!C110</f>
        <v>0</v>
      </c>
      <c r="E110" s="134">
        <f t="shared" si="589"/>
        <v>0</v>
      </c>
      <c r="F110" s="137">
        <f t="shared" si="589"/>
        <v>0</v>
      </c>
      <c r="G110" s="134">
        <f>'бюджет округа (района)'!E110+'бюджеты поселений'!E110</f>
        <v>0</v>
      </c>
      <c r="H110" s="137">
        <f>'бюджет округа (района)'!E110</f>
        <v>0</v>
      </c>
      <c r="I110" s="134">
        <f>'бюджет округа (района)'!F110+'бюджеты поселений'!F110</f>
        <v>0</v>
      </c>
      <c r="J110" s="137">
        <f>'бюджет округа (района)'!F110</f>
        <v>0</v>
      </c>
      <c r="K110" s="137">
        <f t="shared" si="593"/>
        <v>0</v>
      </c>
      <c r="L110" s="137">
        <f t="shared" si="593"/>
        <v>0</v>
      </c>
      <c r="M110" s="134">
        <f>'бюджет округа (района)'!H110+'бюджеты поселений'!H110</f>
        <v>0</v>
      </c>
      <c r="N110" s="137">
        <f>'бюджет округа (района)'!H110</f>
        <v>0</v>
      </c>
      <c r="O110" s="137">
        <f t="shared" si="590"/>
        <v>0</v>
      </c>
      <c r="P110" s="137">
        <f t="shared" si="590"/>
        <v>0</v>
      </c>
      <c r="Q110" s="134">
        <f>'бюджет округа (района)'!J110+'бюджеты поселений'!J110</f>
        <v>0</v>
      </c>
      <c r="R110" s="137">
        <f>'бюджет округа (района)'!J110</f>
        <v>0</v>
      </c>
      <c r="S110" s="137">
        <f t="shared" si="594"/>
        <v>0</v>
      </c>
      <c r="T110" s="137">
        <f t="shared" si="594"/>
        <v>0</v>
      </c>
      <c r="U110" s="134">
        <f>'бюджет округа (района)'!L110+'бюджеты поселений'!L110</f>
        <v>0</v>
      </c>
      <c r="V110" s="137">
        <f>'бюджет округа (района)'!L110</f>
        <v>0</v>
      </c>
      <c r="W110" s="137">
        <f t="shared" si="595"/>
        <v>0</v>
      </c>
      <c r="X110" s="137">
        <f t="shared" si="595"/>
        <v>0</v>
      </c>
      <c r="Y110" s="134">
        <f>'бюджет округа (района)'!N110+'бюджеты поселений'!N110</f>
        <v>0</v>
      </c>
      <c r="Z110" s="137">
        <f>'бюджет округа (района)'!N110</f>
        <v>0</v>
      </c>
      <c r="AA110" s="137">
        <f t="shared" si="596"/>
        <v>0</v>
      </c>
      <c r="AB110" s="137">
        <f t="shared" si="596"/>
        <v>0</v>
      </c>
      <c r="AC110" s="134">
        <f>'бюджет округа (района)'!P110+'бюджеты поселений'!P110</f>
        <v>0</v>
      </c>
      <c r="AD110" s="137">
        <f>'бюджет округа (района)'!P110</f>
        <v>0</v>
      </c>
      <c r="AE110" s="137">
        <f t="shared" si="597"/>
        <v>0</v>
      </c>
      <c r="AF110" s="137">
        <f t="shared" si="597"/>
        <v>0</v>
      </c>
      <c r="AG110" s="134">
        <f>'бюджет округа (района)'!R110+'бюджеты поселений'!R110</f>
        <v>0</v>
      </c>
      <c r="AH110" s="137">
        <f>'бюджет округа (района)'!R110</f>
        <v>0</v>
      </c>
      <c r="AI110" s="137">
        <f t="shared" si="598"/>
        <v>0</v>
      </c>
      <c r="AJ110" s="137">
        <f t="shared" si="598"/>
        <v>0</v>
      </c>
      <c r="AK110" s="134">
        <f>'бюджет округа (района)'!T110+'бюджеты поселений'!T110</f>
        <v>0</v>
      </c>
      <c r="AL110" s="137">
        <f>'бюджет округа (района)'!T110</f>
        <v>0</v>
      </c>
      <c r="AM110" s="137">
        <f t="shared" si="599"/>
        <v>0</v>
      </c>
      <c r="AN110" s="137">
        <f t="shared" si="599"/>
        <v>0</v>
      </c>
      <c r="AO110" s="134">
        <f>'бюджет округа (района)'!V110+'бюджеты поселений'!V110</f>
        <v>0</v>
      </c>
      <c r="AP110" s="137">
        <f>'бюджет округа (района)'!V110</f>
        <v>0</v>
      </c>
      <c r="AQ110" s="137">
        <f t="shared" si="600"/>
        <v>0</v>
      </c>
      <c r="AR110" s="137">
        <f t="shared" si="600"/>
        <v>0</v>
      </c>
      <c r="AS110" s="134">
        <f>'бюджет округа (района)'!X110+'бюджеты поселений'!X110</f>
        <v>0</v>
      </c>
      <c r="AT110" s="137">
        <f>'бюджет округа (района)'!X110</f>
        <v>0</v>
      </c>
      <c r="AU110" s="137">
        <f t="shared" si="601"/>
        <v>0</v>
      </c>
      <c r="AV110" s="137">
        <f t="shared" si="601"/>
        <v>0</v>
      </c>
      <c r="AW110" s="134">
        <f>'бюджет округа (района)'!Z110+'бюджеты поселений'!Z110</f>
        <v>0</v>
      </c>
      <c r="AX110" s="137">
        <f>'бюджет округа (района)'!Z110</f>
        <v>0</v>
      </c>
      <c r="AY110" s="134">
        <f>'бюджет округа (района)'!AA110+'бюджеты поселений'!AA110</f>
        <v>0</v>
      </c>
      <c r="AZ110" s="137">
        <f>'бюджет округа (района)'!AA110</f>
        <v>0</v>
      </c>
      <c r="BA110" s="135">
        <f t="shared" si="581"/>
        <v>1</v>
      </c>
      <c r="BB110" s="135">
        <f t="shared" si="581"/>
        <v>1</v>
      </c>
      <c r="BC110" s="134">
        <f>'бюджет округа (района)'!AC110+'бюджеты поселений'!AC110</f>
        <v>0</v>
      </c>
      <c r="BD110" s="137">
        <f>'бюджет округа (района)'!AC110</f>
        <v>0</v>
      </c>
      <c r="BE110" s="134">
        <f>'бюджет округа (района)'!AD110+'бюджеты поселений'!AD110</f>
        <v>0</v>
      </c>
      <c r="BF110" s="137">
        <f>'бюджет округа (района)'!AD110</f>
        <v>0</v>
      </c>
      <c r="BG110" s="137">
        <f t="shared" si="602"/>
        <v>0</v>
      </c>
      <c r="BH110" s="137">
        <f t="shared" si="602"/>
        <v>0</v>
      </c>
      <c r="BI110" s="135">
        <f t="shared" si="546"/>
        <v>1</v>
      </c>
      <c r="BJ110" s="135">
        <f t="shared" si="546"/>
        <v>1</v>
      </c>
      <c r="BK110" s="134">
        <f>'бюджет округа (района)'!AG110+'бюджеты поселений'!AG110</f>
        <v>0</v>
      </c>
      <c r="BL110" s="137">
        <f>'бюджет округа (района)'!AG110</f>
        <v>0</v>
      </c>
      <c r="BM110" s="137">
        <f t="shared" si="571"/>
        <v>0</v>
      </c>
      <c r="BN110" s="137">
        <f t="shared" si="571"/>
        <v>0</v>
      </c>
      <c r="BO110" s="135">
        <f t="shared" si="547"/>
        <v>1</v>
      </c>
      <c r="BP110" s="135">
        <f t="shared" si="547"/>
        <v>1</v>
      </c>
      <c r="BQ110" s="134">
        <f>'бюджет округа (района)'!AJ110+'бюджеты поселений'!AJ110</f>
        <v>0</v>
      </c>
      <c r="BR110" s="137">
        <f>'бюджет округа (района)'!AJ110</f>
        <v>0</v>
      </c>
      <c r="BS110" s="137">
        <f t="shared" si="572"/>
        <v>0</v>
      </c>
      <c r="BT110" s="137">
        <f t="shared" si="572"/>
        <v>0</v>
      </c>
      <c r="BU110" s="135">
        <f t="shared" si="548"/>
        <v>1</v>
      </c>
      <c r="BV110" s="135">
        <f t="shared" si="548"/>
        <v>1</v>
      </c>
      <c r="BW110" s="134">
        <f>'бюджет округа (района)'!AM110+'бюджеты поселений'!AM110</f>
        <v>0</v>
      </c>
      <c r="BX110" s="137">
        <f>'бюджет округа (района)'!AM110</f>
        <v>0</v>
      </c>
      <c r="BY110" s="137">
        <f t="shared" si="573"/>
        <v>0</v>
      </c>
      <c r="BZ110" s="137">
        <f t="shared" si="573"/>
        <v>0</v>
      </c>
      <c r="CA110" s="135">
        <f t="shared" si="549"/>
        <v>1</v>
      </c>
      <c r="CB110" s="135">
        <f t="shared" si="549"/>
        <v>1</v>
      </c>
      <c r="CC110" s="134">
        <f>'бюджет округа (района)'!AP110+'бюджеты поселений'!AP110</f>
        <v>0</v>
      </c>
      <c r="CD110" s="137">
        <f>'бюджет округа (района)'!AP110</f>
        <v>0</v>
      </c>
      <c r="CE110" s="137">
        <f t="shared" si="574"/>
        <v>0</v>
      </c>
      <c r="CF110" s="137">
        <f t="shared" si="574"/>
        <v>0</v>
      </c>
      <c r="CG110" s="135">
        <f t="shared" si="550"/>
        <v>1</v>
      </c>
      <c r="CH110" s="135">
        <f t="shared" si="550"/>
        <v>1</v>
      </c>
      <c r="CI110" s="134">
        <f>'бюджет округа (района)'!AS110+'бюджеты поселений'!AS110</f>
        <v>0</v>
      </c>
      <c r="CJ110" s="137">
        <f>'бюджет округа (района)'!AS110</f>
        <v>0</v>
      </c>
      <c r="CK110" s="137">
        <f t="shared" si="575"/>
        <v>0</v>
      </c>
      <c r="CL110" s="137">
        <f t="shared" si="575"/>
        <v>0</v>
      </c>
      <c r="CM110" s="135">
        <f t="shared" si="551"/>
        <v>1</v>
      </c>
      <c r="CN110" s="135">
        <f t="shared" si="551"/>
        <v>1</v>
      </c>
      <c r="CO110" s="134">
        <f>'бюджет округа (района)'!AV110+'бюджеты поселений'!AV110</f>
        <v>0</v>
      </c>
      <c r="CP110" s="137">
        <f>'бюджет округа (района)'!AV110</f>
        <v>0</v>
      </c>
      <c r="CQ110" s="137">
        <f t="shared" si="576"/>
        <v>0</v>
      </c>
      <c r="CR110" s="137">
        <f t="shared" si="576"/>
        <v>0</v>
      </c>
      <c r="CS110" s="135">
        <f t="shared" si="552"/>
        <v>1</v>
      </c>
      <c r="CT110" s="135">
        <f t="shared" si="552"/>
        <v>1</v>
      </c>
      <c r="CU110" s="134">
        <f>'бюджет округа (района)'!AY110+'бюджеты поселений'!AY110</f>
        <v>0</v>
      </c>
      <c r="CV110" s="137">
        <f>'бюджет округа (района)'!AY110</f>
        <v>0</v>
      </c>
      <c r="CW110" s="137">
        <f t="shared" si="577"/>
        <v>0</v>
      </c>
      <c r="CX110" s="137">
        <f t="shared" si="577"/>
        <v>0</v>
      </c>
      <c r="CY110" s="135">
        <f t="shared" si="553"/>
        <v>1</v>
      </c>
      <c r="CZ110" s="135">
        <f t="shared" si="553"/>
        <v>1</v>
      </c>
      <c r="DA110" s="134">
        <f>'бюджет округа (района)'!BB110+'бюджеты поселений'!BB110</f>
        <v>0</v>
      </c>
      <c r="DB110" s="137">
        <f>'бюджет округа (района)'!BB110</f>
        <v>0</v>
      </c>
      <c r="DC110" s="137">
        <f t="shared" si="578"/>
        <v>0</v>
      </c>
      <c r="DD110" s="137">
        <f t="shared" si="578"/>
        <v>0</v>
      </c>
      <c r="DE110" s="135">
        <f t="shared" si="554"/>
        <v>1</v>
      </c>
      <c r="DF110" s="135">
        <f t="shared" si="554"/>
        <v>1</v>
      </c>
      <c r="DG110" s="134">
        <f>'бюджет округа (района)'!BE110+'бюджеты поселений'!BE110</f>
        <v>0</v>
      </c>
      <c r="DH110" s="137">
        <f>'бюджет округа (района)'!BE110</f>
        <v>0</v>
      </c>
      <c r="DI110" s="137">
        <f t="shared" si="579"/>
        <v>0</v>
      </c>
      <c r="DJ110" s="137">
        <f t="shared" si="579"/>
        <v>0</v>
      </c>
      <c r="DK110" s="135">
        <f t="shared" si="555"/>
        <v>1</v>
      </c>
      <c r="DL110" s="135">
        <f t="shared" si="555"/>
        <v>1</v>
      </c>
      <c r="DM110" s="134">
        <f>'бюджет округа (района)'!BH110+'бюджеты поселений'!BH110</f>
        <v>0</v>
      </c>
      <c r="DN110" s="137">
        <f>'бюджет округа (района)'!BH110</f>
        <v>0</v>
      </c>
      <c r="DO110" s="134">
        <f>'бюджет округа (района)'!BI110+'бюджеты поселений'!BI110</f>
        <v>0</v>
      </c>
      <c r="DP110" s="137">
        <f>'бюджет округа (района)'!BI110</f>
        <v>0</v>
      </c>
      <c r="DQ110" s="134">
        <f>'бюджет округа (района)'!BJ110+'бюджеты поселений'!BJ110</f>
        <v>0</v>
      </c>
      <c r="DR110" s="137">
        <f>'бюджет округа (района)'!BJ110</f>
        <v>0</v>
      </c>
      <c r="DS110" s="135">
        <f t="shared" si="591"/>
        <v>1</v>
      </c>
      <c r="DT110" s="135">
        <f t="shared" si="592"/>
        <v>1</v>
      </c>
      <c r="DU110" s="135">
        <f t="shared" si="557"/>
        <v>1</v>
      </c>
      <c r="DV110" s="135">
        <f t="shared" si="558"/>
        <v>1</v>
      </c>
      <c r="DW110" s="167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</row>
    <row r="111" spans="1:268" s="106" customFormat="1" ht="18" customHeight="1">
      <c r="A111" s="173"/>
      <c r="B111" s="174"/>
      <c r="C111" s="134">
        <f>'бюджет округа (района)'!C111+'бюджеты поселений'!C111</f>
        <v>0</v>
      </c>
      <c r="D111" s="137">
        <f>'бюджет округа (района)'!C111</f>
        <v>0</v>
      </c>
      <c r="E111" s="134">
        <f t="shared" si="589"/>
        <v>0</v>
      </c>
      <c r="F111" s="137">
        <f t="shared" si="589"/>
        <v>0</v>
      </c>
      <c r="G111" s="134">
        <f>'бюджет округа (района)'!E111+'бюджеты поселений'!E111</f>
        <v>0</v>
      </c>
      <c r="H111" s="137">
        <f>'бюджет округа (района)'!E111</f>
        <v>0</v>
      </c>
      <c r="I111" s="134">
        <f>'бюджет округа (района)'!F111+'бюджеты поселений'!F111</f>
        <v>0</v>
      </c>
      <c r="J111" s="137">
        <f>'бюджет округа (района)'!F111</f>
        <v>0</v>
      </c>
      <c r="K111" s="137">
        <f t="shared" si="593"/>
        <v>0</v>
      </c>
      <c r="L111" s="137">
        <f t="shared" si="593"/>
        <v>0</v>
      </c>
      <c r="M111" s="134">
        <f>'бюджет округа (района)'!H111+'бюджеты поселений'!H111</f>
        <v>0</v>
      </c>
      <c r="N111" s="137">
        <f>'бюджет округа (района)'!H111</f>
        <v>0</v>
      </c>
      <c r="O111" s="137">
        <f t="shared" si="590"/>
        <v>0</v>
      </c>
      <c r="P111" s="137">
        <f t="shared" si="590"/>
        <v>0</v>
      </c>
      <c r="Q111" s="134">
        <f>'бюджет округа (района)'!J111+'бюджеты поселений'!J111</f>
        <v>0</v>
      </c>
      <c r="R111" s="137">
        <f>'бюджет округа (района)'!J111</f>
        <v>0</v>
      </c>
      <c r="S111" s="137">
        <f t="shared" si="594"/>
        <v>0</v>
      </c>
      <c r="T111" s="137">
        <f t="shared" si="594"/>
        <v>0</v>
      </c>
      <c r="U111" s="134">
        <f>'бюджет округа (района)'!L111+'бюджеты поселений'!L111</f>
        <v>0</v>
      </c>
      <c r="V111" s="137">
        <f>'бюджет округа (района)'!L111</f>
        <v>0</v>
      </c>
      <c r="W111" s="137">
        <f t="shared" si="595"/>
        <v>0</v>
      </c>
      <c r="X111" s="137">
        <f t="shared" si="595"/>
        <v>0</v>
      </c>
      <c r="Y111" s="134">
        <f>'бюджет округа (района)'!N111+'бюджеты поселений'!N111</f>
        <v>0</v>
      </c>
      <c r="Z111" s="137">
        <f>'бюджет округа (района)'!N111</f>
        <v>0</v>
      </c>
      <c r="AA111" s="137">
        <f t="shared" si="596"/>
        <v>0</v>
      </c>
      <c r="AB111" s="137">
        <f t="shared" si="596"/>
        <v>0</v>
      </c>
      <c r="AC111" s="134">
        <f>'бюджет округа (района)'!P111+'бюджеты поселений'!P111</f>
        <v>0</v>
      </c>
      <c r="AD111" s="137">
        <f>'бюджет округа (района)'!P111</f>
        <v>0</v>
      </c>
      <c r="AE111" s="137">
        <f t="shared" si="597"/>
        <v>0</v>
      </c>
      <c r="AF111" s="137">
        <f t="shared" si="597"/>
        <v>0</v>
      </c>
      <c r="AG111" s="134">
        <f>'бюджет округа (района)'!R111+'бюджеты поселений'!R111</f>
        <v>0</v>
      </c>
      <c r="AH111" s="137">
        <f>'бюджет округа (района)'!R111</f>
        <v>0</v>
      </c>
      <c r="AI111" s="137">
        <f t="shared" si="598"/>
        <v>0</v>
      </c>
      <c r="AJ111" s="137">
        <f t="shared" si="598"/>
        <v>0</v>
      </c>
      <c r="AK111" s="134">
        <f>'бюджет округа (района)'!T111+'бюджеты поселений'!T111</f>
        <v>0</v>
      </c>
      <c r="AL111" s="137">
        <f>'бюджет округа (района)'!T111</f>
        <v>0</v>
      </c>
      <c r="AM111" s="137">
        <f t="shared" si="599"/>
        <v>0</v>
      </c>
      <c r="AN111" s="137">
        <f t="shared" si="599"/>
        <v>0</v>
      </c>
      <c r="AO111" s="134">
        <f>'бюджет округа (района)'!V111+'бюджеты поселений'!V111</f>
        <v>0</v>
      </c>
      <c r="AP111" s="137">
        <f>'бюджет округа (района)'!V111</f>
        <v>0</v>
      </c>
      <c r="AQ111" s="137">
        <f t="shared" si="600"/>
        <v>0</v>
      </c>
      <c r="AR111" s="137">
        <f t="shared" si="600"/>
        <v>0</v>
      </c>
      <c r="AS111" s="134">
        <f>'бюджет округа (района)'!X111+'бюджеты поселений'!X111</f>
        <v>0</v>
      </c>
      <c r="AT111" s="137">
        <f>'бюджет округа (района)'!X111</f>
        <v>0</v>
      </c>
      <c r="AU111" s="137">
        <f t="shared" si="601"/>
        <v>0</v>
      </c>
      <c r="AV111" s="137">
        <f t="shared" si="601"/>
        <v>0</v>
      </c>
      <c r="AW111" s="134">
        <f>'бюджет округа (района)'!Z111+'бюджеты поселений'!Z111</f>
        <v>0</v>
      </c>
      <c r="AX111" s="137">
        <f>'бюджет округа (района)'!Z111</f>
        <v>0</v>
      </c>
      <c r="AY111" s="134">
        <f>'бюджет округа (района)'!AA111+'бюджеты поселений'!AA111</f>
        <v>0</v>
      </c>
      <c r="AZ111" s="137">
        <f>'бюджет округа (района)'!AA111</f>
        <v>0</v>
      </c>
      <c r="BA111" s="135">
        <f t="shared" si="581"/>
        <v>1</v>
      </c>
      <c r="BB111" s="135">
        <f t="shared" si="581"/>
        <v>1</v>
      </c>
      <c r="BC111" s="134">
        <f>'бюджет округа (района)'!AC111+'бюджеты поселений'!AC111</f>
        <v>0</v>
      </c>
      <c r="BD111" s="137">
        <f>'бюджет округа (района)'!AC111</f>
        <v>0</v>
      </c>
      <c r="BE111" s="134">
        <f>'бюджет округа (района)'!AD111+'бюджеты поселений'!AD111</f>
        <v>0</v>
      </c>
      <c r="BF111" s="137">
        <f>'бюджет округа (района)'!AD111</f>
        <v>0</v>
      </c>
      <c r="BG111" s="137">
        <f t="shared" si="602"/>
        <v>0</v>
      </c>
      <c r="BH111" s="137">
        <f t="shared" si="602"/>
        <v>0</v>
      </c>
      <c r="BI111" s="135">
        <f t="shared" si="546"/>
        <v>1</v>
      </c>
      <c r="BJ111" s="135">
        <f t="shared" si="546"/>
        <v>1</v>
      </c>
      <c r="BK111" s="134">
        <f>'бюджет округа (района)'!AG111+'бюджеты поселений'!AG111</f>
        <v>0</v>
      </c>
      <c r="BL111" s="137">
        <f>'бюджет округа (района)'!AG111</f>
        <v>0</v>
      </c>
      <c r="BM111" s="137">
        <f t="shared" si="571"/>
        <v>0</v>
      </c>
      <c r="BN111" s="137">
        <f t="shared" si="571"/>
        <v>0</v>
      </c>
      <c r="BO111" s="135">
        <f t="shared" si="547"/>
        <v>1</v>
      </c>
      <c r="BP111" s="135">
        <f t="shared" si="547"/>
        <v>1</v>
      </c>
      <c r="BQ111" s="134">
        <f>'бюджет округа (района)'!AJ111+'бюджеты поселений'!AJ111</f>
        <v>0</v>
      </c>
      <c r="BR111" s="137">
        <f>'бюджет округа (района)'!AJ111</f>
        <v>0</v>
      </c>
      <c r="BS111" s="137">
        <f t="shared" si="572"/>
        <v>0</v>
      </c>
      <c r="BT111" s="137">
        <f t="shared" si="572"/>
        <v>0</v>
      </c>
      <c r="BU111" s="135">
        <f t="shared" si="548"/>
        <v>1</v>
      </c>
      <c r="BV111" s="135">
        <f t="shared" si="548"/>
        <v>1</v>
      </c>
      <c r="BW111" s="134">
        <f>'бюджет округа (района)'!AM111+'бюджеты поселений'!AM111</f>
        <v>0</v>
      </c>
      <c r="BX111" s="137">
        <f>'бюджет округа (района)'!AM111</f>
        <v>0</v>
      </c>
      <c r="BY111" s="137">
        <f t="shared" si="573"/>
        <v>0</v>
      </c>
      <c r="BZ111" s="137">
        <f t="shared" si="573"/>
        <v>0</v>
      </c>
      <c r="CA111" s="135">
        <f t="shared" si="549"/>
        <v>1</v>
      </c>
      <c r="CB111" s="135">
        <f t="shared" si="549"/>
        <v>1</v>
      </c>
      <c r="CC111" s="134">
        <f>'бюджет округа (района)'!AP111+'бюджеты поселений'!AP111</f>
        <v>0</v>
      </c>
      <c r="CD111" s="137">
        <f>'бюджет округа (района)'!AP111</f>
        <v>0</v>
      </c>
      <c r="CE111" s="137">
        <f t="shared" si="574"/>
        <v>0</v>
      </c>
      <c r="CF111" s="137">
        <f t="shared" si="574"/>
        <v>0</v>
      </c>
      <c r="CG111" s="135">
        <f t="shared" si="550"/>
        <v>1</v>
      </c>
      <c r="CH111" s="135">
        <f t="shared" si="550"/>
        <v>1</v>
      </c>
      <c r="CI111" s="134">
        <f>'бюджет округа (района)'!AS111+'бюджеты поселений'!AS111</f>
        <v>0</v>
      </c>
      <c r="CJ111" s="137">
        <f>'бюджет округа (района)'!AS111</f>
        <v>0</v>
      </c>
      <c r="CK111" s="137">
        <f t="shared" si="575"/>
        <v>0</v>
      </c>
      <c r="CL111" s="137">
        <f t="shared" si="575"/>
        <v>0</v>
      </c>
      <c r="CM111" s="135">
        <f t="shared" si="551"/>
        <v>1</v>
      </c>
      <c r="CN111" s="135">
        <f t="shared" si="551"/>
        <v>1</v>
      </c>
      <c r="CO111" s="134">
        <f>'бюджет округа (района)'!AV111+'бюджеты поселений'!AV111</f>
        <v>0</v>
      </c>
      <c r="CP111" s="137">
        <f>'бюджет округа (района)'!AV111</f>
        <v>0</v>
      </c>
      <c r="CQ111" s="137">
        <f t="shared" si="576"/>
        <v>0</v>
      </c>
      <c r="CR111" s="137">
        <f t="shared" si="576"/>
        <v>0</v>
      </c>
      <c r="CS111" s="135">
        <f t="shared" si="552"/>
        <v>1</v>
      </c>
      <c r="CT111" s="135">
        <f t="shared" si="552"/>
        <v>1</v>
      </c>
      <c r="CU111" s="134">
        <f>'бюджет округа (района)'!AY111+'бюджеты поселений'!AY111</f>
        <v>0</v>
      </c>
      <c r="CV111" s="137">
        <f>'бюджет округа (района)'!AY111</f>
        <v>0</v>
      </c>
      <c r="CW111" s="137">
        <f t="shared" si="577"/>
        <v>0</v>
      </c>
      <c r="CX111" s="137">
        <f t="shared" si="577"/>
        <v>0</v>
      </c>
      <c r="CY111" s="135">
        <f t="shared" si="553"/>
        <v>1</v>
      </c>
      <c r="CZ111" s="135">
        <f t="shared" si="553"/>
        <v>1</v>
      </c>
      <c r="DA111" s="134">
        <f>'бюджет округа (района)'!BB111+'бюджеты поселений'!BB111</f>
        <v>0</v>
      </c>
      <c r="DB111" s="137">
        <f>'бюджет округа (района)'!BB111</f>
        <v>0</v>
      </c>
      <c r="DC111" s="137">
        <f t="shared" si="578"/>
        <v>0</v>
      </c>
      <c r="DD111" s="137">
        <f t="shared" si="578"/>
        <v>0</v>
      </c>
      <c r="DE111" s="135">
        <f t="shared" si="554"/>
        <v>1</v>
      </c>
      <c r="DF111" s="135">
        <f t="shared" si="554"/>
        <v>1</v>
      </c>
      <c r="DG111" s="134">
        <f>'бюджет округа (района)'!BE111+'бюджеты поселений'!BE111</f>
        <v>0</v>
      </c>
      <c r="DH111" s="137">
        <f>'бюджет округа (района)'!BE111</f>
        <v>0</v>
      </c>
      <c r="DI111" s="137">
        <f t="shared" si="579"/>
        <v>0</v>
      </c>
      <c r="DJ111" s="137">
        <f t="shared" si="579"/>
        <v>0</v>
      </c>
      <c r="DK111" s="135">
        <f t="shared" si="555"/>
        <v>1</v>
      </c>
      <c r="DL111" s="135">
        <f t="shared" si="555"/>
        <v>1</v>
      </c>
      <c r="DM111" s="134">
        <f>'бюджет округа (района)'!BH111+'бюджеты поселений'!BH111</f>
        <v>0</v>
      </c>
      <c r="DN111" s="137">
        <f>'бюджет округа (района)'!BH111</f>
        <v>0</v>
      </c>
      <c r="DO111" s="134">
        <f>'бюджет округа (района)'!BI111+'бюджеты поселений'!BI111</f>
        <v>0</v>
      </c>
      <c r="DP111" s="137">
        <f>'бюджет округа (района)'!BI111</f>
        <v>0</v>
      </c>
      <c r="DQ111" s="134">
        <f>'бюджет округа (района)'!BJ111+'бюджеты поселений'!BJ111</f>
        <v>0</v>
      </c>
      <c r="DR111" s="137">
        <f>'бюджет округа (района)'!BJ111</f>
        <v>0</v>
      </c>
      <c r="DS111" s="135">
        <f t="shared" si="591"/>
        <v>1</v>
      </c>
      <c r="DT111" s="135">
        <f t="shared" si="592"/>
        <v>1</v>
      </c>
      <c r="DU111" s="135">
        <f t="shared" si="557"/>
        <v>1</v>
      </c>
      <c r="DV111" s="135">
        <f t="shared" si="558"/>
        <v>1</v>
      </c>
      <c r="DW111" s="167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  <c r="GY111" s="105"/>
      <c r="GZ111" s="105"/>
      <c r="HA111" s="105"/>
      <c r="HB111" s="105"/>
      <c r="HC111" s="105"/>
      <c r="HD111" s="105"/>
      <c r="HE111" s="105"/>
      <c r="HF111" s="105"/>
      <c r="HG111" s="105"/>
      <c r="HH111" s="105"/>
      <c r="HI111" s="105"/>
      <c r="HJ111" s="105"/>
      <c r="HK111" s="105"/>
      <c r="HL111" s="105"/>
      <c r="HM111" s="105"/>
      <c r="HN111" s="105"/>
      <c r="HO111" s="105"/>
      <c r="HP111" s="105"/>
      <c r="HQ111" s="105"/>
      <c r="HR111" s="105"/>
      <c r="HS111" s="105"/>
      <c r="HT111" s="105"/>
      <c r="HU111" s="105"/>
      <c r="HV111" s="105"/>
      <c r="HW111" s="105"/>
      <c r="HX111" s="105"/>
      <c r="HY111" s="105"/>
      <c r="HZ111" s="105"/>
      <c r="IA111" s="105"/>
      <c r="IB111" s="105"/>
      <c r="IC111" s="105"/>
      <c r="ID111" s="105"/>
      <c r="IE111" s="105"/>
      <c r="IF111" s="105"/>
      <c r="IG111" s="105"/>
      <c r="IH111" s="105"/>
      <c r="II111" s="105"/>
      <c r="IJ111" s="105"/>
      <c r="IK111" s="105"/>
      <c r="IL111" s="105"/>
      <c r="IM111" s="105"/>
      <c r="IN111" s="105"/>
      <c r="IO111" s="105"/>
      <c r="IP111" s="105"/>
      <c r="IQ111" s="105"/>
      <c r="IR111" s="105"/>
      <c r="IS111" s="105"/>
      <c r="IT111" s="105"/>
      <c r="IU111" s="105"/>
      <c r="IV111" s="105"/>
      <c r="IW111" s="105"/>
      <c r="IX111" s="105"/>
      <c r="IY111" s="105"/>
      <c r="IZ111" s="105"/>
      <c r="JA111" s="105"/>
      <c r="JB111" s="105"/>
      <c r="JC111" s="105"/>
      <c r="JD111" s="105"/>
      <c r="JE111" s="105"/>
      <c r="JF111" s="105"/>
      <c r="JG111" s="105"/>
      <c r="JH111" s="105"/>
    </row>
    <row r="112" spans="1:268" s="106" customFormat="1" ht="18" customHeight="1">
      <c r="A112" s="292"/>
      <c r="B112" s="293"/>
      <c r="C112" s="134">
        <f>'бюджет округа (района)'!C112+'бюджеты поселений'!C112</f>
        <v>0</v>
      </c>
      <c r="D112" s="137">
        <f>'бюджет округа (района)'!C112</f>
        <v>0</v>
      </c>
      <c r="E112" s="134">
        <f t="shared" si="589"/>
        <v>0</v>
      </c>
      <c r="F112" s="137">
        <f t="shared" si="589"/>
        <v>0</v>
      </c>
      <c r="G112" s="134">
        <f>'бюджет округа (района)'!E112+'бюджеты поселений'!E112</f>
        <v>0</v>
      </c>
      <c r="H112" s="137">
        <f>'бюджет округа (района)'!E112</f>
        <v>0</v>
      </c>
      <c r="I112" s="134">
        <f>'бюджет округа (района)'!F112+'бюджеты поселений'!F112</f>
        <v>0</v>
      </c>
      <c r="J112" s="137">
        <f>'бюджет округа (района)'!F112</f>
        <v>0</v>
      </c>
      <c r="K112" s="137">
        <f t="shared" si="593"/>
        <v>0</v>
      </c>
      <c r="L112" s="137">
        <f t="shared" si="593"/>
        <v>0</v>
      </c>
      <c r="M112" s="134">
        <f>'бюджет округа (района)'!H112+'бюджеты поселений'!H112</f>
        <v>0</v>
      </c>
      <c r="N112" s="137">
        <f>'бюджет округа (района)'!H112</f>
        <v>0</v>
      </c>
      <c r="O112" s="137">
        <f t="shared" si="590"/>
        <v>0</v>
      </c>
      <c r="P112" s="137">
        <f t="shared" si="590"/>
        <v>0</v>
      </c>
      <c r="Q112" s="134">
        <f>'бюджет округа (района)'!J112+'бюджеты поселений'!J112</f>
        <v>0</v>
      </c>
      <c r="R112" s="137">
        <f>'бюджет округа (района)'!J112</f>
        <v>0</v>
      </c>
      <c r="S112" s="137">
        <f t="shared" si="594"/>
        <v>0</v>
      </c>
      <c r="T112" s="137">
        <f t="shared" si="594"/>
        <v>0</v>
      </c>
      <c r="U112" s="134">
        <f>'бюджет округа (района)'!L112+'бюджеты поселений'!L112</f>
        <v>0</v>
      </c>
      <c r="V112" s="137">
        <f>'бюджет округа (района)'!L112</f>
        <v>0</v>
      </c>
      <c r="W112" s="137">
        <f t="shared" si="595"/>
        <v>0</v>
      </c>
      <c r="X112" s="137">
        <f t="shared" si="595"/>
        <v>0</v>
      </c>
      <c r="Y112" s="134">
        <f>'бюджет округа (района)'!N112+'бюджеты поселений'!N112</f>
        <v>0</v>
      </c>
      <c r="Z112" s="137">
        <f>'бюджет округа (района)'!N112</f>
        <v>0</v>
      </c>
      <c r="AA112" s="137">
        <f t="shared" si="596"/>
        <v>0</v>
      </c>
      <c r="AB112" s="137">
        <f t="shared" si="596"/>
        <v>0</v>
      </c>
      <c r="AC112" s="134">
        <f>'бюджет округа (района)'!P112+'бюджеты поселений'!P112</f>
        <v>0</v>
      </c>
      <c r="AD112" s="137">
        <f>'бюджет округа (района)'!P112</f>
        <v>0</v>
      </c>
      <c r="AE112" s="137">
        <f t="shared" si="597"/>
        <v>0</v>
      </c>
      <c r="AF112" s="137">
        <f t="shared" si="597"/>
        <v>0</v>
      </c>
      <c r="AG112" s="134">
        <f>'бюджет округа (района)'!R112+'бюджеты поселений'!R112</f>
        <v>0</v>
      </c>
      <c r="AH112" s="137">
        <f>'бюджет округа (района)'!R112</f>
        <v>0</v>
      </c>
      <c r="AI112" s="137">
        <f t="shared" si="598"/>
        <v>0</v>
      </c>
      <c r="AJ112" s="137">
        <f t="shared" si="598"/>
        <v>0</v>
      </c>
      <c r="AK112" s="134">
        <f>'бюджет округа (района)'!T112+'бюджеты поселений'!T112</f>
        <v>0</v>
      </c>
      <c r="AL112" s="137">
        <f>'бюджет округа (района)'!T112</f>
        <v>0</v>
      </c>
      <c r="AM112" s="137">
        <f t="shared" si="599"/>
        <v>0</v>
      </c>
      <c r="AN112" s="137">
        <f t="shared" si="599"/>
        <v>0</v>
      </c>
      <c r="AO112" s="134">
        <f>'бюджет округа (района)'!V112+'бюджеты поселений'!V112</f>
        <v>0</v>
      </c>
      <c r="AP112" s="137">
        <f>'бюджет округа (района)'!V112</f>
        <v>0</v>
      </c>
      <c r="AQ112" s="137">
        <f t="shared" si="600"/>
        <v>0</v>
      </c>
      <c r="AR112" s="137">
        <f t="shared" si="600"/>
        <v>0</v>
      </c>
      <c r="AS112" s="134">
        <f>'бюджет округа (района)'!X112+'бюджеты поселений'!X112</f>
        <v>0</v>
      </c>
      <c r="AT112" s="137">
        <f>'бюджет округа (района)'!X112</f>
        <v>0</v>
      </c>
      <c r="AU112" s="137">
        <f t="shared" si="601"/>
        <v>0</v>
      </c>
      <c r="AV112" s="137">
        <f t="shared" si="601"/>
        <v>0</v>
      </c>
      <c r="AW112" s="134">
        <f>'бюджет округа (района)'!Z112+'бюджеты поселений'!Z112</f>
        <v>0</v>
      </c>
      <c r="AX112" s="137">
        <f>'бюджет округа (района)'!Z112</f>
        <v>0</v>
      </c>
      <c r="AY112" s="134">
        <f>'бюджет округа (района)'!AA112+'бюджеты поселений'!AA112</f>
        <v>0</v>
      </c>
      <c r="AZ112" s="137">
        <f>'бюджет округа (района)'!AA112</f>
        <v>0</v>
      </c>
      <c r="BA112" s="135">
        <f t="shared" si="581"/>
        <v>1</v>
      </c>
      <c r="BB112" s="135">
        <f t="shared" si="581"/>
        <v>1</v>
      </c>
      <c r="BC112" s="134">
        <f>'бюджет округа (района)'!AC112+'бюджеты поселений'!AC112</f>
        <v>0</v>
      </c>
      <c r="BD112" s="137">
        <f>'бюджет округа (района)'!AC112</f>
        <v>0</v>
      </c>
      <c r="BE112" s="134">
        <f>'бюджет округа (района)'!AD112+'бюджеты поселений'!AD112</f>
        <v>0</v>
      </c>
      <c r="BF112" s="137">
        <f>'бюджет округа (района)'!AD112</f>
        <v>0</v>
      </c>
      <c r="BG112" s="137">
        <f t="shared" si="602"/>
        <v>0</v>
      </c>
      <c r="BH112" s="137">
        <f t="shared" si="602"/>
        <v>0</v>
      </c>
      <c r="BI112" s="135">
        <f t="shared" si="546"/>
        <v>1</v>
      </c>
      <c r="BJ112" s="135">
        <f t="shared" si="546"/>
        <v>1</v>
      </c>
      <c r="BK112" s="134">
        <f>'бюджет округа (района)'!AG112+'бюджеты поселений'!AG112</f>
        <v>0</v>
      </c>
      <c r="BL112" s="137">
        <f>'бюджет округа (района)'!AG112</f>
        <v>0</v>
      </c>
      <c r="BM112" s="137">
        <f t="shared" si="571"/>
        <v>0</v>
      </c>
      <c r="BN112" s="137">
        <f t="shared" si="571"/>
        <v>0</v>
      </c>
      <c r="BO112" s="135">
        <f t="shared" si="547"/>
        <v>1</v>
      </c>
      <c r="BP112" s="135">
        <f t="shared" si="547"/>
        <v>1</v>
      </c>
      <c r="BQ112" s="134">
        <f>'бюджет округа (района)'!AJ112+'бюджеты поселений'!AJ112</f>
        <v>0</v>
      </c>
      <c r="BR112" s="137">
        <f>'бюджет округа (района)'!AJ112</f>
        <v>0</v>
      </c>
      <c r="BS112" s="137">
        <f t="shared" si="572"/>
        <v>0</v>
      </c>
      <c r="BT112" s="137">
        <f t="shared" si="572"/>
        <v>0</v>
      </c>
      <c r="BU112" s="135">
        <f t="shared" si="548"/>
        <v>1</v>
      </c>
      <c r="BV112" s="135">
        <f t="shared" si="548"/>
        <v>1</v>
      </c>
      <c r="BW112" s="134">
        <f>'бюджет округа (района)'!AM112+'бюджеты поселений'!AM112</f>
        <v>0</v>
      </c>
      <c r="BX112" s="137">
        <f>'бюджет округа (района)'!AM112</f>
        <v>0</v>
      </c>
      <c r="BY112" s="137">
        <f t="shared" si="573"/>
        <v>0</v>
      </c>
      <c r="BZ112" s="137">
        <f t="shared" si="573"/>
        <v>0</v>
      </c>
      <c r="CA112" s="135">
        <f t="shared" si="549"/>
        <v>1</v>
      </c>
      <c r="CB112" s="135">
        <f t="shared" si="549"/>
        <v>1</v>
      </c>
      <c r="CC112" s="134">
        <f>'бюджет округа (района)'!AP112+'бюджеты поселений'!AP112</f>
        <v>0</v>
      </c>
      <c r="CD112" s="137">
        <f>'бюджет округа (района)'!AP112</f>
        <v>0</v>
      </c>
      <c r="CE112" s="137">
        <f t="shared" si="574"/>
        <v>0</v>
      </c>
      <c r="CF112" s="137">
        <f t="shared" si="574"/>
        <v>0</v>
      </c>
      <c r="CG112" s="135">
        <f t="shared" si="550"/>
        <v>1</v>
      </c>
      <c r="CH112" s="135">
        <f t="shared" si="550"/>
        <v>1</v>
      </c>
      <c r="CI112" s="134">
        <f>'бюджет округа (района)'!AS112+'бюджеты поселений'!AS112</f>
        <v>0</v>
      </c>
      <c r="CJ112" s="137">
        <f>'бюджет округа (района)'!AS112</f>
        <v>0</v>
      </c>
      <c r="CK112" s="137">
        <f t="shared" si="575"/>
        <v>0</v>
      </c>
      <c r="CL112" s="137">
        <f t="shared" si="575"/>
        <v>0</v>
      </c>
      <c r="CM112" s="135">
        <f t="shared" si="551"/>
        <v>1</v>
      </c>
      <c r="CN112" s="135">
        <f t="shared" si="551"/>
        <v>1</v>
      </c>
      <c r="CO112" s="134">
        <f>'бюджет округа (района)'!AV112+'бюджеты поселений'!AV112</f>
        <v>0</v>
      </c>
      <c r="CP112" s="137">
        <f>'бюджет округа (района)'!AV112</f>
        <v>0</v>
      </c>
      <c r="CQ112" s="137">
        <f t="shared" si="576"/>
        <v>0</v>
      </c>
      <c r="CR112" s="137">
        <f t="shared" si="576"/>
        <v>0</v>
      </c>
      <c r="CS112" s="135">
        <f t="shared" si="552"/>
        <v>1</v>
      </c>
      <c r="CT112" s="135">
        <f t="shared" si="552"/>
        <v>1</v>
      </c>
      <c r="CU112" s="134">
        <f>'бюджет округа (района)'!AY112+'бюджеты поселений'!AY112</f>
        <v>0</v>
      </c>
      <c r="CV112" s="137">
        <f>'бюджет округа (района)'!AY112</f>
        <v>0</v>
      </c>
      <c r="CW112" s="137">
        <f t="shared" si="577"/>
        <v>0</v>
      </c>
      <c r="CX112" s="137">
        <f t="shared" si="577"/>
        <v>0</v>
      </c>
      <c r="CY112" s="135">
        <f t="shared" si="553"/>
        <v>1</v>
      </c>
      <c r="CZ112" s="135">
        <f t="shared" si="553"/>
        <v>1</v>
      </c>
      <c r="DA112" s="134">
        <f>'бюджет округа (района)'!BB112+'бюджеты поселений'!BB112</f>
        <v>0</v>
      </c>
      <c r="DB112" s="137">
        <f>'бюджет округа (района)'!BB112</f>
        <v>0</v>
      </c>
      <c r="DC112" s="137">
        <f t="shared" si="578"/>
        <v>0</v>
      </c>
      <c r="DD112" s="137">
        <f t="shared" si="578"/>
        <v>0</v>
      </c>
      <c r="DE112" s="135">
        <f t="shared" si="554"/>
        <v>1</v>
      </c>
      <c r="DF112" s="135">
        <f t="shared" si="554"/>
        <v>1</v>
      </c>
      <c r="DG112" s="134">
        <f>'бюджет округа (района)'!BE112+'бюджеты поселений'!BE112</f>
        <v>0</v>
      </c>
      <c r="DH112" s="137">
        <f>'бюджет округа (района)'!BE112</f>
        <v>0</v>
      </c>
      <c r="DI112" s="137">
        <f t="shared" si="579"/>
        <v>0</v>
      </c>
      <c r="DJ112" s="137">
        <f t="shared" si="579"/>
        <v>0</v>
      </c>
      <c r="DK112" s="135">
        <f t="shared" si="555"/>
        <v>1</v>
      </c>
      <c r="DL112" s="135">
        <f t="shared" si="555"/>
        <v>1</v>
      </c>
      <c r="DM112" s="134">
        <f>'бюджет округа (района)'!BH112+'бюджеты поселений'!BH112</f>
        <v>0</v>
      </c>
      <c r="DN112" s="137">
        <f>'бюджет округа (района)'!BH112</f>
        <v>0</v>
      </c>
      <c r="DO112" s="134">
        <f>'бюджет округа (района)'!BI112+'бюджеты поселений'!BI112</f>
        <v>0</v>
      </c>
      <c r="DP112" s="137">
        <f>'бюджет округа (района)'!BI112</f>
        <v>0</v>
      </c>
      <c r="DQ112" s="134">
        <f>'бюджет округа (района)'!BJ112+'бюджеты поселений'!BJ112</f>
        <v>0</v>
      </c>
      <c r="DR112" s="137">
        <f>'бюджет округа (района)'!BJ112</f>
        <v>0</v>
      </c>
      <c r="DS112" s="135">
        <f t="shared" si="591"/>
        <v>1</v>
      </c>
      <c r="DT112" s="135">
        <f t="shared" si="592"/>
        <v>1</v>
      </c>
      <c r="DU112" s="135">
        <f t="shared" si="557"/>
        <v>1</v>
      </c>
      <c r="DV112" s="135">
        <f t="shared" si="558"/>
        <v>1</v>
      </c>
      <c r="DW112" s="167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  <c r="GY112" s="105"/>
      <c r="GZ112" s="105"/>
      <c r="HA112" s="105"/>
      <c r="HB112" s="105"/>
      <c r="HC112" s="105"/>
      <c r="HD112" s="105"/>
      <c r="HE112" s="105"/>
      <c r="HF112" s="105"/>
      <c r="HG112" s="105"/>
      <c r="HH112" s="105"/>
      <c r="HI112" s="105"/>
      <c r="HJ112" s="105"/>
      <c r="HK112" s="105"/>
      <c r="HL112" s="105"/>
      <c r="HM112" s="105"/>
      <c r="HN112" s="105"/>
      <c r="HO112" s="105"/>
      <c r="HP112" s="105"/>
      <c r="HQ112" s="105"/>
      <c r="HR112" s="105"/>
      <c r="HS112" s="105"/>
      <c r="HT112" s="105"/>
      <c r="HU112" s="105"/>
      <c r="HV112" s="105"/>
      <c r="HW112" s="105"/>
      <c r="HX112" s="105"/>
      <c r="HY112" s="105"/>
      <c r="HZ112" s="105"/>
      <c r="IA112" s="105"/>
      <c r="IB112" s="105"/>
      <c r="IC112" s="105"/>
      <c r="ID112" s="105"/>
      <c r="IE112" s="105"/>
      <c r="IF112" s="105"/>
      <c r="IG112" s="105"/>
      <c r="IH112" s="105"/>
      <c r="II112" s="105"/>
      <c r="IJ112" s="105"/>
      <c r="IK112" s="105"/>
      <c r="IL112" s="105"/>
      <c r="IM112" s="105"/>
      <c r="IN112" s="105"/>
      <c r="IO112" s="105"/>
      <c r="IP112" s="105"/>
      <c r="IQ112" s="105"/>
      <c r="IR112" s="105"/>
      <c r="IS112" s="105"/>
      <c r="IT112" s="105"/>
      <c r="IU112" s="105"/>
      <c r="IV112" s="105"/>
      <c r="IW112" s="105"/>
      <c r="IX112" s="105"/>
      <c r="IY112" s="105"/>
      <c r="IZ112" s="105"/>
      <c r="JA112" s="105"/>
      <c r="JB112" s="105"/>
      <c r="JC112" s="105"/>
      <c r="JD112" s="105"/>
      <c r="JE112" s="105"/>
      <c r="JF112" s="105"/>
      <c r="JG112" s="105"/>
      <c r="JH112" s="105"/>
    </row>
    <row r="113" spans="1:268" s="160" customFormat="1" ht="44.25" customHeight="1">
      <c r="A113" s="294"/>
      <c r="B113" s="295"/>
      <c r="C113" s="289" t="str">
        <f>DQ113</f>
        <v>на 1 января  очередного финансового года</v>
      </c>
      <c r="D113" s="289"/>
      <c r="E113" s="289" t="str">
        <f>C113</f>
        <v>на 1 января  очередного финансового года</v>
      </c>
      <c r="F113" s="289"/>
      <c r="G113" s="288" t="s">
        <v>69</v>
      </c>
      <c r="H113" s="288"/>
      <c r="I113" s="288" t="s">
        <v>70</v>
      </c>
      <c r="J113" s="288"/>
      <c r="K113" s="285" t="s">
        <v>151</v>
      </c>
      <c r="L113" s="285"/>
      <c r="M113" s="288" t="s">
        <v>14</v>
      </c>
      <c r="N113" s="288"/>
      <c r="O113" s="285" t="s">
        <v>151</v>
      </c>
      <c r="P113" s="285"/>
      <c r="Q113" s="288" t="s">
        <v>137</v>
      </c>
      <c r="R113" s="288"/>
      <c r="S113" s="285" t="s">
        <v>151</v>
      </c>
      <c r="T113" s="285"/>
      <c r="U113" s="288" t="s">
        <v>138</v>
      </c>
      <c r="V113" s="288"/>
      <c r="W113" s="285" t="s">
        <v>151</v>
      </c>
      <c r="X113" s="285"/>
      <c r="Y113" s="288" t="s">
        <v>83</v>
      </c>
      <c r="Z113" s="288"/>
      <c r="AA113" s="285" t="s">
        <v>151</v>
      </c>
      <c r="AB113" s="285"/>
      <c r="AC113" s="288" t="s">
        <v>84</v>
      </c>
      <c r="AD113" s="288"/>
      <c r="AE113" s="285" t="s">
        <v>151</v>
      </c>
      <c r="AF113" s="285"/>
      <c r="AG113" s="288" t="s">
        <v>85</v>
      </c>
      <c r="AH113" s="288"/>
      <c r="AI113" s="285" t="s">
        <v>151</v>
      </c>
      <c r="AJ113" s="285"/>
      <c r="AK113" s="288" t="s">
        <v>86</v>
      </c>
      <c r="AL113" s="288"/>
      <c r="AM113" s="285" t="s">
        <v>151</v>
      </c>
      <c r="AN113" s="285"/>
      <c r="AO113" s="288" t="s">
        <v>87</v>
      </c>
      <c r="AP113" s="288"/>
      <c r="AQ113" s="285" t="s">
        <v>151</v>
      </c>
      <c r="AR113" s="285"/>
      <c r="AS113" s="288" t="s">
        <v>88</v>
      </c>
      <c r="AT113" s="288"/>
      <c r="AU113" s="285" t="s">
        <v>151</v>
      </c>
      <c r="AV113" s="285"/>
      <c r="AW113" s="289" t="str">
        <f>E113</f>
        <v>на 1 января  очередного финансового года</v>
      </c>
      <c r="AX113" s="289"/>
      <c r="AY113" s="289" t="s">
        <v>71</v>
      </c>
      <c r="AZ113" s="289"/>
      <c r="BA113" s="285" t="str">
        <f>BA6</f>
        <v>Темп роста (снижения) к исполнено за отчетный год, %</v>
      </c>
      <c r="BB113" s="285"/>
      <c r="BC113" s="288" t="s">
        <v>69</v>
      </c>
      <c r="BD113" s="288"/>
      <c r="BE113" s="288" t="s">
        <v>70</v>
      </c>
      <c r="BF113" s="288"/>
      <c r="BG113" s="285" t="s">
        <v>152</v>
      </c>
      <c r="BH113" s="285"/>
      <c r="BI113" s="285" t="str">
        <f>BI7</f>
        <v>Темп роста (снижения) к исполнено за отчетный год, %</v>
      </c>
      <c r="BJ113" s="285"/>
      <c r="BK113" s="288" t="s">
        <v>14</v>
      </c>
      <c r="BL113" s="288"/>
      <c r="BM113" s="285" t="s">
        <v>152</v>
      </c>
      <c r="BN113" s="285"/>
      <c r="BO113" s="285" t="str">
        <f>BO7</f>
        <v>Темп роста (снижения) к исполнено за отчетный год, %</v>
      </c>
      <c r="BP113" s="285"/>
      <c r="BQ113" s="288" t="s">
        <v>81</v>
      </c>
      <c r="BR113" s="288"/>
      <c r="BS113" s="285" t="s">
        <v>152</v>
      </c>
      <c r="BT113" s="285"/>
      <c r="BU113" s="285" t="str">
        <f>BU7</f>
        <v>Темп роста (снижения) к исполнено за отчетный год, %</v>
      </c>
      <c r="BV113" s="285"/>
      <c r="BW113" s="288" t="s">
        <v>82</v>
      </c>
      <c r="BX113" s="288"/>
      <c r="BY113" s="285" t="s">
        <v>152</v>
      </c>
      <c r="BZ113" s="285"/>
      <c r="CA113" s="285" t="str">
        <f>CA7</f>
        <v>Темп роста (снижения) к исполнено за отчетный год, %</v>
      </c>
      <c r="CB113" s="285"/>
      <c r="CC113" s="288" t="s">
        <v>83</v>
      </c>
      <c r="CD113" s="288"/>
      <c r="CE113" s="285" t="s">
        <v>152</v>
      </c>
      <c r="CF113" s="285"/>
      <c r="CG113" s="285" t="str">
        <f>CG7</f>
        <v>Темп роста (снижения) к исполнено за отчетный год, %</v>
      </c>
      <c r="CH113" s="285"/>
      <c r="CI113" s="288" t="s">
        <v>84</v>
      </c>
      <c r="CJ113" s="288"/>
      <c r="CK113" s="285" t="s">
        <v>152</v>
      </c>
      <c r="CL113" s="285"/>
      <c r="CM113" s="285" t="str">
        <f>CM7</f>
        <v>Темп роста (снижения) к исполнено за отчетный год, %</v>
      </c>
      <c r="CN113" s="285"/>
      <c r="CO113" s="288" t="s">
        <v>85</v>
      </c>
      <c r="CP113" s="288"/>
      <c r="CQ113" s="285" t="s">
        <v>152</v>
      </c>
      <c r="CR113" s="285"/>
      <c r="CS113" s="285" t="str">
        <f>CS7</f>
        <v>Темп роста (снижения) к исполнено за отчетный год, %</v>
      </c>
      <c r="CT113" s="285"/>
      <c r="CU113" s="288" t="s">
        <v>86</v>
      </c>
      <c r="CV113" s="288"/>
      <c r="CW113" s="285" t="s">
        <v>152</v>
      </c>
      <c r="CX113" s="285"/>
      <c r="CY113" s="285" t="str">
        <f>CY7</f>
        <v>Темп роста (снижения) к исполнено за отчетный год, %</v>
      </c>
      <c r="CZ113" s="285"/>
      <c r="DA113" s="288" t="s">
        <v>87</v>
      </c>
      <c r="DB113" s="288"/>
      <c r="DC113" s="285" t="s">
        <v>152</v>
      </c>
      <c r="DD113" s="285"/>
      <c r="DE113" s="285" t="str">
        <f>DE7</f>
        <v>Темп роста (снижения) к исполнено за отчетный год, %</v>
      </c>
      <c r="DF113" s="285"/>
      <c r="DG113" s="288" t="s">
        <v>88</v>
      </c>
      <c r="DH113" s="288"/>
      <c r="DI113" s="285" t="s">
        <v>152</v>
      </c>
      <c r="DJ113" s="285"/>
      <c r="DK113" s="285" t="str">
        <f>DK7</f>
        <v>Темп роста (снижения) к исполнено за отчетный год, %</v>
      </c>
      <c r="DL113" s="285"/>
      <c r="DM113" s="285" t="str">
        <f>AY113</f>
        <v>на 1 января  очередного финансового года</v>
      </c>
      <c r="DN113" s="285"/>
      <c r="DO113" s="285" t="str">
        <f>DO7</f>
        <v>Ожидаемая оценка на __________</v>
      </c>
      <c r="DP113" s="285"/>
      <c r="DQ113" s="285" t="s">
        <v>71</v>
      </c>
      <c r="DR113" s="285"/>
      <c r="DS113" s="285" t="str">
        <f>DS6</f>
        <v>Темп роста (снижения) к утверждено на текущий год, %</v>
      </c>
      <c r="DT113" s="285"/>
      <c r="DU113" s="285" t="str">
        <f>DU6</f>
        <v>Темп роста (снижения) к исполнено за отчетный год, %</v>
      </c>
      <c r="DV113" s="285"/>
      <c r="DW113" s="123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</row>
    <row r="114" spans="1:268" s="18" customFormat="1" ht="16.5">
      <c r="A114" s="286" t="s">
        <v>153</v>
      </c>
      <c r="B114" s="287"/>
      <c r="C114" s="17">
        <f>'бюджет округа (района)'!C114+'бюджеты поселений'!C114</f>
        <v>0</v>
      </c>
      <c r="D114" s="17">
        <f>'бюджет округа (района)'!C114</f>
        <v>0</v>
      </c>
      <c r="E114" s="17"/>
      <c r="F114" s="17"/>
      <c r="G114" s="17">
        <f>'бюджет округа (района)'!E114+'бюджеты поселений'!E114</f>
        <v>0</v>
      </c>
      <c r="H114" s="17">
        <f>'бюджет округа (района)'!E114</f>
        <v>0</v>
      </c>
      <c r="I114" s="17">
        <f>'бюджет округа (района)'!F114+'бюджеты поселений'!F114</f>
        <v>0</v>
      </c>
      <c r="J114" s="17">
        <f>'бюджет округа (района)'!F114</f>
        <v>0</v>
      </c>
      <c r="K114" s="17">
        <f>I114-$C114</f>
        <v>0</v>
      </c>
      <c r="L114" s="17">
        <f>J114-$D114</f>
        <v>0</v>
      </c>
      <c r="M114" s="17">
        <f>'бюджет округа (района)'!H114+'бюджеты поселений'!H114</f>
        <v>0</v>
      </c>
      <c r="N114" s="17">
        <f>'бюджет округа (района)'!H114</f>
        <v>0</v>
      </c>
      <c r="O114" s="17">
        <f>M114-$C114</f>
        <v>0</v>
      </c>
      <c r="P114" s="17">
        <f>N114-$D114</f>
        <v>0</v>
      </c>
      <c r="Q114" s="17">
        <f>'бюджет округа (района)'!J114+'бюджеты поселений'!J114</f>
        <v>0</v>
      </c>
      <c r="R114" s="17">
        <f>'бюджет округа (района)'!J114</f>
        <v>0</v>
      </c>
      <c r="S114" s="17">
        <f>Q114-$C114</f>
        <v>0</v>
      </c>
      <c r="T114" s="17">
        <f>R114-$D114</f>
        <v>0</v>
      </c>
      <c r="U114" s="17">
        <f>'бюджет округа (района)'!L114+'бюджеты поселений'!L114</f>
        <v>0</v>
      </c>
      <c r="V114" s="17">
        <f>'бюджет округа (района)'!L114</f>
        <v>0</v>
      </c>
      <c r="W114" s="17">
        <f>U114-$C114</f>
        <v>0</v>
      </c>
      <c r="X114" s="17">
        <f>V114-$D114</f>
        <v>0</v>
      </c>
      <c r="Y114" s="17">
        <f>'бюджет округа (района)'!N114+'бюджеты поселений'!N114</f>
        <v>0</v>
      </c>
      <c r="Z114" s="17">
        <f>'бюджет округа (района)'!N114</f>
        <v>0</v>
      </c>
      <c r="AA114" s="17">
        <f>Y114-$C114</f>
        <v>0</v>
      </c>
      <c r="AB114" s="17">
        <f>Z114-$D114</f>
        <v>0</v>
      </c>
      <c r="AC114" s="17">
        <f>'бюджет округа (района)'!P114+'бюджеты поселений'!P114</f>
        <v>0</v>
      </c>
      <c r="AD114" s="17">
        <f>'бюджет округа (района)'!P114</f>
        <v>0</v>
      </c>
      <c r="AE114" s="17">
        <f>AC114-$C114</f>
        <v>0</v>
      </c>
      <c r="AF114" s="17">
        <f>AD114-$D114</f>
        <v>0</v>
      </c>
      <c r="AG114" s="17">
        <f>'бюджет округа (района)'!R114+'бюджеты поселений'!R114</f>
        <v>0</v>
      </c>
      <c r="AH114" s="17">
        <f>'бюджет округа (района)'!R114</f>
        <v>0</v>
      </c>
      <c r="AI114" s="17">
        <f>AG114-$C114</f>
        <v>0</v>
      </c>
      <c r="AJ114" s="17">
        <f>AH114-$D114</f>
        <v>0</v>
      </c>
      <c r="AK114" s="17">
        <f>'бюджет округа (района)'!T114+'бюджеты поселений'!T114</f>
        <v>0</v>
      </c>
      <c r="AL114" s="17">
        <f>'бюджет округа (района)'!T114</f>
        <v>0</v>
      </c>
      <c r="AM114" s="17">
        <f>AK114-$C114</f>
        <v>0</v>
      </c>
      <c r="AN114" s="17">
        <f>AL114-$D114</f>
        <v>0</v>
      </c>
      <c r="AO114" s="17">
        <f>'бюджет округа (района)'!V114+'бюджеты поселений'!V114</f>
        <v>0</v>
      </c>
      <c r="AP114" s="17">
        <f>'бюджет округа (района)'!V114</f>
        <v>0</v>
      </c>
      <c r="AQ114" s="17">
        <f>AO114-$C114</f>
        <v>0</v>
      </c>
      <c r="AR114" s="17">
        <f>AP114-$D114</f>
        <v>0</v>
      </c>
      <c r="AS114" s="17">
        <f>'бюджет округа (района)'!X114+'бюджеты поселений'!X114</f>
        <v>0</v>
      </c>
      <c r="AT114" s="17">
        <f>'бюджет округа (района)'!X114</f>
        <v>0</v>
      </c>
      <c r="AU114" s="17">
        <f>AS114-$C114</f>
        <v>0</v>
      </c>
      <c r="AV114" s="17">
        <f>AT114-$D114</f>
        <v>0</v>
      </c>
      <c r="AW114" s="17">
        <f>'бюджет округа (района)'!Z114+'бюджеты поселений'!Z114</f>
        <v>0</v>
      </c>
      <c r="AX114" s="17">
        <f>'бюджет округа (района)'!Z114</f>
        <v>0</v>
      </c>
      <c r="AY114" s="17">
        <f>'бюджет округа (района)'!AA114+'бюджеты поселений'!AA114</f>
        <v>0</v>
      </c>
      <c r="AZ114" s="17">
        <f>'бюджет округа (района)'!AA114</f>
        <v>0</v>
      </c>
      <c r="BA114" s="131">
        <f t="shared" ref="BA114:BB114" si="603">IF(E114=0,1,AY114/E114-1)</f>
        <v>1</v>
      </c>
      <c r="BB114" s="131">
        <f t="shared" si="603"/>
        <v>1</v>
      </c>
      <c r="BC114" s="17">
        <f>'бюджет округа (района)'!AC114+'бюджеты поселений'!AC114</f>
        <v>0</v>
      </c>
      <c r="BD114" s="17">
        <f>'бюджет округа (района)'!AC114</f>
        <v>0</v>
      </c>
      <c r="BE114" s="17">
        <f>'бюджет округа (района)'!AD114+'бюджеты поселений'!AD114</f>
        <v>0</v>
      </c>
      <c r="BF114" s="17">
        <f>'бюджет округа (района)'!AD114</f>
        <v>0</v>
      </c>
      <c r="BG114" s="17">
        <f>BE114-$E114</f>
        <v>0</v>
      </c>
      <c r="BH114" s="17">
        <f>BF114-$F114</f>
        <v>0</v>
      </c>
      <c r="BI114" s="131">
        <f t="shared" ref="BI114:BJ114" si="604">IF(K114=0,1,BG114/K114-1)</f>
        <v>1</v>
      </c>
      <c r="BJ114" s="131">
        <f t="shared" si="604"/>
        <v>1</v>
      </c>
      <c r="BK114" s="17">
        <f>'бюджет округа (района)'!AG114+'бюджеты поселений'!AG114</f>
        <v>0</v>
      </c>
      <c r="BL114" s="17">
        <f>'бюджет округа (района)'!AG114</f>
        <v>0</v>
      </c>
      <c r="BM114" s="17">
        <f>BK114-$E114</f>
        <v>0</v>
      </c>
      <c r="BN114" s="17">
        <f>BL114-$F114</f>
        <v>0</v>
      </c>
      <c r="BO114" s="131">
        <f t="shared" ref="BO114:BP114" si="605">IF(O114=0,1,BM114/O114-1)</f>
        <v>1</v>
      </c>
      <c r="BP114" s="131">
        <f t="shared" si="605"/>
        <v>1</v>
      </c>
      <c r="BQ114" s="17">
        <f>'бюджет округа (района)'!AJ114+'бюджеты поселений'!AJ114</f>
        <v>0</v>
      </c>
      <c r="BR114" s="17">
        <f>'бюджет округа (района)'!AJ114</f>
        <v>0</v>
      </c>
      <c r="BS114" s="17">
        <f>BQ114-$E114</f>
        <v>0</v>
      </c>
      <c r="BT114" s="17">
        <f>BR114-$F114</f>
        <v>0</v>
      </c>
      <c r="BU114" s="131">
        <f t="shared" ref="BU114:BV114" si="606">IF(S114=0,1,BS114/S114-1)</f>
        <v>1</v>
      </c>
      <c r="BV114" s="131">
        <f t="shared" si="606"/>
        <v>1</v>
      </c>
      <c r="BW114" s="17">
        <f>'бюджет округа (района)'!AM114+'бюджеты поселений'!AM114</f>
        <v>0</v>
      </c>
      <c r="BX114" s="17">
        <f>'бюджет округа (района)'!AM114</f>
        <v>0</v>
      </c>
      <c r="BY114" s="17">
        <f>BW114-$E114</f>
        <v>0</v>
      </c>
      <c r="BZ114" s="17">
        <f>BX114-$F114</f>
        <v>0</v>
      </c>
      <c r="CA114" s="131">
        <f t="shared" ref="CA114:CB114" si="607">IF(W114=0,1,BY114/W114-1)</f>
        <v>1</v>
      </c>
      <c r="CB114" s="131">
        <f t="shared" si="607"/>
        <v>1</v>
      </c>
      <c r="CC114" s="17">
        <f>'бюджет округа (района)'!AP114+'бюджеты поселений'!AP114</f>
        <v>0</v>
      </c>
      <c r="CD114" s="17">
        <f>'бюджет округа (района)'!AP114</f>
        <v>0</v>
      </c>
      <c r="CE114" s="17">
        <f>CC114-$E114</f>
        <v>0</v>
      </c>
      <c r="CF114" s="17">
        <f>CD114-$F114</f>
        <v>0</v>
      </c>
      <c r="CG114" s="131">
        <f t="shared" ref="CG114:CH114" si="608">IF(AA114=0,1,CE114/AA114-1)</f>
        <v>1</v>
      </c>
      <c r="CH114" s="131">
        <f t="shared" si="608"/>
        <v>1</v>
      </c>
      <c r="CI114" s="17">
        <f>'бюджет округа (района)'!AS114+'бюджеты поселений'!AS114</f>
        <v>0</v>
      </c>
      <c r="CJ114" s="17">
        <f>'бюджет округа (района)'!AS114</f>
        <v>0</v>
      </c>
      <c r="CK114" s="17">
        <f>CI114-$E114</f>
        <v>0</v>
      </c>
      <c r="CL114" s="17">
        <f>CJ114-$F114</f>
        <v>0</v>
      </c>
      <c r="CM114" s="131">
        <f t="shared" ref="CM114:CN114" si="609">IF(AE114=0,1,CK114/AE114-1)</f>
        <v>1</v>
      </c>
      <c r="CN114" s="131">
        <f t="shared" si="609"/>
        <v>1</v>
      </c>
      <c r="CO114" s="17">
        <f>'бюджет округа (района)'!AV114+'бюджеты поселений'!AV114</f>
        <v>0</v>
      </c>
      <c r="CP114" s="17">
        <f>'бюджет округа (района)'!AV114</f>
        <v>0</v>
      </c>
      <c r="CQ114" s="17">
        <f>CO114-$E114</f>
        <v>0</v>
      </c>
      <c r="CR114" s="17">
        <f>CP114-$F114</f>
        <v>0</v>
      </c>
      <c r="CS114" s="131">
        <f t="shared" ref="CS114:CT114" si="610">IF(AI114=0,1,CQ114/AI114-1)</f>
        <v>1</v>
      </c>
      <c r="CT114" s="131">
        <f t="shared" si="610"/>
        <v>1</v>
      </c>
      <c r="CU114" s="17">
        <f>'бюджет округа (района)'!AY114+'бюджеты поселений'!AY114</f>
        <v>0</v>
      </c>
      <c r="CV114" s="17">
        <f>'бюджет округа (района)'!AY114</f>
        <v>0</v>
      </c>
      <c r="CW114" s="17">
        <f>CU114-$E114</f>
        <v>0</v>
      </c>
      <c r="CX114" s="17">
        <f>CV114-$F114</f>
        <v>0</v>
      </c>
      <c r="CY114" s="131">
        <f t="shared" ref="CY114:CZ114" si="611">IF(AM114=0,1,CW114/AM114-1)</f>
        <v>1</v>
      </c>
      <c r="CZ114" s="131">
        <f t="shared" si="611"/>
        <v>1</v>
      </c>
      <c r="DA114" s="17">
        <f>'бюджет округа (района)'!BB114+'бюджеты поселений'!BB114</f>
        <v>0</v>
      </c>
      <c r="DB114" s="17">
        <f>'бюджет округа (района)'!BB114</f>
        <v>0</v>
      </c>
      <c r="DC114" s="17">
        <f>DA114-$E114</f>
        <v>0</v>
      </c>
      <c r="DD114" s="17">
        <f>DB114-$F114</f>
        <v>0</v>
      </c>
      <c r="DE114" s="131">
        <f t="shared" ref="DE114:DF114" si="612">IF(AQ114=0,1,DC114/AQ114-1)</f>
        <v>1</v>
      </c>
      <c r="DF114" s="131">
        <f t="shared" si="612"/>
        <v>1</v>
      </c>
      <c r="DG114" s="17">
        <f>'бюджет округа (района)'!BE114+'бюджеты поселений'!BE114</f>
        <v>0</v>
      </c>
      <c r="DH114" s="17">
        <f>'бюджет округа (района)'!BE114</f>
        <v>0</v>
      </c>
      <c r="DI114" s="17">
        <f>DG114-$E114</f>
        <v>0</v>
      </c>
      <c r="DJ114" s="17">
        <f>DH114-$F114</f>
        <v>0</v>
      </c>
      <c r="DK114" s="131">
        <f t="shared" ref="DK114:DL114" si="613">IF(AU114=0,1,DI114/AU114-1)</f>
        <v>1</v>
      </c>
      <c r="DL114" s="131">
        <f t="shared" si="613"/>
        <v>1</v>
      </c>
      <c r="DM114" s="17">
        <f>'бюджет округа (района)'!BH114+'бюджеты поселений'!BH114</f>
        <v>0</v>
      </c>
      <c r="DN114" s="17">
        <f>'бюджет округа (района)'!BH114</f>
        <v>0</v>
      </c>
      <c r="DO114" s="17">
        <f>'бюджет округа (района)'!BI114+'бюджеты поселений'!BI114</f>
        <v>0</v>
      </c>
      <c r="DP114" s="17">
        <f>'бюджет округа (района)'!BI114</f>
        <v>0</v>
      </c>
      <c r="DQ114" s="17">
        <f>'бюджет округа (района)'!BJ114+'бюджеты поселений'!BJ114</f>
        <v>0</v>
      </c>
      <c r="DR114" s="17">
        <f>'бюджет округа (района)'!BJ114</f>
        <v>0</v>
      </c>
      <c r="DS114" s="131">
        <f>IF($AY$87=0,1,DQ114/$AY$87-1)</f>
        <v>1</v>
      </c>
      <c r="DT114" s="131">
        <f>IF($AZ$87=0,1,DR114/$AZ$87-1)</f>
        <v>1</v>
      </c>
      <c r="DU114" s="131">
        <f>IF($E114=0,1,DQ114/$E114-1)</f>
        <v>1</v>
      </c>
      <c r="DV114" s="131">
        <f>IF($F114=0,1,DR114/$F114-1)</f>
        <v>1</v>
      </c>
      <c r="DW114" s="170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  <c r="IW114" s="22"/>
      <c r="IX114" s="22"/>
      <c r="IY114" s="22"/>
      <c r="IZ114" s="22"/>
      <c r="JA114" s="22"/>
      <c r="JB114" s="22"/>
      <c r="JC114" s="22"/>
      <c r="JD114" s="22"/>
      <c r="JE114" s="22"/>
      <c r="JF114" s="22"/>
      <c r="JG114" s="22"/>
      <c r="JH114" s="22"/>
    </row>
    <row r="115" spans="1:268" s="64" customFormat="1" ht="16.5">
      <c r="A115" s="110" t="s">
        <v>154</v>
      </c>
      <c r="B115" s="111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135"/>
      <c r="BB115" s="135"/>
      <c r="BC115" s="29"/>
      <c r="BD115" s="29"/>
      <c r="BE115" s="29"/>
      <c r="BF115" s="29"/>
      <c r="BG115" s="29"/>
      <c r="BH115" s="29"/>
      <c r="BI115" s="135"/>
      <c r="BJ115" s="135"/>
      <c r="BK115" s="29"/>
      <c r="BL115" s="29"/>
      <c r="BM115" s="29"/>
      <c r="BN115" s="29"/>
      <c r="BO115" s="135"/>
      <c r="BP115" s="135"/>
      <c r="BQ115" s="29"/>
      <c r="BR115" s="29"/>
      <c r="BS115" s="29"/>
      <c r="BT115" s="29"/>
      <c r="BU115" s="135"/>
      <c r="BV115" s="135"/>
      <c r="BW115" s="29"/>
      <c r="BX115" s="29"/>
      <c r="BY115" s="29"/>
      <c r="BZ115" s="29"/>
      <c r="CA115" s="135"/>
      <c r="CB115" s="135"/>
      <c r="CC115" s="29"/>
      <c r="CD115" s="29"/>
      <c r="CE115" s="29"/>
      <c r="CF115" s="29"/>
      <c r="CG115" s="135"/>
      <c r="CH115" s="135"/>
      <c r="CI115" s="29"/>
      <c r="CJ115" s="29"/>
      <c r="CK115" s="29"/>
      <c r="CL115" s="29"/>
      <c r="CM115" s="135"/>
      <c r="CN115" s="135"/>
      <c r="CO115" s="29"/>
      <c r="CP115" s="29"/>
      <c r="CQ115" s="29"/>
      <c r="CR115" s="29"/>
      <c r="CS115" s="135"/>
      <c r="CT115" s="135"/>
      <c r="CU115" s="29"/>
      <c r="CV115" s="29"/>
      <c r="CW115" s="29"/>
      <c r="CX115" s="29"/>
      <c r="CY115" s="135"/>
      <c r="CZ115" s="135"/>
      <c r="DA115" s="29"/>
      <c r="DB115" s="29"/>
      <c r="DC115" s="29"/>
      <c r="DD115" s="29"/>
      <c r="DE115" s="135"/>
      <c r="DF115" s="135"/>
      <c r="DG115" s="29"/>
      <c r="DH115" s="29"/>
      <c r="DI115" s="29"/>
      <c r="DJ115" s="29"/>
      <c r="DK115" s="135"/>
      <c r="DL115" s="135"/>
      <c r="DM115" s="29"/>
      <c r="DN115" s="29"/>
      <c r="DO115" s="29"/>
      <c r="DP115" s="29"/>
      <c r="DQ115" s="29"/>
      <c r="DR115" s="29"/>
      <c r="DS115" s="135"/>
      <c r="DT115" s="135"/>
      <c r="DU115" s="135"/>
      <c r="DV115" s="135"/>
      <c r="DW115" s="176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  <c r="GY115" s="63"/>
      <c r="GZ115" s="63"/>
      <c r="HA115" s="63"/>
      <c r="HB115" s="63"/>
      <c r="HC115" s="63"/>
      <c r="HD115" s="63"/>
      <c r="HE115" s="63"/>
      <c r="HF115" s="63"/>
      <c r="HG115" s="63"/>
      <c r="HH115" s="63"/>
      <c r="HI115" s="63"/>
      <c r="HJ115" s="63"/>
      <c r="HK115" s="63"/>
      <c r="HL115" s="63"/>
      <c r="HM115" s="63"/>
      <c r="HN115" s="63"/>
      <c r="HO115" s="63"/>
      <c r="HP115" s="63"/>
      <c r="HQ115" s="63"/>
      <c r="HR115" s="63"/>
      <c r="HS115" s="63"/>
      <c r="HT115" s="63"/>
      <c r="HU115" s="63"/>
      <c r="HV115" s="63"/>
      <c r="HW115" s="63"/>
      <c r="HX115" s="63"/>
      <c r="HY115" s="63"/>
      <c r="HZ115" s="63"/>
      <c r="IA115" s="63"/>
      <c r="IB115" s="63"/>
      <c r="IC115" s="63"/>
      <c r="ID115" s="63"/>
      <c r="IE115" s="63"/>
      <c r="IF115" s="63"/>
      <c r="IG115" s="63"/>
      <c r="IH115" s="63"/>
      <c r="II115" s="63"/>
      <c r="IJ115" s="63"/>
      <c r="IK115" s="63"/>
      <c r="IL115" s="63"/>
      <c r="IM115" s="63"/>
      <c r="IN115" s="63"/>
      <c r="IO115" s="63"/>
      <c r="IP115" s="63"/>
      <c r="IQ115" s="63"/>
      <c r="IR115" s="63"/>
      <c r="IS115" s="63"/>
      <c r="IT115" s="63"/>
      <c r="IU115" s="63"/>
      <c r="IV115" s="63"/>
      <c r="IW115" s="63"/>
      <c r="IX115" s="63"/>
      <c r="IY115" s="63"/>
      <c r="IZ115" s="63"/>
      <c r="JA115" s="63"/>
      <c r="JB115" s="63"/>
      <c r="JC115" s="63"/>
      <c r="JD115" s="63"/>
      <c r="JE115" s="63"/>
      <c r="JF115" s="63"/>
      <c r="JG115" s="63"/>
      <c r="JH115" s="63"/>
    </row>
    <row r="116" spans="1:268" s="64" customFormat="1" ht="16.5">
      <c r="A116" s="110" t="s">
        <v>155</v>
      </c>
      <c r="B116" s="111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135"/>
      <c r="BB116" s="135"/>
      <c r="BC116" s="29"/>
      <c r="BD116" s="29"/>
      <c r="BE116" s="29"/>
      <c r="BF116" s="29"/>
      <c r="BG116" s="29"/>
      <c r="BH116" s="29"/>
      <c r="BI116" s="135"/>
      <c r="BJ116" s="135"/>
      <c r="BK116" s="29"/>
      <c r="BL116" s="29"/>
      <c r="BM116" s="29"/>
      <c r="BN116" s="29"/>
      <c r="BO116" s="135"/>
      <c r="BP116" s="135"/>
      <c r="BQ116" s="29"/>
      <c r="BR116" s="29"/>
      <c r="BS116" s="29"/>
      <c r="BT116" s="29"/>
      <c r="BU116" s="135"/>
      <c r="BV116" s="135"/>
      <c r="BW116" s="29"/>
      <c r="BX116" s="29"/>
      <c r="BY116" s="29"/>
      <c r="BZ116" s="29"/>
      <c r="CA116" s="135"/>
      <c r="CB116" s="135"/>
      <c r="CC116" s="29"/>
      <c r="CD116" s="29"/>
      <c r="CE116" s="29"/>
      <c r="CF116" s="29"/>
      <c r="CG116" s="135"/>
      <c r="CH116" s="135"/>
      <c r="CI116" s="29"/>
      <c r="CJ116" s="29"/>
      <c r="CK116" s="29"/>
      <c r="CL116" s="29"/>
      <c r="CM116" s="135"/>
      <c r="CN116" s="135"/>
      <c r="CO116" s="29"/>
      <c r="CP116" s="29"/>
      <c r="CQ116" s="29"/>
      <c r="CR116" s="29"/>
      <c r="CS116" s="135"/>
      <c r="CT116" s="135"/>
      <c r="CU116" s="29"/>
      <c r="CV116" s="29"/>
      <c r="CW116" s="29"/>
      <c r="CX116" s="29"/>
      <c r="CY116" s="135"/>
      <c r="CZ116" s="135"/>
      <c r="DA116" s="29"/>
      <c r="DB116" s="29"/>
      <c r="DC116" s="29"/>
      <c r="DD116" s="29"/>
      <c r="DE116" s="135"/>
      <c r="DF116" s="135"/>
      <c r="DG116" s="29"/>
      <c r="DH116" s="29"/>
      <c r="DI116" s="29"/>
      <c r="DJ116" s="29"/>
      <c r="DK116" s="135"/>
      <c r="DL116" s="135"/>
      <c r="DM116" s="29"/>
      <c r="DN116" s="29"/>
      <c r="DO116" s="29"/>
      <c r="DP116" s="29"/>
      <c r="DQ116" s="29"/>
      <c r="DR116" s="29"/>
      <c r="DS116" s="135"/>
      <c r="DT116" s="135"/>
      <c r="DU116" s="135"/>
      <c r="DV116" s="135"/>
      <c r="DW116" s="176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  <c r="GY116" s="63"/>
      <c r="GZ116" s="63"/>
      <c r="HA116" s="63"/>
      <c r="HB116" s="63"/>
      <c r="HC116" s="63"/>
      <c r="HD116" s="63"/>
      <c r="HE116" s="63"/>
      <c r="HF116" s="63"/>
      <c r="HG116" s="63"/>
      <c r="HH116" s="63"/>
      <c r="HI116" s="63"/>
      <c r="HJ116" s="63"/>
      <c r="HK116" s="63"/>
      <c r="HL116" s="63"/>
      <c r="HM116" s="63"/>
      <c r="HN116" s="63"/>
      <c r="HO116" s="63"/>
      <c r="HP116" s="63"/>
      <c r="HQ116" s="63"/>
      <c r="HR116" s="63"/>
      <c r="HS116" s="63"/>
      <c r="HT116" s="63"/>
      <c r="HU116" s="63"/>
      <c r="HV116" s="63"/>
      <c r="HW116" s="63"/>
      <c r="HX116" s="63"/>
      <c r="HY116" s="63"/>
      <c r="HZ116" s="63"/>
      <c r="IA116" s="63"/>
      <c r="IB116" s="63"/>
      <c r="IC116" s="63"/>
      <c r="ID116" s="63"/>
      <c r="IE116" s="63"/>
      <c r="IF116" s="63"/>
      <c r="IG116" s="63"/>
      <c r="IH116" s="63"/>
      <c r="II116" s="63"/>
      <c r="IJ116" s="63"/>
      <c r="IK116" s="63"/>
      <c r="IL116" s="63"/>
      <c r="IM116" s="63"/>
      <c r="IN116" s="63"/>
      <c r="IO116" s="63"/>
      <c r="IP116" s="63"/>
      <c r="IQ116" s="63"/>
      <c r="IR116" s="63"/>
      <c r="IS116" s="63"/>
      <c r="IT116" s="63"/>
      <c r="IU116" s="63"/>
      <c r="IV116" s="63"/>
      <c r="IW116" s="63"/>
      <c r="IX116" s="63"/>
      <c r="IY116" s="63"/>
      <c r="IZ116" s="63"/>
      <c r="JA116" s="63"/>
      <c r="JB116" s="63"/>
      <c r="JC116" s="63"/>
      <c r="JD116" s="63"/>
      <c r="JE116" s="63"/>
      <c r="JF116" s="63"/>
      <c r="JG116" s="63"/>
      <c r="JH116" s="63"/>
    </row>
    <row r="117" spans="1:268" s="64" customFormat="1" ht="16.5">
      <c r="A117" s="110" t="s">
        <v>156</v>
      </c>
      <c r="B117" s="111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135"/>
      <c r="BB117" s="135"/>
      <c r="BC117" s="29"/>
      <c r="BD117" s="29"/>
      <c r="BE117" s="29"/>
      <c r="BF117" s="29"/>
      <c r="BG117" s="29"/>
      <c r="BH117" s="29"/>
      <c r="BI117" s="135"/>
      <c r="BJ117" s="135"/>
      <c r="BK117" s="29"/>
      <c r="BL117" s="29"/>
      <c r="BM117" s="29"/>
      <c r="BN117" s="29"/>
      <c r="BO117" s="135"/>
      <c r="BP117" s="135"/>
      <c r="BQ117" s="29"/>
      <c r="BR117" s="29"/>
      <c r="BS117" s="29"/>
      <c r="BT117" s="29"/>
      <c r="BU117" s="135"/>
      <c r="BV117" s="135"/>
      <c r="BW117" s="29"/>
      <c r="BX117" s="29"/>
      <c r="BY117" s="29"/>
      <c r="BZ117" s="29"/>
      <c r="CA117" s="135"/>
      <c r="CB117" s="135"/>
      <c r="CC117" s="29"/>
      <c r="CD117" s="29"/>
      <c r="CE117" s="29"/>
      <c r="CF117" s="29"/>
      <c r="CG117" s="135"/>
      <c r="CH117" s="135"/>
      <c r="CI117" s="29"/>
      <c r="CJ117" s="29"/>
      <c r="CK117" s="29"/>
      <c r="CL117" s="29"/>
      <c r="CM117" s="135"/>
      <c r="CN117" s="135"/>
      <c r="CO117" s="29"/>
      <c r="CP117" s="29"/>
      <c r="CQ117" s="29"/>
      <c r="CR117" s="29"/>
      <c r="CS117" s="135"/>
      <c r="CT117" s="135"/>
      <c r="CU117" s="29"/>
      <c r="CV117" s="29"/>
      <c r="CW117" s="29"/>
      <c r="CX117" s="29"/>
      <c r="CY117" s="135"/>
      <c r="CZ117" s="135"/>
      <c r="DA117" s="29"/>
      <c r="DB117" s="29"/>
      <c r="DC117" s="29"/>
      <c r="DD117" s="29"/>
      <c r="DE117" s="135"/>
      <c r="DF117" s="135"/>
      <c r="DG117" s="29"/>
      <c r="DH117" s="29"/>
      <c r="DI117" s="29"/>
      <c r="DJ117" s="29"/>
      <c r="DK117" s="135"/>
      <c r="DL117" s="135"/>
      <c r="DM117" s="29"/>
      <c r="DN117" s="29"/>
      <c r="DO117" s="29"/>
      <c r="DP117" s="29"/>
      <c r="DQ117" s="29"/>
      <c r="DR117" s="29"/>
      <c r="DS117" s="135"/>
      <c r="DT117" s="135"/>
      <c r="DU117" s="135"/>
      <c r="DV117" s="135"/>
      <c r="DW117" s="176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  <c r="GY117" s="63"/>
      <c r="GZ117" s="63"/>
      <c r="HA117" s="63"/>
      <c r="HB117" s="63"/>
      <c r="HC117" s="63"/>
      <c r="HD117" s="63"/>
      <c r="HE117" s="63"/>
      <c r="HF117" s="63"/>
      <c r="HG117" s="63"/>
      <c r="HH117" s="63"/>
      <c r="HI117" s="63"/>
      <c r="HJ117" s="63"/>
      <c r="HK117" s="63"/>
      <c r="HL117" s="63"/>
      <c r="HM117" s="63"/>
      <c r="HN117" s="63"/>
      <c r="HO117" s="63"/>
      <c r="HP117" s="63"/>
      <c r="HQ117" s="63"/>
      <c r="HR117" s="63"/>
      <c r="HS117" s="63"/>
      <c r="HT117" s="63"/>
      <c r="HU117" s="63"/>
      <c r="HV117" s="63"/>
      <c r="HW117" s="63"/>
      <c r="HX117" s="63"/>
      <c r="HY117" s="63"/>
      <c r="HZ117" s="63"/>
      <c r="IA117" s="63"/>
      <c r="IB117" s="63"/>
      <c r="IC117" s="63"/>
      <c r="ID117" s="63"/>
      <c r="IE117" s="63"/>
      <c r="IF117" s="63"/>
      <c r="IG117" s="63"/>
      <c r="IH117" s="63"/>
      <c r="II117" s="63"/>
      <c r="IJ117" s="63"/>
      <c r="IK117" s="63"/>
      <c r="IL117" s="63"/>
      <c r="IM117" s="63"/>
      <c r="IN117" s="63"/>
      <c r="IO117" s="63"/>
      <c r="IP117" s="63"/>
      <c r="IQ117" s="63"/>
      <c r="IR117" s="63"/>
      <c r="IS117" s="63"/>
      <c r="IT117" s="63"/>
      <c r="IU117" s="63"/>
      <c r="IV117" s="63"/>
      <c r="IW117" s="63"/>
      <c r="IX117" s="63"/>
      <c r="IY117" s="63"/>
      <c r="IZ117" s="63"/>
      <c r="JA117" s="63"/>
      <c r="JB117" s="63"/>
      <c r="JC117" s="63"/>
      <c r="JD117" s="63"/>
      <c r="JE117" s="63"/>
      <c r="JF117" s="63"/>
      <c r="JG117" s="63"/>
      <c r="JH117" s="63"/>
    </row>
    <row r="118" spans="1:268" s="150" customFormat="1" ht="15.75" customHeight="1">
      <c r="A118" s="283" t="s">
        <v>73</v>
      </c>
      <c r="B118" s="284"/>
      <c r="C118" s="133" t="e">
        <f t="shared" ref="C118:J118" si="614">C114/(C10-C12)</f>
        <v>#DIV/0!</v>
      </c>
      <c r="D118" s="133" t="e">
        <f t="shared" si="614"/>
        <v>#DIV/0!</v>
      </c>
      <c r="E118" s="133" t="e">
        <f t="shared" si="614"/>
        <v>#DIV/0!</v>
      </c>
      <c r="F118" s="133" t="e">
        <f t="shared" si="614"/>
        <v>#DIV/0!</v>
      </c>
      <c r="G118" s="133" t="e">
        <f t="shared" si="614"/>
        <v>#DIV/0!</v>
      </c>
      <c r="H118" s="133" t="e">
        <f t="shared" si="614"/>
        <v>#DIV/0!</v>
      </c>
      <c r="I118" s="133" t="e">
        <f t="shared" si="614"/>
        <v>#DIV/0!</v>
      </c>
      <c r="J118" s="133" t="e">
        <f t="shared" si="614"/>
        <v>#DIV/0!</v>
      </c>
      <c r="K118" s="133" t="s">
        <v>51</v>
      </c>
      <c r="L118" s="133" t="s">
        <v>51</v>
      </c>
      <c r="M118" s="133" t="e">
        <f>M114/(M10-M12)</f>
        <v>#DIV/0!</v>
      </c>
      <c r="N118" s="133" t="e">
        <f>N114/(N10-N12)</f>
        <v>#DIV/0!</v>
      </c>
      <c r="O118" s="133" t="s">
        <v>51</v>
      </c>
      <c r="P118" s="133" t="s">
        <v>51</v>
      </c>
      <c r="Q118" s="133" t="e">
        <f>Q114/(Q10-Q12)</f>
        <v>#DIV/0!</v>
      </c>
      <c r="R118" s="133" t="e">
        <f>R114/(R10-R12)</f>
        <v>#DIV/0!</v>
      </c>
      <c r="S118" s="133" t="s">
        <v>51</v>
      </c>
      <c r="T118" s="133" t="s">
        <v>51</v>
      </c>
      <c r="U118" s="133" t="e">
        <f>U114/(U10-U12)</f>
        <v>#DIV/0!</v>
      </c>
      <c r="V118" s="133" t="e">
        <f>V114/(V10-V12)</f>
        <v>#DIV/0!</v>
      </c>
      <c r="W118" s="133" t="s">
        <v>51</v>
      </c>
      <c r="X118" s="133" t="s">
        <v>51</v>
      </c>
      <c r="Y118" s="133" t="e">
        <f>Y114/(Y10-Y12)</f>
        <v>#DIV/0!</v>
      </c>
      <c r="Z118" s="133" t="e">
        <f>Z114/(Z10-Z12)</f>
        <v>#DIV/0!</v>
      </c>
      <c r="AA118" s="133" t="s">
        <v>51</v>
      </c>
      <c r="AB118" s="133" t="s">
        <v>51</v>
      </c>
      <c r="AC118" s="133" t="e">
        <f>AC114/(AC10-AC12)</f>
        <v>#DIV/0!</v>
      </c>
      <c r="AD118" s="133" t="e">
        <f>AD114/(AD10-AD12)</f>
        <v>#DIV/0!</v>
      </c>
      <c r="AE118" s="133" t="s">
        <v>51</v>
      </c>
      <c r="AF118" s="133" t="s">
        <v>51</v>
      </c>
      <c r="AG118" s="133" t="e">
        <f>AG114/(AG10-AG12)</f>
        <v>#DIV/0!</v>
      </c>
      <c r="AH118" s="133" t="e">
        <f>AH114/(AH10-AH12)</f>
        <v>#DIV/0!</v>
      </c>
      <c r="AI118" s="133" t="s">
        <v>51</v>
      </c>
      <c r="AJ118" s="133" t="s">
        <v>51</v>
      </c>
      <c r="AK118" s="133" t="e">
        <f>AK114/(AK10-AK12)</f>
        <v>#DIV/0!</v>
      </c>
      <c r="AL118" s="133" t="e">
        <f>AL114/(AL10-AL12)</f>
        <v>#DIV/0!</v>
      </c>
      <c r="AM118" s="133" t="s">
        <v>51</v>
      </c>
      <c r="AN118" s="133" t="s">
        <v>51</v>
      </c>
      <c r="AO118" s="133" t="e">
        <f>AO114/(AO10-AO12)</f>
        <v>#DIV/0!</v>
      </c>
      <c r="AP118" s="133" t="e">
        <f>AP114/(AP10-AP12)</f>
        <v>#DIV/0!</v>
      </c>
      <c r="AQ118" s="133" t="s">
        <v>51</v>
      </c>
      <c r="AR118" s="133" t="s">
        <v>51</v>
      </c>
      <c r="AS118" s="133" t="e">
        <f>AS114/(AS10-AS12)</f>
        <v>#DIV/0!</v>
      </c>
      <c r="AT118" s="133" t="e">
        <f>AT114/(AT10-AT12)</f>
        <v>#DIV/0!</v>
      </c>
      <c r="AU118" s="133" t="s">
        <v>51</v>
      </c>
      <c r="AV118" s="133" t="s">
        <v>51</v>
      </c>
      <c r="AW118" s="133" t="e">
        <f>AW114/(AW10-AW12)</f>
        <v>#DIV/0!</v>
      </c>
      <c r="AX118" s="133" t="e">
        <f>AX114/(AX10-AX12)</f>
        <v>#DIV/0!</v>
      </c>
      <c r="AY118" s="133" t="e">
        <f>AY114/(AY10-AY12)</f>
        <v>#DIV/0!</v>
      </c>
      <c r="AZ118" s="133" t="e">
        <f>AZ114/(AZ10-AZ12)</f>
        <v>#DIV/0!</v>
      </c>
      <c r="BA118" s="133" t="s">
        <v>51</v>
      </c>
      <c r="BB118" s="133" t="s">
        <v>51</v>
      </c>
      <c r="BC118" s="133" t="e">
        <f>BC114/(BC10-BC12)</f>
        <v>#DIV/0!</v>
      </c>
      <c r="BD118" s="133" t="e">
        <f>BD114/(BD10-BD12)</f>
        <v>#DIV/0!</v>
      </c>
      <c r="BE118" s="133" t="e">
        <f>BE114/(BE10-BE12)</f>
        <v>#DIV/0!</v>
      </c>
      <c r="BF118" s="133" t="e">
        <f>BF114/(BF10-BF12)</f>
        <v>#DIV/0!</v>
      </c>
      <c r="BG118" s="133" t="e">
        <f>BE118</f>
        <v>#DIV/0!</v>
      </c>
      <c r="BH118" s="133" t="e">
        <f>BF118</f>
        <v>#DIV/0!</v>
      </c>
      <c r="BI118" s="133" t="s">
        <v>51</v>
      </c>
      <c r="BJ118" s="133" t="s">
        <v>51</v>
      </c>
      <c r="BK118" s="133" t="e">
        <f>BK114/(BK10-BK12)</f>
        <v>#DIV/0!</v>
      </c>
      <c r="BL118" s="133" t="e">
        <f>BL114/(BL10-BL12)</f>
        <v>#DIV/0!</v>
      </c>
      <c r="BM118" s="133" t="e">
        <f>BK118</f>
        <v>#DIV/0!</v>
      </c>
      <c r="BN118" s="133" t="e">
        <f>BL118</f>
        <v>#DIV/0!</v>
      </c>
      <c r="BO118" s="133" t="s">
        <v>51</v>
      </c>
      <c r="BP118" s="133" t="s">
        <v>51</v>
      </c>
      <c r="BQ118" s="133" t="e">
        <f>BQ114/(BQ10-BQ12)</f>
        <v>#DIV/0!</v>
      </c>
      <c r="BR118" s="133" t="e">
        <f>BR114/(BR10-BR12)</f>
        <v>#DIV/0!</v>
      </c>
      <c r="BS118" s="133" t="e">
        <f>BQ118</f>
        <v>#DIV/0!</v>
      </c>
      <c r="BT118" s="133" t="e">
        <f>BR118</f>
        <v>#DIV/0!</v>
      </c>
      <c r="BU118" s="133" t="s">
        <v>51</v>
      </c>
      <c r="BV118" s="133" t="s">
        <v>51</v>
      </c>
      <c r="BW118" s="133" t="e">
        <f>BW114/(BW10-BW12)</f>
        <v>#DIV/0!</v>
      </c>
      <c r="BX118" s="133" t="e">
        <f>BX114/(BX10-BX12)</f>
        <v>#DIV/0!</v>
      </c>
      <c r="BY118" s="133" t="e">
        <f>BW118</f>
        <v>#DIV/0!</v>
      </c>
      <c r="BZ118" s="133" t="e">
        <f>BX118</f>
        <v>#DIV/0!</v>
      </c>
      <c r="CA118" s="133" t="s">
        <v>51</v>
      </c>
      <c r="CB118" s="133" t="s">
        <v>51</v>
      </c>
      <c r="CC118" s="133" t="e">
        <f>CC114/(CC10-CC12)</f>
        <v>#DIV/0!</v>
      </c>
      <c r="CD118" s="133" t="e">
        <f>CD114/(CD10-CD12)</f>
        <v>#DIV/0!</v>
      </c>
      <c r="CE118" s="133" t="e">
        <f>CC118</f>
        <v>#DIV/0!</v>
      </c>
      <c r="CF118" s="133" t="e">
        <f>CD118</f>
        <v>#DIV/0!</v>
      </c>
      <c r="CG118" s="133" t="s">
        <v>51</v>
      </c>
      <c r="CH118" s="133" t="s">
        <v>51</v>
      </c>
      <c r="CI118" s="133" t="e">
        <f>CI114/(CI10-CI12)</f>
        <v>#DIV/0!</v>
      </c>
      <c r="CJ118" s="133" t="e">
        <f>CJ114/(CJ10-CJ12)</f>
        <v>#DIV/0!</v>
      </c>
      <c r="CK118" s="133" t="e">
        <f>CI118</f>
        <v>#DIV/0!</v>
      </c>
      <c r="CL118" s="133" t="e">
        <f>CJ118</f>
        <v>#DIV/0!</v>
      </c>
      <c r="CM118" s="133" t="s">
        <v>51</v>
      </c>
      <c r="CN118" s="133" t="s">
        <v>51</v>
      </c>
      <c r="CO118" s="133" t="e">
        <f>CO114/(CO10-CO12)</f>
        <v>#DIV/0!</v>
      </c>
      <c r="CP118" s="133" t="e">
        <f>CP114/(CP10-CP12)</f>
        <v>#DIV/0!</v>
      </c>
      <c r="CQ118" s="133" t="e">
        <f>CO118</f>
        <v>#DIV/0!</v>
      </c>
      <c r="CR118" s="133" t="e">
        <f>CP118</f>
        <v>#DIV/0!</v>
      </c>
      <c r="CS118" s="133" t="s">
        <v>51</v>
      </c>
      <c r="CT118" s="133" t="s">
        <v>51</v>
      </c>
      <c r="CU118" s="133" t="e">
        <f>CU114/(CU10-CU12)</f>
        <v>#DIV/0!</v>
      </c>
      <c r="CV118" s="133" t="e">
        <f>CV114/(CV10-CV12)</f>
        <v>#DIV/0!</v>
      </c>
      <c r="CW118" s="133" t="e">
        <f>CU118</f>
        <v>#DIV/0!</v>
      </c>
      <c r="CX118" s="133" t="e">
        <f>CV118</f>
        <v>#DIV/0!</v>
      </c>
      <c r="CY118" s="133" t="s">
        <v>51</v>
      </c>
      <c r="CZ118" s="133" t="s">
        <v>51</v>
      </c>
      <c r="DA118" s="133" t="e">
        <f>DA114/(DA10-DA12)</f>
        <v>#DIV/0!</v>
      </c>
      <c r="DB118" s="133" t="e">
        <f>DB114/(DB10-DB12)</f>
        <v>#DIV/0!</v>
      </c>
      <c r="DC118" s="133" t="e">
        <f>DA118</f>
        <v>#DIV/0!</v>
      </c>
      <c r="DD118" s="133" t="e">
        <f>DB118</f>
        <v>#DIV/0!</v>
      </c>
      <c r="DE118" s="133" t="s">
        <v>51</v>
      </c>
      <c r="DF118" s="133" t="s">
        <v>51</v>
      </c>
      <c r="DG118" s="133" t="e">
        <f>DG114/(DG10-DG12)</f>
        <v>#DIV/0!</v>
      </c>
      <c r="DH118" s="133" t="e">
        <f>DH114/(DH10-DH12)</f>
        <v>#DIV/0!</v>
      </c>
      <c r="DI118" s="133" t="e">
        <f>DG118</f>
        <v>#DIV/0!</v>
      </c>
      <c r="DJ118" s="133" t="e">
        <f>DH118</f>
        <v>#DIV/0!</v>
      </c>
      <c r="DK118" s="133" t="s">
        <v>51</v>
      </c>
      <c r="DL118" s="133" t="s">
        <v>51</v>
      </c>
      <c r="DM118" s="133" t="e">
        <f t="shared" ref="DM118:DR118" si="615">DM114/(DM10-DM12)</f>
        <v>#DIV/0!</v>
      </c>
      <c r="DN118" s="133" t="e">
        <f t="shared" si="615"/>
        <v>#DIV/0!</v>
      </c>
      <c r="DO118" s="133" t="e">
        <f t="shared" si="615"/>
        <v>#DIV/0!</v>
      </c>
      <c r="DP118" s="133" t="e">
        <f t="shared" si="615"/>
        <v>#DIV/0!</v>
      </c>
      <c r="DQ118" s="133" t="e">
        <f t="shared" si="615"/>
        <v>#DIV/0!</v>
      </c>
      <c r="DR118" s="133" t="e">
        <f t="shared" si="615"/>
        <v>#DIV/0!</v>
      </c>
      <c r="DS118" s="133" t="s">
        <v>51</v>
      </c>
      <c r="DT118" s="133" t="s">
        <v>51</v>
      </c>
      <c r="DU118" s="133" t="e">
        <f t="shared" ref="DU118:DU130" si="616">IF($E118=0,1,DQ118/$E118-1)</f>
        <v>#DIV/0!</v>
      </c>
      <c r="DV118" s="133" t="e">
        <f t="shared" ref="DV118:DV130" si="617">IF($F118=0,1,DR118/$F118-1)</f>
        <v>#DIV/0!</v>
      </c>
      <c r="DW118" s="121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  <c r="GY118" s="149"/>
      <c r="GZ118" s="149"/>
      <c r="HA118" s="149"/>
      <c r="HB118" s="149"/>
      <c r="HC118" s="149"/>
      <c r="HD118" s="149"/>
      <c r="HE118" s="149"/>
      <c r="HF118" s="149"/>
      <c r="HG118" s="149"/>
      <c r="HH118" s="149"/>
      <c r="HI118" s="149"/>
      <c r="HJ118" s="149"/>
      <c r="HK118" s="149"/>
      <c r="HL118" s="149"/>
      <c r="HM118" s="149"/>
      <c r="HN118" s="149"/>
      <c r="HO118" s="149"/>
      <c r="HP118" s="149"/>
      <c r="HQ118" s="149"/>
      <c r="HR118" s="149"/>
      <c r="HS118" s="149"/>
      <c r="HT118" s="149"/>
      <c r="HU118" s="149"/>
      <c r="HV118" s="149"/>
      <c r="HW118" s="149"/>
      <c r="HX118" s="149"/>
      <c r="HY118" s="149"/>
      <c r="HZ118" s="149"/>
      <c r="IA118" s="149"/>
      <c r="IB118" s="149"/>
      <c r="IC118" s="149"/>
      <c r="ID118" s="149"/>
      <c r="IE118" s="149"/>
      <c r="IF118" s="149"/>
      <c r="IG118" s="149"/>
      <c r="IH118" s="149"/>
      <c r="II118" s="149"/>
      <c r="IJ118" s="149"/>
      <c r="IK118" s="149"/>
      <c r="IL118" s="149"/>
      <c r="IM118" s="149"/>
      <c r="IN118" s="149"/>
      <c r="IO118" s="149"/>
      <c r="IP118" s="149"/>
      <c r="IQ118" s="149"/>
      <c r="IR118" s="149"/>
      <c r="IS118" s="149"/>
      <c r="IT118" s="149"/>
      <c r="IU118" s="149"/>
      <c r="IV118" s="149"/>
      <c r="IW118" s="149"/>
      <c r="IX118" s="149"/>
      <c r="IY118" s="149"/>
      <c r="IZ118" s="149"/>
      <c r="JA118" s="149"/>
      <c r="JB118" s="149"/>
      <c r="JC118" s="149"/>
      <c r="JD118" s="149"/>
      <c r="JE118" s="149"/>
      <c r="JF118" s="149"/>
      <c r="JG118" s="149"/>
      <c r="JH118" s="149"/>
    </row>
    <row r="119" spans="1:268" s="85" customFormat="1" ht="36.75" customHeight="1">
      <c r="A119" s="279" t="s">
        <v>74</v>
      </c>
      <c r="B119" s="280"/>
      <c r="C119" s="130">
        <f>'бюджет округа (района)'!C120+'бюджеты поселений'!C120</f>
        <v>0</v>
      </c>
      <c r="D119" s="130">
        <f>'бюджет округа (района)'!C120</f>
        <v>0</v>
      </c>
      <c r="E119" s="130">
        <f>AW119</f>
        <v>0</v>
      </c>
      <c r="F119" s="130">
        <f>AX119</f>
        <v>0</v>
      </c>
      <c r="G119" s="130">
        <f>'бюджет округа (района)'!E120+'бюджеты поселений'!E120</f>
        <v>0</v>
      </c>
      <c r="H119" s="130">
        <f>'бюджет округа (района)'!E120</f>
        <v>0</v>
      </c>
      <c r="I119" s="130">
        <f>'бюджет округа (района)'!F120+'бюджеты поселений'!F120</f>
        <v>0</v>
      </c>
      <c r="J119" s="130">
        <f>'бюджет округа (района)'!F120</f>
        <v>0</v>
      </c>
      <c r="K119" s="130">
        <f t="shared" ref="K119:K130" si="618">I119-$C119</f>
        <v>0</v>
      </c>
      <c r="L119" s="130">
        <f t="shared" ref="L119:L130" si="619">J119-$D119</f>
        <v>0</v>
      </c>
      <c r="M119" s="130">
        <f>'бюджет округа (района)'!H120+'бюджеты поселений'!H120</f>
        <v>0</v>
      </c>
      <c r="N119" s="130">
        <f>'бюджет округа (района)'!H120</f>
        <v>0</v>
      </c>
      <c r="O119" s="130">
        <f t="shared" ref="O119:O130" si="620">M119-$C119</f>
        <v>0</v>
      </c>
      <c r="P119" s="130">
        <f t="shared" ref="P119:P130" si="621">N119-$D119</f>
        <v>0</v>
      </c>
      <c r="Q119" s="130">
        <f>'бюджет округа (района)'!J120+'бюджеты поселений'!J120</f>
        <v>0</v>
      </c>
      <c r="R119" s="130">
        <f>'бюджет округа (района)'!J120</f>
        <v>0</v>
      </c>
      <c r="S119" s="130">
        <f t="shared" ref="S119:S130" si="622">Q119-$C119</f>
        <v>0</v>
      </c>
      <c r="T119" s="130">
        <f t="shared" ref="T119:T130" si="623">R119-$D119</f>
        <v>0</v>
      </c>
      <c r="U119" s="130">
        <f>'бюджет округа (района)'!L120+'бюджеты поселений'!L120</f>
        <v>0</v>
      </c>
      <c r="V119" s="130">
        <f>'бюджет округа (района)'!L120</f>
        <v>0</v>
      </c>
      <c r="W119" s="130">
        <f t="shared" ref="W119:W130" si="624">U119-$C119</f>
        <v>0</v>
      </c>
      <c r="X119" s="130">
        <f t="shared" ref="X119:X130" si="625">V119-$D119</f>
        <v>0</v>
      </c>
      <c r="Y119" s="130">
        <f>'бюджет округа (района)'!N120+'бюджеты поселений'!N120</f>
        <v>0</v>
      </c>
      <c r="Z119" s="130">
        <f>'бюджет округа (района)'!N120</f>
        <v>0</v>
      </c>
      <c r="AA119" s="130">
        <f t="shared" ref="AA119:AA130" si="626">Y119-$C119</f>
        <v>0</v>
      </c>
      <c r="AB119" s="130">
        <f t="shared" ref="AB119:AB130" si="627">Z119-$D119</f>
        <v>0</v>
      </c>
      <c r="AC119" s="130">
        <f>'бюджет округа (района)'!P120+'бюджеты поселений'!P120</f>
        <v>0</v>
      </c>
      <c r="AD119" s="130">
        <f>'бюджет округа (района)'!P120</f>
        <v>0</v>
      </c>
      <c r="AE119" s="130">
        <f t="shared" ref="AE119:AE130" si="628">AC119-$C119</f>
        <v>0</v>
      </c>
      <c r="AF119" s="130">
        <f t="shared" ref="AF119:AF130" si="629">AD119-$D119</f>
        <v>0</v>
      </c>
      <c r="AG119" s="130">
        <f>'бюджет округа (района)'!R120+'бюджеты поселений'!R120</f>
        <v>0</v>
      </c>
      <c r="AH119" s="130">
        <f>'бюджет округа (района)'!R120</f>
        <v>0</v>
      </c>
      <c r="AI119" s="130">
        <f t="shared" ref="AI119:AI130" si="630">AG119-$C119</f>
        <v>0</v>
      </c>
      <c r="AJ119" s="130">
        <f t="shared" ref="AJ119:AJ130" si="631">AH119-$D119</f>
        <v>0</v>
      </c>
      <c r="AK119" s="130">
        <f>'бюджет округа (района)'!T120+'бюджеты поселений'!T120</f>
        <v>0</v>
      </c>
      <c r="AL119" s="130">
        <f>'бюджет округа (района)'!T120</f>
        <v>0</v>
      </c>
      <c r="AM119" s="130">
        <f t="shared" ref="AM119:AM130" si="632">AK119-$C119</f>
        <v>0</v>
      </c>
      <c r="AN119" s="130">
        <f t="shared" ref="AN119:AN130" si="633">AL119-$D119</f>
        <v>0</v>
      </c>
      <c r="AO119" s="130">
        <f>'бюджет округа (района)'!V120+'бюджеты поселений'!V120</f>
        <v>0</v>
      </c>
      <c r="AP119" s="130">
        <f>'бюджет округа (района)'!V120</f>
        <v>0</v>
      </c>
      <c r="AQ119" s="130">
        <f t="shared" ref="AQ119:AQ130" si="634">AO119-$C119</f>
        <v>0</v>
      </c>
      <c r="AR119" s="130">
        <f t="shared" ref="AR119:AR130" si="635">AP119-$D119</f>
        <v>0</v>
      </c>
      <c r="AS119" s="130">
        <f>'бюджет округа (района)'!X120+'бюджеты поселений'!X120</f>
        <v>0</v>
      </c>
      <c r="AT119" s="130">
        <f>'бюджет округа (района)'!X120</f>
        <v>0</v>
      </c>
      <c r="AU119" s="130">
        <f t="shared" ref="AU119:AU130" si="636">AS119-$C119</f>
        <v>0</v>
      </c>
      <c r="AV119" s="130">
        <f t="shared" ref="AV119:AV130" si="637">AT119-$D119</f>
        <v>0</v>
      </c>
      <c r="AW119" s="130">
        <f>'бюджет округа (района)'!Z120+'бюджеты поселений'!Z120</f>
        <v>0</v>
      </c>
      <c r="AX119" s="130">
        <f>'бюджет округа (района)'!Z120</f>
        <v>0</v>
      </c>
      <c r="AY119" s="130" t="e">
        <f>'бюджет округа (района)'!AA120+'бюджеты поселений'!AA120</f>
        <v>#VALUE!</v>
      </c>
      <c r="AZ119" s="130" t="str">
        <f>'бюджет округа (района)'!AA120</f>
        <v>x</v>
      </c>
      <c r="BA119" s="131" t="s">
        <v>51</v>
      </c>
      <c r="BB119" s="131" t="s">
        <v>51</v>
      </c>
      <c r="BC119" s="130">
        <f>'бюджет округа (района)'!AC120+'бюджеты поселений'!AC120</f>
        <v>0</v>
      </c>
      <c r="BD119" s="130">
        <f>'бюджет округа (района)'!AC120</f>
        <v>0</v>
      </c>
      <c r="BE119" s="130">
        <f>'бюджет округа (района)'!AD120+'бюджеты поселений'!AD120</f>
        <v>0</v>
      </c>
      <c r="BF119" s="130">
        <f>'бюджет округа (района)'!AD120</f>
        <v>0</v>
      </c>
      <c r="BG119" s="130">
        <f t="shared" ref="BG119:BG130" si="638">BE119-$E119</f>
        <v>0</v>
      </c>
      <c r="BH119" s="130">
        <f t="shared" ref="BH119:BH130" si="639">BF119-$F119</f>
        <v>0</v>
      </c>
      <c r="BI119" s="131" t="s">
        <v>51</v>
      </c>
      <c r="BJ119" s="131" t="s">
        <v>51</v>
      </c>
      <c r="BK119" s="130">
        <f>'бюджет округа (района)'!AG120+'бюджеты поселений'!AG120</f>
        <v>0</v>
      </c>
      <c r="BL119" s="130">
        <f>'бюджет округа (района)'!AG120</f>
        <v>0</v>
      </c>
      <c r="BM119" s="130">
        <f t="shared" ref="BM119:BM130" si="640">BK119-$E119</f>
        <v>0</v>
      </c>
      <c r="BN119" s="130">
        <f t="shared" ref="BN119" si="641">BL119-$F119</f>
        <v>0</v>
      </c>
      <c r="BO119" s="131" t="s">
        <v>51</v>
      </c>
      <c r="BP119" s="131" t="s">
        <v>51</v>
      </c>
      <c r="BQ119" s="130">
        <f>'бюджет округа (района)'!AJ120+'бюджеты поселений'!AJ120</f>
        <v>0</v>
      </c>
      <c r="BR119" s="130">
        <f>'бюджет округа (района)'!AJ120</f>
        <v>0</v>
      </c>
      <c r="BS119" s="130">
        <f t="shared" ref="BS119:BS130" si="642">BQ119-$E119</f>
        <v>0</v>
      </c>
      <c r="BT119" s="130">
        <f t="shared" ref="BT119" si="643">BR119-$F119</f>
        <v>0</v>
      </c>
      <c r="BU119" s="131" t="s">
        <v>51</v>
      </c>
      <c r="BV119" s="131" t="s">
        <v>51</v>
      </c>
      <c r="BW119" s="130">
        <f>'бюджет округа (района)'!AM120+'бюджеты поселений'!AM120</f>
        <v>0</v>
      </c>
      <c r="BX119" s="130">
        <f>'бюджет округа (района)'!AM120</f>
        <v>0</v>
      </c>
      <c r="BY119" s="130">
        <f t="shared" ref="BY119:BY130" si="644">BW119-$E119</f>
        <v>0</v>
      </c>
      <c r="BZ119" s="130">
        <f t="shared" ref="BZ119" si="645">BX119-$F119</f>
        <v>0</v>
      </c>
      <c r="CA119" s="131" t="s">
        <v>51</v>
      </c>
      <c r="CB119" s="131" t="s">
        <v>51</v>
      </c>
      <c r="CC119" s="130">
        <f>'бюджет округа (района)'!AP120+'бюджеты поселений'!AP120</f>
        <v>0</v>
      </c>
      <c r="CD119" s="130">
        <f>'бюджет округа (района)'!AP120</f>
        <v>0</v>
      </c>
      <c r="CE119" s="130">
        <f t="shared" ref="CE119:CE130" si="646">CC119-$E119</f>
        <v>0</v>
      </c>
      <c r="CF119" s="130">
        <f t="shared" ref="CF119" si="647">CD119-$F119</f>
        <v>0</v>
      </c>
      <c r="CG119" s="131" t="s">
        <v>51</v>
      </c>
      <c r="CH119" s="131" t="s">
        <v>51</v>
      </c>
      <c r="CI119" s="130">
        <f>'бюджет округа (района)'!AS120+'бюджеты поселений'!AS120</f>
        <v>0</v>
      </c>
      <c r="CJ119" s="130">
        <f>'бюджет округа (района)'!AS120</f>
        <v>0</v>
      </c>
      <c r="CK119" s="130">
        <f t="shared" ref="CK119:CK130" si="648">CI119-$E119</f>
        <v>0</v>
      </c>
      <c r="CL119" s="130">
        <f t="shared" ref="CL119" si="649">CJ119-$F119</f>
        <v>0</v>
      </c>
      <c r="CM119" s="131" t="s">
        <v>51</v>
      </c>
      <c r="CN119" s="131" t="s">
        <v>51</v>
      </c>
      <c r="CO119" s="130">
        <f>'бюджет округа (района)'!AV120+'бюджеты поселений'!AV120</f>
        <v>0</v>
      </c>
      <c r="CP119" s="130">
        <f>'бюджет округа (района)'!AV120</f>
        <v>0</v>
      </c>
      <c r="CQ119" s="130">
        <f t="shared" ref="CQ119:CQ130" si="650">CO119-$E119</f>
        <v>0</v>
      </c>
      <c r="CR119" s="130">
        <f t="shared" ref="CR119" si="651">CP119-$F119</f>
        <v>0</v>
      </c>
      <c r="CS119" s="131" t="s">
        <v>51</v>
      </c>
      <c r="CT119" s="131" t="s">
        <v>51</v>
      </c>
      <c r="CU119" s="130">
        <f>'бюджет округа (района)'!AY120+'бюджеты поселений'!AY120</f>
        <v>0</v>
      </c>
      <c r="CV119" s="130">
        <f>'бюджет округа (района)'!AY120</f>
        <v>0</v>
      </c>
      <c r="CW119" s="130">
        <f t="shared" ref="CW119:CW130" si="652">CU119-$E119</f>
        <v>0</v>
      </c>
      <c r="CX119" s="130">
        <f t="shared" ref="CX119" si="653">CV119-$F119</f>
        <v>0</v>
      </c>
      <c r="CY119" s="131" t="s">
        <v>51</v>
      </c>
      <c r="CZ119" s="131" t="s">
        <v>51</v>
      </c>
      <c r="DA119" s="130">
        <f>'бюджет округа (района)'!BB120+'бюджеты поселений'!BB120</f>
        <v>0</v>
      </c>
      <c r="DB119" s="130">
        <f>'бюджет округа (района)'!BB120</f>
        <v>0</v>
      </c>
      <c r="DC119" s="130">
        <f t="shared" ref="DC119:DC130" si="654">DA119-$E119</f>
        <v>0</v>
      </c>
      <c r="DD119" s="130">
        <f t="shared" ref="DD119" si="655">DB119-$F119</f>
        <v>0</v>
      </c>
      <c r="DE119" s="131" t="s">
        <v>51</v>
      </c>
      <c r="DF119" s="131" t="s">
        <v>51</v>
      </c>
      <c r="DG119" s="130">
        <f>'бюджет округа (района)'!BE120+'бюджеты поселений'!BE120</f>
        <v>0</v>
      </c>
      <c r="DH119" s="130">
        <f>'бюджет округа (района)'!BE120</f>
        <v>0</v>
      </c>
      <c r="DI119" s="130">
        <f t="shared" ref="DI119:DI130" si="656">DG119-$E119</f>
        <v>0</v>
      </c>
      <c r="DJ119" s="130">
        <f t="shared" ref="DJ119" si="657">DH119-$F119</f>
        <v>0</v>
      </c>
      <c r="DK119" s="131" t="s">
        <v>51</v>
      </c>
      <c r="DL119" s="131" t="s">
        <v>51</v>
      </c>
      <c r="DM119" s="130">
        <f>'бюджет округа (района)'!BH120+'бюджеты поселений'!BH120</f>
        <v>0</v>
      </c>
      <c r="DN119" s="130">
        <f>'бюджет округа (района)'!BH120</f>
        <v>0</v>
      </c>
      <c r="DO119" s="130">
        <f>'бюджет округа (района)'!BI120+'бюджеты поселений'!BI120</f>
        <v>0</v>
      </c>
      <c r="DP119" s="130">
        <f>'бюджет округа (района)'!BI120</f>
        <v>0</v>
      </c>
      <c r="DQ119" s="130">
        <f>'бюджет округа (района)'!BJ120+'бюджеты поселений'!BJ120</f>
        <v>0</v>
      </c>
      <c r="DR119" s="130">
        <f>'бюджет округа (района)'!BJ120</f>
        <v>0</v>
      </c>
      <c r="DS119" s="131" t="s">
        <v>51</v>
      </c>
      <c r="DT119" s="131" t="s">
        <v>51</v>
      </c>
      <c r="DU119" s="131">
        <f t="shared" si="616"/>
        <v>1</v>
      </c>
      <c r="DV119" s="131">
        <f t="shared" si="617"/>
        <v>1</v>
      </c>
      <c r="DW119" s="168"/>
      <c r="DX119" s="86"/>
      <c r="DY119" s="86"/>
      <c r="DZ119" s="86"/>
      <c r="EA119" s="86"/>
      <c r="EB119" s="86"/>
      <c r="EC119" s="86"/>
      <c r="ED119" s="86"/>
      <c r="EE119" s="86"/>
      <c r="EF119" s="86"/>
      <c r="EG119" s="86"/>
      <c r="EH119" s="86"/>
      <c r="EI119" s="86"/>
      <c r="EJ119" s="86"/>
      <c r="EK119" s="86"/>
      <c r="EL119" s="86"/>
      <c r="EM119" s="86"/>
      <c r="EN119" s="86"/>
      <c r="EO119" s="86"/>
      <c r="EP119" s="86"/>
      <c r="EQ119" s="86"/>
      <c r="ER119" s="86"/>
      <c r="ES119" s="86"/>
      <c r="ET119" s="86"/>
      <c r="EU119" s="86"/>
      <c r="EV119" s="86"/>
      <c r="EW119" s="86"/>
      <c r="EX119" s="86"/>
      <c r="EY119" s="86"/>
      <c r="EZ119" s="86"/>
      <c r="FA119" s="86"/>
      <c r="FB119" s="86"/>
      <c r="FC119" s="86"/>
      <c r="FD119" s="86"/>
      <c r="FE119" s="86"/>
      <c r="FF119" s="86"/>
      <c r="FG119" s="86"/>
      <c r="FH119" s="86"/>
      <c r="FI119" s="86"/>
      <c r="FJ119" s="86"/>
      <c r="FK119" s="86"/>
      <c r="FL119" s="86"/>
      <c r="FM119" s="86"/>
      <c r="FN119" s="86"/>
      <c r="FO119" s="86"/>
      <c r="FP119" s="86"/>
      <c r="FQ119" s="86"/>
      <c r="FR119" s="86"/>
      <c r="FS119" s="86"/>
      <c r="FT119" s="86"/>
      <c r="FU119" s="86"/>
      <c r="FV119" s="86"/>
      <c r="FW119" s="86"/>
      <c r="FX119" s="86"/>
      <c r="FY119" s="86"/>
      <c r="FZ119" s="86"/>
      <c r="GA119" s="86"/>
      <c r="GB119" s="86"/>
      <c r="GC119" s="86"/>
      <c r="GD119" s="86"/>
      <c r="GE119" s="86"/>
      <c r="GF119" s="86"/>
      <c r="GG119" s="86"/>
      <c r="GH119" s="86"/>
      <c r="GI119" s="86"/>
      <c r="GJ119" s="86"/>
      <c r="GK119" s="86"/>
      <c r="GL119" s="86"/>
      <c r="GM119" s="86"/>
      <c r="GN119" s="86"/>
      <c r="GO119" s="86"/>
      <c r="GP119" s="86"/>
      <c r="GQ119" s="86"/>
      <c r="GR119" s="86"/>
      <c r="GS119" s="86"/>
      <c r="GT119" s="86"/>
      <c r="GU119" s="86"/>
      <c r="GV119" s="86"/>
      <c r="GW119" s="86"/>
      <c r="GX119" s="86"/>
      <c r="GY119" s="86"/>
      <c r="GZ119" s="86"/>
      <c r="HA119" s="86"/>
      <c r="HB119" s="86"/>
      <c r="HC119" s="86"/>
      <c r="HD119" s="86"/>
      <c r="HE119" s="86"/>
      <c r="HF119" s="86"/>
      <c r="HG119" s="86"/>
      <c r="HH119" s="86"/>
      <c r="HI119" s="86"/>
      <c r="HJ119" s="86"/>
      <c r="HK119" s="86"/>
      <c r="HL119" s="86"/>
      <c r="HM119" s="86"/>
      <c r="HN119" s="86"/>
      <c r="HO119" s="86"/>
      <c r="HP119" s="86"/>
      <c r="HQ119" s="86"/>
      <c r="HR119" s="86"/>
      <c r="HS119" s="86"/>
      <c r="HT119" s="86"/>
      <c r="HU119" s="86"/>
      <c r="HV119" s="86"/>
      <c r="HW119" s="86"/>
      <c r="HX119" s="86"/>
      <c r="HY119" s="86"/>
      <c r="HZ119" s="86"/>
      <c r="IA119" s="86"/>
      <c r="IB119" s="86"/>
      <c r="IC119" s="86"/>
      <c r="ID119" s="86"/>
      <c r="IE119" s="86"/>
      <c r="IF119" s="86"/>
      <c r="IG119" s="86"/>
      <c r="IH119" s="86"/>
      <c r="II119" s="86"/>
      <c r="IJ119" s="86"/>
      <c r="IK119" s="86"/>
      <c r="IL119" s="86"/>
      <c r="IM119" s="86"/>
      <c r="IN119" s="86"/>
      <c r="IO119" s="86"/>
      <c r="IP119" s="86"/>
      <c r="IQ119" s="86"/>
      <c r="IR119" s="86"/>
      <c r="IS119" s="86"/>
      <c r="IT119" s="86"/>
      <c r="IU119" s="86"/>
      <c r="IV119" s="86"/>
      <c r="IW119" s="86"/>
      <c r="IX119" s="86"/>
      <c r="IY119" s="86"/>
      <c r="IZ119" s="86"/>
      <c r="JA119" s="86"/>
      <c r="JB119" s="86"/>
      <c r="JC119" s="86"/>
      <c r="JD119" s="86"/>
      <c r="JE119" s="86"/>
      <c r="JF119" s="86"/>
      <c r="JG119" s="86"/>
      <c r="JH119" s="86"/>
    </row>
    <row r="120" spans="1:268" s="66" customFormat="1" ht="16.5">
      <c r="A120" s="277" t="s">
        <v>75</v>
      </c>
      <c r="B120" s="278"/>
      <c r="C120" s="161">
        <f>'бюджет округа (района)'!C121+'бюджеты поселений'!C121</f>
        <v>0</v>
      </c>
      <c r="D120" s="161">
        <f>'бюджет округа (района)'!C121</f>
        <v>0</v>
      </c>
      <c r="E120" s="161">
        <f t="shared" ref="E120:F130" si="658">AW120</f>
        <v>0</v>
      </c>
      <c r="F120" s="161">
        <f t="shared" si="658"/>
        <v>0</v>
      </c>
      <c r="G120" s="161">
        <f>'бюджет округа (района)'!E121+'бюджеты поселений'!E121</f>
        <v>0</v>
      </c>
      <c r="H120" s="161">
        <f>'бюджет округа (района)'!E121</f>
        <v>0</v>
      </c>
      <c r="I120" s="161">
        <f>'бюджет округа (района)'!F121+'бюджеты поселений'!F121</f>
        <v>0</v>
      </c>
      <c r="J120" s="161">
        <f>'бюджет округа (района)'!F121</f>
        <v>0</v>
      </c>
      <c r="K120" s="161">
        <f t="shared" si="618"/>
        <v>0</v>
      </c>
      <c r="L120" s="161">
        <f t="shared" si="619"/>
        <v>0</v>
      </c>
      <c r="M120" s="161">
        <f>'бюджет округа (района)'!H121+'бюджеты поселений'!H121</f>
        <v>0</v>
      </c>
      <c r="N120" s="161">
        <f>'бюджет округа (района)'!H121</f>
        <v>0</v>
      </c>
      <c r="O120" s="161">
        <f t="shared" si="620"/>
        <v>0</v>
      </c>
      <c r="P120" s="161">
        <f t="shared" si="621"/>
        <v>0</v>
      </c>
      <c r="Q120" s="161">
        <f>'бюджет округа (района)'!J121+'бюджеты поселений'!J121</f>
        <v>0</v>
      </c>
      <c r="R120" s="161">
        <f>'бюджет округа (района)'!J121</f>
        <v>0</v>
      </c>
      <c r="S120" s="161">
        <f t="shared" si="622"/>
        <v>0</v>
      </c>
      <c r="T120" s="161">
        <f t="shared" si="623"/>
        <v>0</v>
      </c>
      <c r="U120" s="161">
        <f>'бюджет округа (района)'!L121+'бюджеты поселений'!L121</f>
        <v>0</v>
      </c>
      <c r="V120" s="161">
        <f>'бюджет округа (района)'!L121</f>
        <v>0</v>
      </c>
      <c r="W120" s="161">
        <f t="shared" si="624"/>
        <v>0</v>
      </c>
      <c r="X120" s="161">
        <f t="shared" si="625"/>
        <v>0</v>
      </c>
      <c r="Y120" s="161">
        <f>'бюджет округа (района)'!N121+'бюджеты поселений'!N121</f>
        <v>0</v>
      </c>
      <c r="Z120" s="161">
        <f>'бюджет округа (района)'!N121</f>
        <v>0</v>
      </c>
      <c r="AA120" s="161">
        <f t="shared" si="626"/>
        <v>0</v>
      </c>
      <c r="AB120" s="161">
        <f t="shared" si="627"/>
        <v>0</v>
      </c>
      <c r="AC120" s="161">
        <f>'бюджет округа (района)'!P121+'бюджеты поселений'!P121</f>
        <v>0</v>
      </c>
      <c r="AD120" s="161">
        <f>'бюджет округа (района)'!P121</f>
        <v>0</v>
      </c>
      <c r="AE120" s="161">
        <f t="shared" si="628"/>
        <v>0</v>
      </c>
      <c r="AF120" s="161">
        <f t="shared" si="629"/>
        <v>0</v>
      </c>
      <c r="AG120" s="161">
        <f>'бюджет округа (района)'!R121+'бюджеты поселений'!R121</f>
        <v>0</v>
      </c>
      <c r="AH120" s="161">
        <f>'бюджет округа (района)'!R121</f>
        <v>0</v>
      </c>
      <c r="AI120" s="161">
        <f t="shared" si="630"/>
        <v>0</v>
      </c>
      <c r="AJ120" s="161">
        <f t="shared" si="631"/>
        <v>0</v>
      </c>
      <c r="AK120" s="161">
        <f>'бюджет округа (района)'!T121+'бюджеты поселений'!T121</f>
        <v>0</v>
      </c>
      <c r="AL120" s="161">
        <f>'бюджет округа (района)'!T121</f>
        <v>0</v>
      </c>
      <c r="AM120" s="161">
        <f t="shared" si="632"/>
        <v>0</v>
      </c>
      <c r="AN120" s="161">
        <f t="shared" si="633"/>
        <v>0</v>
      </c>
      <c r="AO120" s="161">
        <f>'бюджет округа (района)'!V121+'бюджеты поселений'!V121</f>
        <v>0</v>
      </c>
      <c r="AP120" s="161">
        <f>'бюджет округа (района)'!V121</f>
        <v>0</v>
      </c>
      <c r="AQ120" s="161">
        <f t="shared" si="634"/>
        <v>0</v>
      </c>
      <c r="AR120" s="161">
        <f t="shared" si="635"/>
        <v>0</v>
      </c>
      <c r="AS120" s="161">
        <f>'бюджет округа (района)'!X121+'бюджеты поселений'!X121</f>
        <v>0</v>
      </c>
      <c r="AT120" s="161">
        <f>'бюджет округа (района)'!X121</f>
        <v>0</v>
      </c>
      <c r="AU120" s="161">
        <f t="shared" si="636"/>
        <v>0</v>
      </c>
      <c r="AV120" s="161">
        <f t="shared" si="637"/>
        <v>0</v>
      </c>
      <c r="AW120" s="161">
        <f>'бюджет округа (района)'!Z121+'бюджеты поселений'!Z121</f>
        <v>0</v>
      </c>
      <c r="AX120" s="161">
        <f>'бюджет округа (района)'!Z121</f>
        <v>0</v>
      </c>
      <c r="AY120" s="161" t="e">
        <f>'бюджет округа (района)'!AA121+'бюджеты поселений'!AA121</f>
        <v>#VALUE!</v>
      </c>
      <c r="AZ120" s="161" t="str">
        <f>'бюджет округа (района)'!AA121</f>
        <v>x</v>
      </c>
      <c r="BA120" s="162" t="s">
        <v>51</v>
      </c>
      <c r="BB120" s="162" t="s">
        <v>51</v>
      </c>
      <c r="BC120" s="161">
        <f>'бюджет округа (района)'!AC121+'бюджеты поселений'!AC121</f>
        <v>0</v>
      </c>
      <c r="BD120" s="161">
        <f>'бюджет округа (района)'!AC121</f>
        <v>0</v>
      </c>
      <c r="BE120" s="161">
        <f>'бюджет округа (района)'!AD121+'бюджеты поселений'!AD121</f>
        <v>0</v>
      </c>
      <c r="BF120" s="161">
        <f>'бюджет округа (района)'!AD121</f>
        <v>0</v>
      </c>
      <c r="BG120" s="161">
        <f t="shared" si="638"/>
        <v>0</v>
      </c>
      <c r="BH120" s="161">
        <f>BF120-$F120</f>
        <v>0</v>
      </c>
      <c r="BI120" s="162" t="s">
        <v>51</v>
      </c>
      <c r="BJ120" s="162" t="s">
        <v>51</v>
      </c>
      <c r="BK120" s="161">
        <f>'бюджет округа (района)'!AG121+'бюджеты поселений'!AG121</f>
        <v>0</v>
      </c>
      <c r="BL120" s="161">
        <f>'бюджет округа (района)'!AG121</f>
        <v>0</v>
      </c>
      <c r="BM120" s="161">
        <f t="shared" si="640"/>
        <v>0</v>
      </c>
      <c r="BN120" s="161">
        <f>BL120-$F120</f>
        <v>0</v>
      </c>
      <c r="BO120" s="162" t="s">
        <v>51</v>
      </c>
      <c r="BP120" s="162" t="s">
        <v>51</v>
      </c>
      <c r="BQ120" s="161">
        <f>'бюджет округа (района)'!AJ121+'бюджеты поселений'!AJ121</f>
        <v>0</v>
      </c>
      <c r="BR120" s="161">
        <f>'бюджет округа (района)'!AJ121</f>
        <v>0</v>
      </c>
      <c r="BS120" s="161">
        <f t="shared" si="642"/>
        <v>0</v>
      </c>
      <c r="BT120" s="161">
        <f>BR120-$F120</f>
        <v>0</v>
      </c>
      <c r="BU120" s="162" t="s">
        <v>51</v>
      </c>
      <c r="BV120" s="162" t="s">
        <v>51</v>
      </c>
      <c r="BW120" s="161">
        <f>'бюджет округа (района)'!AM121+'бюджеты поселений'!AM121</f>
        <v>0</v>
      </c>
      <c r="BX120" s="161">
        <f>'бюджет округа (района)'!AM121</f>
        <v>0</v>
      </c>
      <c r="BY120" s="161">
        <f t="shared" si="644"/>
        <v>0</v>
      </c>
      <c r="BZ120" s="161">
        <f>BX120-$F120</f>
        <v>0</v>
      </c>
      <c r="CA120" s="162" t="s">
        <v>51</v>
      </c>
      <c r="CB120" s="162" t="s">
        <v>51</v>
      </c>
      <c r="CC120" s="161">
        <f>'бюджет округа (района)'!AP121+'бюджеты поселений'!AP121</f>
        <v>0</v>
      </c>
      <c r="CD120" s="161">
        <f>'бюджет округа (района)'!AP121</f>
        <v>0</v>
      </c>
      <c r="CE120" s="161">
        <f t="shared" si="646"/>
        <v>0</v>
      </c>
      <c r="CF120" s="161">
        <f>CD120-$F120</f>
        <v>0</v>
      </c>
      <c r="CG120" s="162" t="s">
        <v>51</v>
      </c>
      <c r="CH120" s="162" t="s">
        <v>51</v>
      </c>
      <c r="CI120" s="161">
        <f>'бюджет округа (района)'!AS121+'бюджеты поселений'!AS121</f>
        <v>0</v>
      </c>
      <c r="CJ120" s="161">
        <f>'бюджет округа (района)'!AS121</f>
        <v>0</v>
      </c>
      <c r="CK120" s="161">
        <f t="shared" si="648"/>
        <v>0</v>
      </c>
      <c r="CL120" s="161">
        <f>CJ120-$F120</f>
        <v>0</v>
      </c>
      <c r="CM120" s="162" t="s">
        <v>51</v>
      </c>
      <c r="CN120" s="162" t="s">
        <v>51</v>
      </c>
      <c r="CO120" s="161">
        <f>'бюджет округа (района)'!AV121+'бюджеты поселений'!AV121</f>
        <v>0</v>
      </c>
      <c r="CP120" s="161">
        <f>'бюджет округа (района)'!AV121</f>
        <v>0</v>
      </c>
      <c r="CQ120" s="161">
        <f t="shared" si="650"/>
        <v>0</v>
      </c>
      <c r="CR120" s="161">
        <f>CP120-$F120</f>
        <v>0</v>
      </c>
      <c r="CS120" s="162" t="s">
        <v>51</v>
      </c>
      <c r="CT120" s="162" t="s">
        <v>51</v>
      </c>
      <c r="CU120" s="161">
        <f>'бюджет округа (района)'!AY121+'бюджеты поселений'!AY121</f>
        <v>0</v>
      </c>
      <c r="CV120" s="161">
        <f>'бюджет округа (района)'!AY121</f>
        <v>0</v>
      </c>
      <c r="CW120" s="161">
        <f t="shared" si="652"/>
        <v>0</v>
      </c>
      <c r="CX120" s="161">
        <f>CV120-$F120</f>
        <v>0</v>
      </c>
      <c r="CY120" s="162" t="s">
        <v>51</v>
      </c>
      <c r="CZ120" s="162" t="s">
        <v>51</v>
      </c>
      <c r="DA120" s="161">
        <f>'бюджет округа (района)'!BB121+'бюджеты поселений'!BB121</f>
        <v>0</v>
      </c>
      <c r="DB120" s="161">
        <f>'бюджет округа (района)'!BB121</f>
        <v>0</v>
      </c>
      <c r="DC120" s="161">
        <f t="shared" si="654"/>
        <v>0</v>
      </c>
      <c r="DD120" s="161">
        <f>DB120-$F120</f>
        <v>0</v>
      </c>
      <c r="DE120" s="162" t="s">
        <v>51</v>
      </c>
      <c r="DF120" s="162" t="s">
        <v>51</v>
      </c>
      <c r="DG120" s="161">
        <f>'бюджет округа (района)'!BE121+'бюджеты поселений'!BE121</f>
        <v>0</v>
      </c>
      <c r="DH120" s="161">
        <f>'бюджет округа (района)'!BE121</f>
        <v>0</v>
      </c>
      <c r="DI120" s="161">
        <f t="shared" si="656"/>
        <v>0</v>
      </c>
      <c r="DJ120" s="161">
        <f>DH120-$F120</f>
        <v>0</v>
      </c>
      <c r="DK120" s="162" t="s">
        <v>51</v>
      </c>
      <c r="DL120" s="162" t="s">
        <v>51</v>
      </c>
      <c r="DM120" s="161">
        <f>'бюджет округа (района)'!BH121+'бюджеты поселений'!BH121</f>
        <v>0</v>
      </c>
      <c r="DN120" s="161">
        <f>'бюджет округа (района)'!BH121</f>
        <v>0</v>
      </c>
      <c r="DO120" s="161">
        <f>'бюджет округа (района)'!BI121+'бюджеты поселений'!BI121</f>
        <v>0</v>
      </c>
      <c r="DP120" s="161">
        <f>'бюджет округа (района)'!BI121</f>
        <v>0</v>
      </c>
      <c r="DQ120" s="161">
        <f>'бюджет округа (района)'!BJ121+'бюджеты поселений'!BJ121</f>
        <v>0</v>
      </c>
      <c r="DR120" s="161">
        <f>'бюджет округа (района)'!BJ121</f>
        <v>0</v>
      </c>
      <c r="DS120" s="162" t="s">
        <v>51</v>
      </c>
      <c r="DT120" s="162" t="s">
        <v>51</v>
      </c>
      <c r="DU120" s="162">
        <f t="shared" si="616"/>
        <v>1</v>
      </c>
      <c r="DV120" s="162">
        <f t="shared" si="617"/>
        <v>1</v>
      </c>
      <c r="DW120" s="171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  <c r="IW120" s="65"/>
      <c r="IX120" s="65"/>
      <c r="IY120" s="65"/>
      <c r="IZ120" s="65"/>
      <c r="JA120" s="65"/>
      <c r="JB120" s="65"/>
      <c r="JC120" s="65"/>
      <c r="JD120" s="65"/>
      <c r="JE120" s="65"/>
      <c r="JF120" s="65"/>
      <c r="JG120" s="65"/>
      <c r="JH120" s="65"/>
    </row>
    <row r="121" spans="1:268" s="66" customFormat="1" ht="18.75" customHeight="1">
      <c r="A121" s="277" t="s">
        <v>76</v>
      </c>
      <c r="B121" s="278"/>
      <c r="C121" s="161">
        <f>'бюджет округа (района)'!C122+'бюджеты поселений'!C122</f>
        <v>0</v>
      </c>
      <c r="D121" s="161">
        <f>'бюджет округа (района)'!C122</f>
        <v>0</v>
      </c>
      <c r="E121" s="161">
        <f t="shared" si="658"/>
        <v>0</v>
      </c>
      <c r="F121" s="161">
        <f t="shared" si="658"/>
        <v>0</v>
      </c>
      <c r="G121" s="161">
        <f>'бюджет округа (района)'!E122+'бюджеты поселений'!E122</f>
        <v>0</v>
      </c>
      <c r="H121" s="161">
        <f>'бюджет округа (района)'!E122</f>
        <v>0</v>
      </c>
      <c r="I121" s="161">
        <f>'бюджет округа (района)'!F122+'бюджеты поселений'!F122</f>
        <v>0</v>
      </c>
      <c r="J121" s="161">
        <f>'бюджет округа (района)'!F122</f>
        <v>0</v>
      </c>
      <c r="K121" s="161">
        <f t="shared" si="618"/>
        <v>0</v>
      </c>
      <c r="L121" s="161">
        <f t="shared" si="619"/>
        <v>0</v>
      </c>
      <c r="M121" s="161">
        <f>'бюджет округа (района)'!H122+'бюджеты поселений'!H122</f>
        <v>0</v>
      </c>
      <c r="N121" s="161">
        <f>'бюджет округа (района)'!H122</f>
        <v>0</v>
      </c>
      <c r="O121" s="161">
        <f t="shared" si="620"/>
        <v>0</v>
      </c>
      <c r="P121" s="161">
        <f t="shared" si="621"/>
        <v>0</v>
      </c>
      <c r="Q121" s="161">
        <f>'бюджет округа (района)'!J122+'бюджеты поселений'!J122</f>
        <v>0</v>
      </c>
      <c r="R121" s="161">
        <f>'бюджет округа (района)'!J122</f>
        <v>0</v>
      </c>
      <c r="S121" s="161">
        <f t="shared" si="622"/>
        <v>0</v>
      </c>
      <c r="T121" s="161">
        <f t="shared" si="623"/>
        <v>0</v>
      </c>
      <c r="U121" s="161">
        <f>'бюджет округа (района)'!L122+'бюджеты поселений'!L122</f>
        <v>0</v>
      </c>
      <c r="V121" s="161">
        <f>'бюджет округа (района)'!L122</f>
        <v>0</v>
      </c>
      <c r="W121" s="161">
        <f t="shared" si="624"/>
        <v>0</v>
      </c>
      <c r="X121" s="161">
        <f t="shared" si="625"/>
        <v>0</v>
      </c>
      <c r="Y121" s="161">
        <f>'бюджет округа (района)'!N122+'бюджеты поселений'!N122</f>
        <v>0</v>
      </c>
      <c r="Z121" s="161">
        <f>'бюджет округа (района)'!N122</f>
        <v>0</v>
      </c>
      <c r="AA121" s="161">
        <f t="shared" si="626"/>
        <v>0</v>
      </c>
      <c r="AB121" s="161">
        <f t="shared" si="627"/>
        <v>0</v>
      </c>
      <c r="AC121" s="161">
        <f>'бюджет округа (района)'!P122+'бюджеты поселений'!P122</f>
        <v>0</v>
      </c>
      <c r="AD121" s="161">
        <f>'бюджет округа (района)'!P122</f>
        <v>0</v>
      </c>
      <c r="AE121" s="161">
        <f t="shared" si="628"/>
        <v>0</v>
      </c>
      <c r="AF121" s="161">
        <f t="shared" si="629"/>
        <v>0</v>
      </c>
      <c r="AG121" s="161">
        <f>'бюджет округа (района)'!R122+'бюджеты поселений'!R122</f>
        <v>0</v>
      </c>
      <c r="AH121" s="161">
        <f>'бюджет округа (района)'!R122</f>
        <v>0</v>
      </c>
      <c r="AI121" s="161">
        <f t="shared" si="630"/>
        <v>0</v>
      </c>
      <c r="AJ121" s="161">
        <f t="shared" si="631"/>
        <v>0</v>
      </c>
      <c r="AK121" s="161">
        <f>'бюджет округа (района)'!T122+'бюджеты поселений'!T122</f>
        <v>0</v>
      </c>
      <c r="AL121" s="161">
        <f>'бюджет округа (района)'!T122</f>
        <v>0</v>
      </c>
      <c r="AM121" s="161">
        <f t="shared" si="632"/>
        <v>0</v>
      </c>
      <c r="AN121" s="161">
        <f t="shared" si="633"/>
        <v>0</v>
      </c>
      <c r="AO121" s="161">
        <f>'бюджет округа (района)'!V122+'бюджеты поселений'!V122</f>
        <v>0</v>
      </c>
      <c r="AP121" s="161">
        <f>'бюджет округа (района)'!V122</f>
        <v>0</v>
      </c>
      <c r="AQ121" s="161">
        <f t="shared" si="634"/>
        <v>0</v>
      </c>
      <c r="AR121" s="161">
        <f t="shared" si="635"/>
        <v>0</v>
      </c>
      <c r="AS121" s="161">
        <f>'бюджет округа (района)'!X122+'бюджеты поселений'!X122</f>
        <v>0</v>
      </c>
      <c r="AT121" s="161">
        <f>'бюджет округа (района)'!X122</f>
        <v>0</v>
      </c>
      <c r="AU121" s="161">
        <f t="shared" si="636"/>
        <v>0</v>
      </c>
      <c r="AV121" s="161">
        <f t="shared" si="637"/>
        <v>0</v>
      </c>
      <c r="AW121" s="161">
        <f>'бюджет округа (района)'!Z122+'бюджеты поселений'!Z122</f>
        <v>0</v>
      </c>
      <c r="AX121" s="161">
        <f>'бюджет округа (района)'!Z122</f>
        <v>0</v>
      </c>
      <c r="AY121" s="161" t="e">
        <f>'бюджет округа (района)'!AA122+'бюджеты поселений'!AA122</f>
        <v>#VALUE!</v>
      </c>
      <c r="AZ121" s="161" t="str">
        <f>'бюджет округа (района)'!AA122</f>
        <v>x</v>
      </c>
      <c r="BA121" s="162" t="s">
        <v>51</v>
      </c>
      <c r="BB121" s="162" t="s">
        <v>51</v>
      </c>
      <c r="BC121" s="161">
        <f>'бюджет округа (района)'!AC122+'бюджеты поселений'!AC122</f>
        <v>0</v>
      </c>
      <c r="BD121" s="161">
        <f>'бюджет округа (района)'!AC122</f>
        <v>0</v>
      </c>
      <c r="BE121" s="161">
        <f>'бюджет округа (района)'!AD122+'бюджеты поселений'!AD122</f>
        <v>0</v>
      </c>
      <c r="BF121" s="161">
        <f>'бюджет округа (района)'!AD122</f>
        <v>0</v>
      </c>
      <c r="BG121" s="161">
        <f t="shared" si="638"/>
        <v>0</v>
      </c>
      <c r="BH121" s="161">
        <f t="shared" si="639"/>
        <v>0</v>
      </c>
      <c r="BI121" s="162" t="s">
        <v>51</v>
      </c>
      <c r="BJ121" s="162" t="s">
        <v>51</v>
      </c>
      <c r="BK121" s="161">
        <f>'бюджет округа (района)'!AG122+'бюджеты поселений'!AG122</f>
        <v>0</v>
      </c>
      <c r="BL121" s="161">
        <f>'бюджет округа (района)'!AG122</f>
        <v>0</v>
      </c>
      <c r="BM121" s="161">
        <f t="shared" si="640"/>
        <v>0</v>
      </c>
      <c r="BN121" s="161">
        <f t="shared" ref="BN121" si="659">BL121-$F121</f>
        <v>0</v>
      </c>
      <c r="BO121" s="162" t="s">
        <v>51</v>
      </c>
      <c r="BP121" s="162" t="s">
        <v>51</v>
      </c>
      <c r="BQ121" s="161">
        <f>'бюджет округа (района)'!AJ122+'бюджеты поселений'!AJ122</f>
        <v>0</v>
      </c>
      <c r="BR121" s="161">
        <f>'бюджет округа (района)'!AJ122</f>
        <v>0</v>
      </c>
      <c r="BS121" s="161">
        <f t="shared" si="642"/>
        <v>0</v>
      </c>
      <c r="BT121" s="161">
        <f t="shared" ref="BT121" si="660">BR121-$F121</f>
        <v>0</v>
      </c>
      <c r="BU121" s="162" t="s">
        <v>51</v>
      </c>
      <c r="BV121" s="162" t="s">
        <v>51</v>
      </c>
      <c r="BW121" s="161">
        <f>'бюджет округа (района)'!AM122+'бюджеты поселений'!AM122</f>
        <v>0</v>
      </c>
      <c r="BX121" s="161">
        <f>'бюджет округа (района)'!AM122</f>
        <v>0</v>
      </c>
      <c r="BY121" s="161">
        <f t="shared" si="644"/>
        <v>0</v>
      </c>
      <c r="BZ121" s="161">
        <f t="shared" ref="BZ121" si="661">BX121-$F121</f>
        <v>0</v>
      </c>
      <c r="CA121" s="162" t="s">
        <v>51</v>
      </c>
      <c r="CB121" s="162" t="s">
        <v>51</v>
      </c>
      <c r="CC121" s="161">
        <f>'бюджет округа (района)'!AP122+'бюджеты поселений'!AP122</f>
        <v>0</v>
      </c>
      <c r="CD121" s="161">
        <f>'бюджет округа (района)'!AP122</f>
        <v>0</v>
      </c>
      <c r="CE121" s="161">
        <f t="shared" si="646"/>
        <v>0</v>
      </c>
      <c r="CF121" s="161">
        <f t="shared" ref="CF121" si="662">CD121-$F121</f>
        <v>0</v>
      </c>
      <c r="CG121" s="162" t="s">
        <v>51</v>
      </c>
      <c r="CH121" s="162" t="s">
        <v>51</v>
      </c>
      <c r="CI121" s="161">
        <f>'бюджет округа (района)'!AS122+'бюджеты поселений'!AS122</f>
        <v>0</v>
      </c>
      <c r="CJ121" s="161">
        <f>'бюджет округа (района)'!AS122</f>
        <v>0</v>
      </c>
      <c r="CK121" s="161">
        <f t="shared" si="648"/>
        <v>0</v>
      </c>
      <c r="CL121" s="161">
        <f t="shared" ref="CL121" si="663">CJ121-$F121</f>
        <v>0</v>
      </c>
      <c r="CM121" s="162" t="s">
        <v>51</v>
      </c>
      <c r="CN121" s="162" t="s">
        <v>51</v>
      </c>
      <c r="CO121" s="161">
        <f>'бюджет округа (района)'!AV122+'бюджеты поселений'!AV122</f>
        <v>0</v>
      </c>
      <c r="CP121" s="161">
        <f>'бюджет округа (района)'!AV122</f>
        <v>0</v>
      </c>
      <c r="CQ121" s="161">
        <f t="shared" si="650"/>
        <v>0</v>
      </c>
      <c r="CR121" s="161">
        <f t="shared" ref="CR121" si="664">CP121-$F121</f>
        <v>0</v>
      </c>
      <c r="CS121" s="162" t="s">
        <v>51</v>
      </c>
      <c r="CT121" s="162" t="s">
        <v>51</v>
      </c>
      <c r="CU121" s="161">
        <f>'бюджет округа (района)'!AY122+'бюджеты поселений'!AY122</f>
        <v>0</v>
      </c>
      <c r="CV121" s="161">
        <f>'бюджет округа (района)'!AY122</f>
        <v>0</v>
      </c>
      <c r="CW121" s="161">
        <f t="shared" si="652"/>
        <v>0</v>
      </c>
      <c r="CX121" s="161">
        <f t="shared" ref="CX121" si="665">CV121-$F121</f>
        <v>0</v>
      </c>
      <c r="CY121" s="162" t="s">
        <v>51</v>
      </c>
      <c r="CZ121" s="162" t="s">
        <v>51</v>
      </c>
      <c r="DA121" s="161">
        <f>'бюджет округа (района)'!BB122+'бюджеты поселений'!BB122</f>
        <v>0</v>
      </c>
      <c r="DB121" s="161">
        <f>'бюджет округа (района)'!BB122</f>
        <v>0</v>
      </c>
      <c r="DC121" s="161">
        <f t="shared" si="654"/>
        <v>0</v>
      </c>
      <c r="DD121" s="161">
        <f t="shared" ref="DD121" si="666">DB121-$F121</f>
        <v>0</v>
      </c>
      <c r="DE121" s="162" t="s">
        <v>51</v>
      </c>
      <c r="DF121" s="162" t="s">
        <v>51</v>
      </c>
      <c r="DG121" s="161">
        <f>'бюджет округа (района)'!BE122+'бюджеты поселений'!BE122</f>
        <v>0</v>
      </c>
      <c r="DH121" s="161">
        <f>'бюджет округа (района)'!BE122</f>
        <v>0</v>
      </c>
      <c r="DI121" s="161">
        <f t="shared" si="656"/>
        <v>0</v>
      </c>
      <c r="DJ121" s="161">
        <f t="shared" ref="DJ121" si="667">DH121-$F121</f>
        <v>0</v>
      </c>
      <c r="DK121" s="162" t="s">
        <v>51</v>
      </c>
      <c r="DL121" s="162" t="s">
        <v>51</v>
      </c>
      <c r="DM121" s="161">
        <f>'бюджет округа (района)'!BH122+'бюджеты поселений'!BH122</f>
        <v>0</v>
      </c>
      <c r="DN121" s="161">
        <f>'бюджет округа (района)'!BH122</f>
        <v>0</v>
      </c>
      <c r="DO121" s="161">
        <f>'бюджет округа (района)'!BI122+'бюджеты поселений'!BI122</f>
        <v>0</v>
      </c>
      <c r="DP121" s="161">
        <f>'бюджет округа (района)'!BI122</f>
        <v>0</v>
      </c>
      <c r="DQ121" s="161">
        <f>'бюджет округа (района)'!BJ122+'бюджеты поселений'!BJ122</f>
        <v>0</v>
      </c>
      <c r="DR121" s="161">
        <f>'бюджет округа (района)'!BJ122</f>
        <v>0</v>
      </c>
      <c r="DS121" s="162" t="s">
        <v>51</v>
      </c>
      <c r="DT121" s="162" t="s">
        <v>51</v>
      </c>
      <c r="DU121" s="162">
        <f t="shared" si="616"/>
        <v>1</v>
      </c>
      <c r="DV121" s="162">
        <f t="shared" si="617"/>
        <v>1</v>
      </c>
      <c r="DW121" s="171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65"/>
      <c r="IZ121" s="65"/>
      <c r="JA121" s="65"/>
      <c r="JB121" s="65"/>
      <c r="JC121" s="65"/>
      <c r="JD121" s="65"/>
      <c r="JE121" s="65"/>
      <c r="JF121" s="65"/>
      <c r="JG121" s="65"/>
      <c r="JH121" s="65"/>
    </row>
    <row r="122" spans="1:268" s="66" customFormat="1" ht="18.75" customHeight="1">
      <c r="A122" s="277" t="s">
        <v>129</v>
      </c>
      <c r="B122" s="278"/>
      <c r="C122" s="138">
        <f>'бюджет округа (района)'!C123+'бюджеты поселений'!C123</f>
        <v>0</v>
      </c>
      <c r="D122" s="138">
        <f>'бюджет округа (района)'!C123</f>
        <v>0</v>
      </c>
      <c r="E122" s="138">
        <f t="shared" si="658"/>
        <v>0</v>
      </c>
      <c r="F122" s="138">
        <f t="shared" si="658"/>
        <v>0</v>
      </c>
      <c r="G122" s="138">
        <f>'бюджет округа (района)'!E123+'бюджеты поселений'!E123</f>
        <v>0</v>
      </c>
      <c r="H122" s="138">
        <f>'бюджет округа (района)'!E123</f>
        <v>0</v>
      </c>
      <c r="I122" s="138">
        <f>'бюджет округа (района)'!F123+'бюджеты поселений'!F123</f>
        <v>0</v>
      </c>
      <c r="J122" s="138">
        <f>'бюджет округа (района)'!F123</f>
        <v>0</v>
      </c>
      <c r="K122" s="138">
        <f t="shared" si="618"/>
        <v>0</v>
      </c>
      <c r="L122" s="138">
        <f t="shared" si="619"/>
        <v>0</v>
      </c>
      <c r="M122" s="138">
        <f>'бюджет округа (района)'!H123+'бюджеты поселений'!H123</f>
        <v>0</v>
      </c>
      <c r="N122" s="138">
        <f>'бюджет округа (района)'!H123</f>
        <v>0</v>
      </c>
      <c r="O122" s="138">
        <f t="shared" si="620"/>
        <v>0</v>
      </c>
      <c r="P122" s="138">
        <f t="shared" si="621"/>
        <v>0</v>
      </c>
      <c r="Q122" s="138">
        <f>'бюджет округа (района)'!J123+'бюджеты поселений'!J123</f>
        <v>0</v>
      </c>
      <c r="R122" s="138">
        <f>'бюджет округа (района)'!J123</f>
        <v>0</v>
      </c>
      <c r="S122" s="138">
        <f t="shared" si="622"/>
        <v>0</v>
      </c>
      <c r="T122" s="138">
        <f t="shared" si="623"/>
        <v>0</v>
      </c>
      <c r="U122" s="138">
        <f>'бюджет округа (района)'!L123+'бюджеты поселений'!L123</f>
        <v>0</v>
      </c>
      <c r="V122" s="138">
        <f>'бюджет округа (района)'!L123</f>
        <v>0</v>
      </c>
      <c r="W122" s="138">
        <f t="shared" si="624"/>
        <v>0</v>
      </c>
      <c r="X122" s="138">
        <f t="shared" si="625"/>
        <v>0</v>
      </c>
      <c r="Y122" s="138">
        <f>'бюджет округа (района)'!N123+'бюджеты поселений'!N123</f>
        <v>0</v>
      </c>
      <c r="Z122" s="138">
        <f>'бюджет округа (района)'!N123</f>
        <v>0</v>
      </c>
      <c r="AA122" s="138">
        <f t="shared" si="626"/>
        <v>0</v>
      </c>
      <c r="AB122" s="138">
        <f t="shared" si="627"/>
        <v>0</v>
      </c>
      <c r="AC122" s="138">
        <f>'бюджет округа (района)'!P123+'бюджеты поселений'!P123</f>
        <v>0</v>
      </c>
      <c r="AD122" s="138">
        <f>'бюджет округа (района)'!P123</f>
        <v>0</v>
      </c>
      <c r="AE122" s="138">
        <f t="shared" si="628"/>
        <v>0</v>
      </c>
      <c r="AF122" s="138">
        <f t="shared" si="629"/>
        <v>0</v>
      </c>
      <c r="AG122" s="138">
        <f>'бюджет округа (района)'!R123+'бюджеты поселений'!R123</f>
        <v>0</v>
      </c>
      <c r="AH122" s="138">
        <f>'бюджет округа (района)'!R123</f>
        <v>0</v>
      </c>
      <c r="AI122" s="138">
        <f t="shared" si="630"/>
        <v>0</v>
      </c>
      <c r="AJ122" s="138">
        <f t="shared" si="631"/>
        <v>0</v>
      </c>
      <c r="AK122" s="138">
        <f>'бюджет округа (района)'!T123+'бюджеты поселений'!T123</f>
        <v>0</v>
      </c>
      <c r="AL122" s="138">
        <f>'бюджет округа (района)'!T123</f>
        <v>0</v>
      </c>
      <c r="AM122" s="138">
        <f t="shared" si="632"/>
        <v>0</v>
      </c>
      <c r="AN122" s="138">
        <f t="shared" si="633"/>
        <v>0</v>
      </c>
      <c r="AO122" s="138">
        <f>'бюджет округа (района)'!V123+'бюджеты поселений'!V123</f>
        <v>0</v>
      </c>
      <c r="AP122" s="138">
        <f>'бюджет округа (района)'!V123</f>
        <v>0</v>
      </c>
      <c r="AQ122" s="138">
        <f t="shared" si="634"/>
        <v>0</v>
      </c>
      <c r="AR122" s="138">
        <f t="shared" si="635"/>
        <v>0</v>
      </c>
      <c r="AS122" s="138">
        <f>'бюджет округа (района)'!X123+'бюджеты поселений'!X123</f>
        <v>0</v>
      </c>
      <c r="AT122" s="138">
        <f>'бюджет округа (района)'!X123</f>
        <v>0</v>
      </c>
      <c r="AU122" s="138">
        <f t="shared" si="636"/>
        <v>0</v>
      </c>
      <c r="AV122" s="138">
        <f t="shared" si="637"/>
        <v>0</v>
      </c>
      <c r="AW122" s="138">
        <f>'бюджет округа (района)'!Z123+'бюджеты поселений'!Z123</f>
        <v>0</v>
      </c>
      <c r="AX122" s="138">
        <f>'бюджет округа (района)'!Z123</f>
        <v>0</v>
      </c>
      <c r="AY122" s="138" t="e">
        <f>'бюджет округа (района)'!AA123+'бюджеты поселений'!AA123</f>
        <v>#VALUE!</v>
      </c>
      <c r="AZ122" s="138" t="str">
        <f>'бюджет округа (района)'!AA123</f>
        <v>x</v>
      </c>
      <c r="BA122" s="162" t="s">
        <v>51</v>
      </c>
      <c r="BB122" s="162" t="s">
        <v>51</v>
      </c>
      <c r="BC122" s="138">
        <f>'бюджет округа (района)'!AC123+'бюджеты поселений'!AC123</f>
        <v>0</v>
      </c>
      <c r="BD122" s="138">
        <f>'бюджет округа (района)'!AC123</f>
        <v>0</v>
      </c>
      <c r="BE122" s="138">
        <f>'бюджет округа (района)'!AD123+'бюджеты поселений'!AD123</f>
        <v>0</v>
      </c>
      <c r="BF122" s="138">
        <f>'бюджет округа (района)'!AD123</f>
        <v>0</v>
      </c>
      <c r="BG122" s="138">
        <f t="shared" si="638"/>
        <v>0</v>
      </c>
      <c r="BH122" s="138">
        <f>BF122-$F122</f>
        <v>0</v>
      </c>
      <c r="BI122" s="162" t="s">
        <v>51</v>
      </c>
      <c r="BJ122" s="162" t="s">
        <v>51</v>
      </c>
      <c r="BK122" s="138">
        <f>'бюджет округа (района)'!AG123+'бюджеты поселений'!AG123</f>
        <v>0</v>
      </c>
      <c r="BL122" s="138">
        <f>'бюджет округа (района)'!AG123</f>
        <v>0</v>
      </c>
      <c r="BM122" s="138">
        <f t="shared" si="640"/>
        <v>0</v>
      </c>
      <c r="BN122" s="138">
        <f>BL122-$F122</f>
        <v>0</v>
      </c>
      <c r="BO122" s="162" t="s">
        <v>51</v>
      </c>
      <c r="BP122" s="162" t="s">
        <v>51</v>
      </c>
      <c r="BQ122" s="138">
        <f>'бюджет округа (района)'!AJ123+'бюджеты поселений'!AJ123</f>
        <v>0</v>
      </c>
      <c r="BR122" s="138">
        <f>'бюджет округа (района)'!AJ123</f>
        <v>0</v>
      </c>
      <c r="BS122" s="138">
        <f t="shared" si="642"/>
        <v>0</v>
      </c>
      <c r="BT122" s="138">
        <f>BR122-$F122</f>
        <v>0</v>
      </c>
      <c r="BU122" s="162" t="s">
        <v>51</v>
      </c>
      <c r="BV122" s="162" t="s">
        <v>51</v>
      </c>
      <c r="BW122" s="138">
        <f>'бюджет округа (района)'!AM123+'бюджеты поселений'!AM123</f>
        <v>0</v>
      </c>
      <c r="BX122" s="138">
        <f>'бюджет округа (района)'!AM123</f>
        <v>0</v>
      </c>
      <c r="BY122" s="138">
        <f t="shared" si="644"/>
        <v>0</v>
      </c>
      <c r="BZ122" s="138">
        <f>BX122-$F122</f>
        <v>0</v>
      </c>
      <c r="CA122" s="162" t="s">
        <v>51</v>
      </c>
      <c r="CB122" s="162" t="s">
        <v>51</v>
      </c>
      <c r="CC122" s="138">
        <f>'бюджет округа (района)'!AP123+'бюджеты поселений'!AP123</f>
        <v>0</v>
      </c>
      <c r="CD122" s="138">
        <f>'бюджет округа (района)'!AP123</f>
        <v>0</v>
      </c>
      <c r="CE122" s="138">
        <f t="shared" si="646"/>
        <v>0</v>
      </c>
      <c r="CF122" s="138">
        <f>CD122-$F122</f>
        <v>0</v>
      </c>
      <c r="CG122" s="162" t="s">
        <v>51</v>
      </c>
      <c r="CH122" s="162" t="s">
        <v>51</v>
      </c>
      <c r="CI122" s="138">
        <f>'бюджет округа (района)'!AS123+'бюджеты поселений'!AS123</f>
        <v>0</v>
      </c>
      <c r="CJ122" s="138">
        <f>'бюджет округа (района)'!AS123</f>
        <v>0</v>
      </c>
      <c r="CK122" s="138">
        <f t="shared" si="648"/>
        <v>0</v>
      </c>
      <c r="CL122" s="138">
        <f>CJ122-$F122</f>
        <v>0</v>
      </c>
      <c r="CM122" s="162" t="s">
        <v>51</v>
      </c>
      <c r="CN122" s="162" t="s">
        <v>51</v>
      </c>
      <c r="CO122" s="138">
        <f>'бюджет округа (района)'!AV123+'бюджеты поселений'!AV123</f>
        <v>0</v>
      </c>
      <c r="CP122" s="138">
        <f>'бюджет округа (района)'!AV123</f>
        <v>0</v>
      </c>
      <c r="CQ122" s="138">
        <f t="shared" si="650"/>
        <v>0</v>
      </c>
      <c r="CR122" s="138">
        <f>CP122-$F122</f>
        <v>0</v>
      </c>
      <c r="CS122" s="162" t="s">
        <v>51</v>
      </c>
      <c r="CT122" s="162" t="s">
        <v>51</v>
      </c>
      <c r="CU122" s="138">
        <f>'бюджет округа (района)'!AY123+'бюджеты поселений'!AY123</f>
        <v>0</v>
      </c>
      <c r="CV122" s="138">
        <f>'бюджет округа (района)'!AY123</f>
        <v>0</v>
      </c>
      <c r="CW122" s="138">
        <f t="shared" si="652"/>
        <v>0</v>
      </c>
      <c r="CX122" s="138">
        <f>CV122-$F122</f>
        <v>0</v>
      </c>
      <c r="CY122" s="162" t="s">
        <v>51</v>
      </c>
      <c r="CZ122" s="162" t="s">
        <v>51</v>
      </c>
      <c r="DA122" s="138">
        <f>'бюджет округа (района)'!BB123+'бюджеты поселений'!BB123</f>
        <v>0</v>
      </c>
      <c r="DB122" s="138">
        <f>'бюджет округа (района)'!BB123</f>
        <v>0</v>
      </c>
      <c r="DC122" s="138">
        <f t="shared" si="654"/>
        <v>0</v>
      </c>
      <c r="DD122" s="138">
        <f>DB122-$F122</f>
        <v>0</v>
      </c>
      <c r="DE122" s="162" t="s">
        <v>51</v>
      </c>
      <c r="DF122" s="162" t="s">
        <v>51</v>
      </c>
      <c r="DG122" s="138">
        <f>'бюджет округа (района)'!BE123+'бюджеты поселений'!BE123</f>
        <v>0</v>
      </c>
      <c r="DH122" s="138">
        <f>'бюджет округа (района)'!BE123</f>
        <v>0</v>
      </c>
      <c r="DI122" s="138">
        <f t="shared" si="656"/>
        <v>0</v>
      </c>
      <c r="DJ122" s="138">
        <f>DH122-$F122</f>
        <v>0</v>
      </c>
      <c r="DK122" s="162" t="s">
        <v>51</v>
      </c>
      <c r="DL122" s="162" t="s">
        <v>51</v>
      </c>
      <c r="DM122" s="138">
        <f>'бюджет округа (района)'!BH123+'бюджеты поселений'!BH123</f>
        <v>0</v>
      </c>
      <c r="DN122" s="138">
        <f>'бюджет округа (района)'!BH123</f>
        <v>0</v>
      </c>
      <c r="DO122" s="138">
        <f>'бюджет округа (района)'!BI123+'бюджеты поселений'!BI123</f>
        <v>0</v>
      </c>
      <c r="DP122" s="138">
        <f>'бюджет округа (района)'!BI123</f>
        <v>0</v>
      </c>
      <c r="DQ122" s="138">
        <f>'бюджет округа (района)'!BJ123+'бюджеты поселений'!BJ123</f>
        <v>0</v>
      </c>
      <c r="DR122" s="138">
        <f>'бюджет округа (района)'!BJ123</f>
        <v>0</v>
      </c>
      <c r="DS122" s="162" t="s">
        <v>51</v>
      </c>
      <c r="DT122" s="162" t="s">
        <v>51</v>
      </c>
      <c r="DU122" s="162">
        <f t="shared" si="616"/>
        <v>1</v>
      </c>
      <c r="DV122" s="162">
        <f t="shared" si="617"/>
        <v>1</v>
      </c>
      <c r="DW122" s="171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  <c r="IW122" s="65"/>
      <c r="IX122" s="65"/>
      <c r="IY122" s="65"/>
      <c r="IZ122" s="65"/>
      <c r="JA122" s="65"/>
      <c r="JB122" s="65"/>
      <c r="JC122" s="65"/>
      <c r="JD122" s="65"/>
      <c r="JE122" s="65"/>
      <c r="JF122" s="65"/>
      <c r="JG122" s="65"/>
      <c r="JH122" s="65"/>
    </row>
    <row r="123" spans="1:268" s="87" customFormat="1" ht="35.25" customHeight="1">
      <c r="A123" s="279" t="s">
        <v>77</v>
      </c>
      <c r="B123" s="280"/>
      <c r="C123" s="130">
        <f>'бюджет округа (района)'!C124+'бюджеты поселений'!C124</f>
        <v>0</v>
      </c>
      <c r="D123" s="130">
        <f>'бюджет округа (района)'!C124</f>
        <v>0</v>
      </c>
      <c r="E123" s="130">
        <f t="shared" si="658"/>
        <v>0</v>
      </c>
      <c r="F123" s="130">
        <f t="shared" si="658"/>
        <v>0</v>
      </c>
      <c r="G123" s="130">
        <f>'бюджет округа (района)'!E124+'бюджеты поселений'!E124</f>
        <v>0</v>
      </c>
      <c r="H123" s="130">
        <f>'бюджет округа (района)'!E124</f>
        <v>0</v>
      </c>
      <c r="I123" s="130">
        <f>'бюджет округа (района)'!F124+'бюджеты поселений'!F124</f>
        <v>0</v>
      </c>
      <c r="J123" s="130">
        <f>'бюджет округа (района)'!F124</f>
        <v>0</v>
      </c>
      <c r="K123" s="130">
        <f t="shared" si="618"/>
        <v>0</v>
      </c>
      <c r="L123" s="130">
        <f t="shared" si="619"/>
        <v>0</v>
      </c>
      <c r="M123" s="130">
        <f>'бюджет округа (района)'!H124+'бюджеты поселений'!H124</f>
        <v>0</v>
      </c>
      <c r="N123" s="130">
        <f>'бюджет округа (района)'!H124</f>
        <v>0</v>
      </c>
      <c r="O123" s="130">
        <f t="shared" si="620"/>
        <v>0</v>
      </c>
      <c r="P123" s="130">
        <f t="shared" si="621"/>
        <v>0</v>
      </c>
      <c r="Q123" s="130">
        <f>'бюджет округа (района)'!J124+'бюджеты поселений'!J124</f>
        <v>0</v>
      </c>
      <c r="R123" s="130">
        <f>'бюджет округа (района)'!J124</f>
        <v>0</v>
      </c>
      <c r="S123" s="130">
        <f t="shared" si="622"/>
        <v>0</v>
      </c>
      <c r="T123" s="130">
        <f t="shared" si="623"/>
        <v>0</v>
      </c>
      <c r="U123" s="130">
        <f>'бюджет округа (района)'!L124+'бюджеты поселений'!L124</f>
        <v>0</v>
      </c>
      <c r="V123" s="130">
        <f>'бюджет округа (района)'!L124</f>
        <v>0</v>
      </c>
      <c r="W123" s="130">
        <f t="shared" si="624"/>
        <v>0</v>
      </c>
      <c r="X123" s="130">
        <f t="shared" si="625"/>
        <v>0</v>
      </c>
      <c r="Y123" s="130">
        <f>'бюджет округа (района)'!N124+'бюджеты поселений'!N124</f>
        <v>0</v>
      </c>
      <c r="Z123" s="130">
        <f>'бюджет округа (района)'!N124</f>
        <v>0</v>
      </c>
      <c r="AA123" s="130">
        <f t="shared" si="626"/>
        <v>0</v>
      </c>
      <c r="AB123" s="130">
        <f t="shared" si="627"/>
        <v>0</v>
      </c>
      <c r="AC123" s="130">
        <f>'бюджет округа (района)'!P124+'бюджеты поселений'!P124</f>
        <v>0</v>
      </c>
      <c r="AD123" s="130">
        <f>'бюджет округа (района)'!P124</f>
        <v>0</v>
      </c>
      <c r="AE123" s="130">
        <f t="shared" si="628"/>
        <v>0</v>
      </c>
      <c r="AF123" s="130">
        <f t="shared" si="629"/>
        <v>0</v>
      </c>
      <c r="AG123" s="130">
        <f>'бюджет округа (района)'!R124+'бюджеты поселений'!R124</f>
        <v>0</v>
      </c>
      <c r="AH123" s="130">
        <f>'бюджет округа (района)'!R124</f>
        <v>0</v>
      </c>
      <c r="AI123" s="130">
        <f t="shared" si="630"/>
        <v>0</v>
      </c>
      <c r="AJ123" s="130">
        <f t="shared" si="631"/>
        <v>0</v>
      </c>
      <c r="AK123" s="130">
        <f>'бюджет округа (района)'!T124+'бюджеты поселений'!T124</f>
        <v>0</v>
      </c>
      <c r="AL123" s="130">
        <f>'бюджет округа (района)'!T124</f>
        <v>0</v>
      </c>
      <c r="AM123" s="130">
        <f t="shared" si="632"/>
        <v>0</v>
      </c>
      <c r="AN123" s="130">
        <f t="shared" si="633"/>
        <v>0</v>
      </c>
      <c r="AO123" s="130">
        <f>'бюджет округа (района)'!V124+'бюджеты поселений'!V124</f>
        <v>0</v>
      </c>
      <c r="AP123" s="130">
        <f>'бюджет округа (района)'!V124</f>
        <v>0</v>
      </c>
      <c r="AQ123" s="130">
        <f t="shared" si="634"/>
        <v>0</v>
      </c>
      <c r="AR123" s="130">
        <f t="shared" si="635"/>
        <v>0</v>
      </c>
      <c r="AS123" s="130">
        <f>'бюджет округа (района)'!X124+'бюджеты поселений'!X124</f>
        <v>0</v>
      </c>
      <c r="AT123" s="130">
        <f>'бюджет округа (района)'!X124</f>
        <v>0</v>
      </c>
      <c r="AU123" s="130">
        <f t="shared" si="636"/>
        <v>0</v>
      </c>
      <c r="AV123" s="130">
        <f t="shared" si="637"/>
        <v>0</v>
      </c>
      <c r="AW123" s="130">
        <f>'бюджет округа (района)'!Z124+'бюджеты поселений'!Z124</f>
        <v>0</v>
      </c>
      <c r="AX123" s="130">
        <f>'бюджет округа (района)'!Z124</f>
        <v>0</v>
      </c>
      <c r="AY123" s="130" t="e">
        <f>'бюджет округа (района)'!AA124+'бюджеты поселений'!AA124</f>
        <v>#VALUE!</v>
      </c>
      <c r="AZ123" s="130" t="str">
        <f>'бюджет округа (района)'!AA124</f>
        <v>x</v>
      </c>
      <c r="BA123" s="143" t="s">
        <v>51</v>
      </c>
      <c r="BB123" s="143" t="s">
        <v>51</v>
      </c>
      <c r="BC123" s="130">
        <f>'бюджет округа (района)'!AC124+'бюджеты поселений'!AC124</f>
        <v>0</v>
      </c>
      <c r="BD123" s="130">
        <f>'бюджет округа (района)'!AC124</f>
        <v>0</v>
      </c>
      <c r="BE123" s="130">
        <f>'бюджет округа (района)'!AD124+'бюджеты поселений'!AD124</f>
        <v>0</v>
      </c>
      <c r="BF123" s="130">
        <f>'бюджет округа (района)'!AD124</f>
        <v>0</v>
      </c>
      <c r="BG123" s="130">
        <f t="shared" si="638"/>
        <v>0</v>
      </c>
      <c r="BH123" s="130">
        <f t="shared" si="639"/>
        <v>0</v>
      </c>
      <c r="BI123" s="143" t="s">
        <v>51</v>
      </c>
      <c r="BJ123" s="143" t="s">
        <v>51</v>
      </c>
      <c r="BK123" s="130">
        <f>'бюджет округа (района)'!AG124+'бюджеты поселений'!AG124</f>
        <v>0</v>
      </c>
      <c r="BL123" s="130">
        <f>'бюджет округа (района)'!AG124</f>
        <v>0</v>
      </c>
      <c r="BM123" s="130">
        <f t="shared" si="640"/>
        <v>0</v>
      </c>
      <c r="BN123" s="130">
        <f t="shared" ref="BN123:BN130" si="668">BL123-$F123</f>
        <v>0</v>
      </c>
      <c r="BO123" s="143" t="s">
        <v>51</v>
      </c>
      <c r="BP123" s="143" t="s">
        <v>51</v>
      </c>
      <c r="BQ123" s="130">
        <f>'бюджет округа (района)'!AJ124+'бюджеты поселений'!AJ124</f>
        <v>0</v>
      </c>
      <c r="BR123" s="130">
        <f>'бюджет округа (района)'!AJ124</f>
        <v>0</v>
      </c>
      <c r="BS123" s="130">
        <f t="shared" si="642"/>
        <v>0</v>
      </c>
      <c r="BT123" s="130">
        <f t="shared" ref="BT123:BT130" si="669">BR123-$F123</f>
        <v>0</v>
      </c>
      <c r="BU123" s="143" t="s">
        <v>51</v>
      </c>
      <c r="BV123" s="143" t="s">
        <v>51</v>
      </c>
      <c r="BW123" s="130">
        <f>'бюджет округа (района)'!AM124+'бюджеты поселений'!AM124</f>
        <v>0</v>
      </c>
      <c r="BX123" s="130">
        <f>'бюджет округа (района)'!AM124</f>
        <v>0</v>
      </c>
      <c r="BY123" s="130">
        <f t="shared" si="644"/>
        <v>0</v>
      </c>
      <c r="BZ123" s="130">
        <f t="shared" ref="BZ123:BZ130" si="670">BX123-$F123</f>
        <v>0</v>
      </c>
      <c r="CA123" s="143" t="s">
        <v>51</v>
      </c>
      <c r="CB123" s="143" t="s">
        <v>51</v>
      </c>
      <c r="CC123" s="130">
        <f>'бюджет округа (района)'!AP124+'бюджеты поселений'!AP124</f>
        <v>0</v>
      </c>
      <c r="CD123" s="130">
        <f>'бюджет округа (района)'!AP124</f>
        <v>0</v>
      </c>
      <c r="CE123" s="130">
        <f t="shared" si="646"/>
        <v>0</v>
      </c>
      <c r="CF123" s="130">
        <f t="shared" ref="CF123:CF130" si="671">CD123-$F123</f>
        <v>0</v>
      </c>
      <c r="CG123" s="143" t="s">
        <v>51</v>
      </c>
      <c r="CH123" s="143" t="s">
        <v>51</v>
      </c>
      <c r="CI123" s="130">
        <f>'бюджет округа (района)'!AS124+'бюджеты поселений'!AS124</f>
        <v>0</v>
      </c>
      <c r="CJ123" s="130">
        <f>'бюджет округа (района)'!AS124</f>
        <v>0</v>
      </c>
      <c r="CK123" s="130">
        <f t="shared" si="648"/>
        <v>0</v>
      </c>
      <c r="CL123" s="130">
        <f t="shared" ref="CL123:CL130" si="672">CJ123-$F123</f>
        <v>0</v>
      </c>
      <c r="CM123" s="143" t="s">
        <v>51</v>
      </c>
      <c r="CN123" s="143" t="s">
        <v>51</v>
      </c>
      <c r="CO123" s="130">
        <f>'бюджет округа (района)'!AV124+'бюджеты поселений'!AV124</f>
        <v>0</v>
      </c>
      <c r="CP123" s="130">
        <f>'бюджет округа (района)'!AV124</f>
        <v>0</v>
      </c>
      <c r="CQ123" s="130">
        <f t="shared" si="650"/>
        <v>0</v>
      </c>
      <c r="CR123" s="130">
        <f t="shared" ref="CR123:CR130" si="673">CP123-$F123</f>
        <v>0</v>
      </c>
      <c r="CS123" s="143" t="s">
        <v>51</v>
      </c>
      <c r="CT123" s="143" t="s">
        <v>51</v>
      </c>
      <c r="CU123" s="130">
        <f>'бюджет округа (района)'!AY124+'бюджеты поселений'!AY124</f>
        <v>0</v>
      </c>
      <c r="CV123" s="130">
        <f>'бюджет округа (района)'!AY124</f>
        <v>0</v>
      </c>
      <c r="CW123" s="130">
        <f t="shared" si="652"/>
        <v>0</v>
      </c>
      <c r="CX123" s="130">
        <f t="shared" ref="CX123:CX130" si="674">CV123-$F123</f>
        <v>0</v>
      </c>
      <c r="CY123" s="143" t="s">
        <v>51</v>
      </c>
      <c r="CZ123" s="143" t="s">
        <v>51</v>
      </c>
      <c r="DA123" s="130">
        <f>'бюджет округа (района)'!BB124+'бюджеты поселений'!BB124</f>
        <v>0</v>
      </c>
      <c r="DB123" s="130">
        <f>'бюджет округа (района)'!BB124</f>
        <v>0</v>
      </c>
      <c r="DC123" s="130">
        <f t="shared" si="654"/>
        <v>0</v>
      </c>
      <c r="DD123" s="130">
        <f t="shared" ref="DD123:DD130" si="675">DB123-$F123</f>
        <v>0</v>
      </c>
      <c r="DE123" s="143" t="s">
        <v>51</v>
      </c>
      <c r="DF123" s="143" t="s">
        <v>51</v>
      </c>
      <c r="DG123" s="130">
        <f>'бюджет округа (района)'!BE124+'бюджеты поселений'!BE124</f>
        <v>0</v>
      </c>
      <c r="DH123" s="130">
        <f>'бюджет округа (района)'!BE124</f>
        <v>0</v>
      </c>
      <c r="DI123" s="130">
        <f t="shared" si="656"/>
        <v>0</v>
      </c>
      <c r="DJ123" s="130">
        <f t="shared" ref="DJ123:DJ130" si="676">DH123-$F123</f>
        <v>0</v>
      </c>
      <c r="DK123" s="143" t="s">
        <v>51</v>
      </c>
      <c r="DL123" s="143" t="s">
        <v>51</v>
      </c>
      <c r="DM123" s="130">
        <f>'бюджет округа (района)'!BH124+'бюджеты поселений'!BH124</f>
        <v>0</v>
      </c>
      <c r="DN123" s="130">
        <f>'бюджет округа (района)'!BH124</f>
        <v>0</v>
      </c>
      <c r="DO123" s="130">
        <f>'бюджет округа (района)'!BI124+'бюджеты поселений'!BI124</f>
        <v>0</v>
      </c>
      <c r="DP123" s="130">
        <f>'бюджет округа (района)'!BI124</f>
        <v>0</v>
      </c>
      <c r="DQ123" s="130">
        <f>'бюджет округа (района)'!BJ124+'бюджеты поселений'!BJ124</f>
        <v>0</v>
      </c>
      <c r="DR123" s="130">
        <f>'бюджет округа (района)'!BJ124</f>
        <v>0</v>
      </c>
      <c r="DS123" s="143" t="s">
        <v>51</v>
      </c>
      <c r="DT123" s="143" t="s">
        <v>51</v>
      </c>
      <c r="DU123" s="143">
        <f t="shared" si="616"/>
        <v>1</v>
      </c>
      <c r="DV123" s="143">
        <f t="shared" si="617"/>
        <v>1</v>
      </c>
      <c r="DW123" s="172"/>
      <c r="DX123" s="88"/>
      <c r="DY123" s="88"/>
      <c r="DZ123" s="88"/>
      <c r="EA123" s="88"/>
      <c r="EB123" s="88"/>
      <c r="EC123" s="88"/>
      <c r="ED123" s="88"/>
      <c r="EE123" s="88"/>
      <c r="EF123" s="88"/>
      <c r="EG123" s="88"/>
      <c r="EH123" s="88"/>
      <c r="EI123" s="88"/>
      <c r="EJ123" s="88"/>
      <c r="EK123" s="88"/>
      <c r="EL123" s="88"/>
      <c r="EM123" s="88"/>
      <c r="EN123" s="88"/>
      <c r="EO123" s="88"/>
      <c r="EP123" s="88"/>
      <c r="EQ123" s="88"/>
      <c r="ER123" s="88"/>
      <c r="ES123" s="88"/>
      <c r="ET123" s="88"/>
      <c r="EU123" s="88"/>
      <c r="EV123" s="88"/>
      <c r="EW123" s="88"/>
      <c r="EX123" s="88"/>
      <c r="EY123" s="88"/>
      <c r="EZ123" s="88"/>
      <c r="FA123" s="88"/>
      <c r="FB123" s="88"/>
      <c r="FC123" s="88"/>
      <c r="FD123" s="88"/>
      <c r="FE123" s="88"/>
      <c r="FF123" s="88"/>
      <c r="FG123" s="88"/>
      <c r="FH123" s="88"/>
      <c r="FI123" s="88"/>
      <c r="FJ123" s="88"/>
      <c r="FK123" s="88"/>
      <c r="FL123" s="88"/>
      <c r="FM123" s="88"/>
      <c r="FN123" s="88"/>
      <c r="FO123" s="88"/>
      <c r="FP123" s="88"/>
      <c r="FQ123" s="88"/>
      <c r="FR123" s="88"/>
      <c r="FS123" s="88"/>
      <c r="FT123" s="88"/>
      <c r="FU123" s="88"/>
      <c r="FV123" s="88"/>
      <c r="FW123" s="88"/>
      <c r="FX123" s="88"/>
      <c r="FY123" s="88"/>
      <c r="FZ123" s="88"/>
      <c r="GA123" s="88"/>
      <c r="GB123" s="88"/>
      <c r="GC123" s="88"/>
      <c r="GD123" s="88"/>
      <c r="GE123" s="88"/>
      <c r="GF123" s="88"/>
      <c r="GG123" s="88"/>
      <c r="GH123" s="88"/>
      <c r="GI123" s="88"/>
      <c r="GJ123" s="88"/>
      <c r="GK123" s="88"/>
      <c r="GL123" s="88"/>
      <c r="GM123" s="88"/>
      <c r="GN123" s="88"/>
      <c r="GO123" s="88"/>
      <c r="GP123" s="88"/>
      <c r="GQ123" s="88"/>
      <c r="GR123" s="88"/>
      <c r="GS123" s="88"/>
      <c r="GT123" s="88"/>
      <c r="GU123" s="88"/>
      <c r="GV123" s="88"/>
      <c r="GW123" s="88"/>
      <c r="GX123" s="88"/>
      <c r="GY123" s="88"/>
      <c r="GZ123" s="88"/>
      <c r="HA123" s="88"/>
      <c r="HB123" s="88"/>
      <c r="HC123" s="88"/>
      <c r="HD123" s="88"/>
      <c r="HE123" s="88"/>
      <c r="HF123" s="88"/>
      <c r="HG123" s="88"/>
      <c r="HH123" s="88"/>
      <c r="HI123" s="88"/>
      <c r="HJ123" s="88"/>
      <c r="HK123" s="88"/>
      <c r="HL123" s="88"/>
      <c r="HM123" s="88"/>
      <c r="HN123" s="88"/>
      <c r="HO123" s="88"/>
      <c r="HP123" s="88"/>
      <c r="HQ123" s="88"/>
      <c r="HR123" s="88"/>
      <c r="HS123" s="88"/>
      <c r="HT123" s="88"/>
      <c r="HU123" s="88"/>
      <c r="HV123" s="88"/>
      <c r="HW123" s="88"/>
      <c r="HX123" s="88"/>
      <c r="HY123" s="88"/>
      <c r="HZ123" s="88"/>
      <c r="IA123" s="88"/>
      <c r="IB123" s="88"/>
      <c r="IC123" s="88"/>
      <c r="ID123" s="88"/>
      <c r="IE123" s="88"/>
      <c r="IF123" s="88"/>
      <c r="IG123" s="88"/>
      <c r="IH123" s="88"/>
      <c r="II123" s="88"/>
      <c r="IJ123" s="88"/>
      <c r="IK123" s="88"/>
      <c r="IL123" s="88"/>
      <c r="IM123" s="88"/>
      <c r="IN123" s="88"/>
      <c r="IO123" s="88"/>
      <c r="IP123" s="88"/>
      <c r="IQ123" s="88"/>
      <c r="IR123" s="88"/>
      <c r="IS123" s="88"/>
      <c r="IT123" s="88"/>
      <c r="IU123" s="88"/>
      <c r="IV123" s="88"/>
      <c r="IW123" s="88"/>
      <c r="IX123" s="88"/>
      <c r="IY123" s="88"/>
      <c r="IZ123" s="88"/>
      <c r="JA123" s="88"/>
      <c r="JB123" s="88"/>
      <c r="JC123" s="88"/>
      <c r="JD123" s="88"/>
      <c r="JE123" s="88"/>
      <c r="JF123" s="88"/>
      <c r="JG123" s="88"/>
      <c r="JH123" s="88"/>
    </row>
    <row r="124" spans="1:268" s="66" customFormat="1" ht="16.5">
      <c r="A124" s="277" t="s">
        <v>75</v>
      </c>
      <c r="B124" s="278"/>
      <c r="C124" s="161">
        <f>'бюджет округа (района)'!C125+'бюджеты поселений'!C125</f>
        <v>0</v>
      </c>
      <c r="D124" s="161">
        <f>'бюджет округа (района)'!C125</f>
        <v>0</v>
      </c>
      <c r="E124" s="161">
        <f t="shared" si="658"/>
        <v>0</v>
      </c>
      <c r="F124" s="161">
        <f t="shared" si="658"/>
        <v>0</v>
      </c>
      <c r="G124" s="161">
        <f>'бюджет округа (района)'!E125+'бюджеты поселений'!E125</f>
        <v>0</v>
      </c>
      <c r="H124" s="161">
        <f>'бюджет округа (района)'!E125</f>
        <v>0</v>
      </c>
      <c r="I124" s="161">
        <f>'бюджет округа (района)'!F125+'бюджеты поселений'!F125</f>
        <v>0</v>
      </c>
      <c r="J124" s="161">
        <f>'бюджет округа (района)'!F125</f>
        <v>0</v>
      </c>
      <c r="K124" s="161">
        <f t="shared" si="618"/>
        <v>0</v>
      </c>
      <c r="L124" s="161">
        <f t="shared" si="619"/>
        <v>0</v>
      </c>
      <c r="M124" s="161">
        <f>'бюджет округа (района)'!H125+'бюджеты поселений'!H125</f>
        <v>0</v>
      </c>
      <c r="N124" s="161">
        <f>'бюджет округа (района)'!H125</f>
        <v>0</v>
      </c>
      <c r="O124" s="161">
        <f t="shared" si="620"/>
        <v>0</v>
      </c>
      <c r="P124" s="161">
        <f t="shared" si="621"/>
        <v>0</v>
      </c>
      <c r="Q124" s="161">
        <f>'бюджет округа (района)'!J125+'бюджеты поселений'!J125</f>
        <v>0</v>
      </c>
      <c r="R124" s="161">
        <f>'бюджет округа (района)'!J125</f>
        <v>0</v>
      </c>
      <c r="S124" s="161">
        <f t="shared" si="622"/>
        <v>0</v>
      </c>
      <c r="T124" s="161">
        <f t="shared" si="623"/>
        <v>0</v>
      </c>
      <c r="U124" s="161">
        <f>'бюджет округа (района)'!L125+'бюджеты поселений'!L125</f>
        <v>0</v>
      </c>
      <c r="V124" s="161">
        <f>'бюджет округа (района)'!L125</f>
        <v>0</v>
      </c>
      <c r="W124" s="161">
        <f t="shared" si="624"/>
        <v>0</v>
      </c>
      <c r="X124" s="161">
        <f t="shared" si="625"/>
        <v>0</v>
      </c>
      <c r="Y124" s="161">
        <f>'бюджет округа (района)'!N125+'бюджеты поселений'!N125</f>
        <v>0</v>
      </c>
      <c r="Z124" s="161">
        <f>'бюджет округа (района)'!N125</f>
        <v>0</v>
      </c>
      <c r="AA124" s="161">
        <f t="shared" si="626"/>
        <v>0</v>
      </c>
      <c r="AB124" s="161">
        <f t="shared" si="627"/>
        <v>0</v>
      </c>
      <c r="AC124" s="161">
        <f>'бюджет округа (района)'!P125+'бюджеты поселений'!P125</f>
        <v>0</v>
      </c>
      <c r="AD124" s="161">
        <f>'бюджет округа (района)'!P125</f>
        <v>0</v>
      </c>
      <c r="AE124" s="161">
        <f t="shared" si="628"/>
        <v>0</v>
      </c>
      <c r="AF124" s="161">
        <f t="shared" si="629"/>
        <v>0</v>
      </c>
      <c r="AG124" s="161">
        <f>'бюджет округа (района)'!R125+'бюджеты поселений'!R125</f>
        <v>0</v>
      </c>
      <c r="AH124" s="161">
        <f>'бюджет округа (района)'!R125</f>
        <v>0</v>
      </c>
      <c r="AI124" s="161">
        <f t="shared" si="630"/>
        <v>0</v>
      </c>
      <c r="AJ124" s="161">
        <f t="shared" si="631"/>
        <v>0</v>
      </c>
      <c r="AK124" s="161">
        <f>'бюджет округа (района)'!T125+'бюджеты поселений'!T125</f>
        <v>0</v>
      </c>
      <c r="AL124" s="161">
        <f>'бюджет округа (района)'!T125</f>
        <v>0</v>
      </c>
      <c r="AM124" s="161">
        <f t="shared" si="632"/>
        <v>0</v>
      </c>
      <c r="AN124" s="161">
        <f t="shared" si="633"/>
        <v>0</v>
      </c>
      <c r="AO124" s="161">
        <f>'бюджет округа (района)'!V125+'бюджеты поселений'!V125</f>
        <v>0</v>
      </c>
      <c r="AP124" s="161">
        <f>'бюджет округа (района)'!V125</f>
        <v>0</v>
      </c>
      <c r="AQ124" s="161">
        <f t="shared" si="634"/>
        <v>0</v>
      </c>
      <c r="AR124" s="161">
        <f t="shared" si="635"/>
        <v>0</v>
      </c>
      <c r="AS124" s="161">
        <f>'бюджет округа (района)'!X125+'бюджеты поселений'!X125</f>
        <v>0</v>
      </c>
      <c r="AT124" s="161">
        <f>'бюджет округа (района)'!X125</f>
        <v>0</v>
      </c>
      <c r="AU124" s="161">
        <f t="shared" si="636"/>
        <v>0</v>
      </c>
      <c r="AV124" s="161">
        <f t="shared" si="637"/>
        <v>0</v>
      </c>
      <c r="AW124" s="161">
        <f>'бюджет округа (района)'!Z125+'бюджеты поселений'!Z125</f>
        <v>0</v>
      </c>
      <c r="AX124" s="161">
        <f>'бюджет округа (района)'!Z125</f>
        <v>0</v>
      </c>
      <c r="AY124" s="161" t="e">
        <f>'бюджет округа (района)'!AA125+'бюджеты поселений'!AA125</f>
        <v>#VALUE!</v>
      </c>
      <c r="AZ124" s="161" t="str">
        <f>'бюджет округа (района)'!AA125</f>
        <v>x</v>
      </c>
      <c r="BA124" s="162" t="s">
        <v>51</v>
      </c>
      <c r="BB124" s="162" t="s">
        <v>51</v>
      </c>
      <c r="BC124" s="161">
        <f>'бюджет округа (района)'!AC125+'бюджеты поселений'!AC125</f>
        <v>0</v>
      </c>
      <c r="BD124" s="161">
        <f>'бюджет округа (района)'!AC125</f>
        <v>0</v>
      </c>
      <c r="BE124" s="161">
        <f>'бюджет округа (района)'!AD125+'бюджеты поселений'!AD125</f>
        <v>0</v>
      </c>
      <c r="BF124" s="161">
        <f>'бюджет округа (района)'!AD125</f>
        <v>0</v>
      </c>
      <c r="BG124" s="161">
        <f t="shared" si="638"/>
        <v>0</v>
      </c>
      <c r="BH124" s="161">
        <f t="shared" si="639"/>
        <v>0</v>
      </c>
      <c r="BI124" s="162" t="s">
        <v>51</v>
      </c>
      <c r="BJ124" s="162" t="s">
        <v>51</v>
      </c>
      <c r="BK124" s="161">
        <f>'бюджет округа (района)'!AG125+'бюджеты поселений'!AG125</f>
        <v>0</v>
      </c>
      <c r="BL124" s="161">
        <f>'бюджет округа (района)'!AG125</f>
        <v>0</v>
      </c>
      <c r="BM124" s="161">
        <f t="shared" si="640"/>
        <v>0</v>
      </c>
      <c r="BN124" s="161">
        <f t="shared" si="668"/>
        <v>0</v>
      </c>
      <c r="BO124" s="162" t="s">
        <v>51</v>
      </c>
      <c r="BP124" s="162" t="s">
        <v>51</v>
      </c>
      <c r="BQ124" s="161">
        <f>'бюджет округа (района)'!AJ125+'бюджеты поселений'!AJ125</f>
        <v>0</v>
      </c>
      <c r="BR124" s="161">
        <f>'бюджет округа (района)'!AJ125</f>
        <v>0</v>
      </c>
      <c r="BS124" s="161">
        <f t="shared" si="642"/>
        <v>0</v>
      </c>
      <c r="BT124" s="161">
        <f t="shared" si="669"/>
        <v>0</v>
      </c>
      <c r="BU124" s="162" t="s">
        <v>51</v>
      </c>
      <c r="BV124" s="162" t="s">
        <v>51</v>
      </c>
      <c r="BW124" s="161">
        <f>'бюджет округа (района)'!AM125+'бюджеты поселений'!AM125</f>
        <v>0</v>
      </c>
      <c r="BX124" s="161">
        <f>'бюджет округа (района)'!AM125</f>
        <v>0</v>
      </c>
      <c r="BY124" s="161">
        <f t="shared" si="644"/>
        <v>0</v>
      </c>
      <c r="BZ124" s="161">
        <f t="shared" si="670"/>
        <v>0</v>
      </c>
      <c r="CA124" s="162" t="s">
        <v>51</v>
      </c>
      <c r="CB124" s="162" t="s">
        <v>51</v>
      </c>
      <c r="CC124" s="161">
        <f>'бюджет округа (района)'!AP125+'бюджеты поселений'!AP125</f>
        <v>0</v>
      </c>
      <c r="CD124" s="161">
        <f>'бюджет округа (района)'!AP125</f>
        <v>0</v>
      </c>
      <c r="CE124" s="161">
        <f t="shared" si="646"/>
        <v>0</v>
      </c>
      <c r="CF124" s="161">
        <f t="shared" si="671"/>
        <v>0</v>
      </c>
      <c r="CG124" s="162" t="s">
        <v>51</v>
      </c>
      <c r="CH124" s="162" t="s">
        <v>51</v>
      </c>
      <c r="CI124" s="161">
        <f>'бюджет округа (района)'!AS125+'бюджеты поселений'!AS125</f>
        <v>0</v>
      </c>
      <c r="CJ124" s="161">
        <f>'бюджет округа (района)'!AS125</f>
        <v>0</v>
      </c>
      <c r="CK124" s="161">
        <f t="shared" si="648"/>
        <v>0</v>
      </c>
      <c r="CL124" s="161">
        <f t="shared" si="672"/>
        <v>0</v>
      </c>
      <c r="CM124" s="162" t="s">
        <v>51</v>
      </c>
      <c r="CN124" s="162" t="s">
        <v>51</v>
      </c>
      <c r="CO124" s="161">
        <f>'бюджет округа (района)'!AV125+'бюджеты поселений'!AV125</f>
        <v>0</v>
      </c>
      <c r="CP124" s="161">
        <f>'бюджет округа (района)'!AV125</f>
        <v>0</v>
      </c>
      <c r="CQ124" s="161">
        <f t="shared" si="650"/>
        <v>0</v>
      </c>
      <c r="CR124" s="161">
        <f t="shared" si="673"/>
        <v>0</v>
      </c>
      <c r="CS124" s="162" t="s">
        <v>51</v>
      </c>
      <c r="CT124" s="162" t="s">
        <v>51</v>
      </c>
      <c r="CU124" s="161">
        <f>'бюджет округа (района)'!AY125+'бюджеты поселений'!AY125</f>
        <v>0</v>
      </c>
      <c r="CV124" s="161">
        <f>'бюджет округа (района)'!AY125</f>
        <v>0</v>
      </c>
      <c r="CW124" s="161">
        <f t="shared" si="652"/>
        <v>0</v>
      </c>
      <c r="CX124" s="161">
        <f t="shared" si="674"/>
        <v>0</v>
      </c>
      <c r="CY124" s="162" t="s">
        <v>51</v>
      </c>
      <c r="CZ124" s="162" t="s">
        <v>51</v>
      </c>
      <c r="DA124" s="161">
        <f>'бюджет округа (района)'!BB125+'бюджеты поселений'!BB125</f>
        <v>0</v>
      </c>
      <c r="DB124" s="161">
        <f>'бюджет округа (района)'!BB125</f>
        <v>0</v>
      </c>
      <c r="DC124" s="161">
        <f t="shared" si="654"/>
        <v>0</v>
      </c>
      <c r="DD124" s="161">
        <f t="shared" si="675"/>
        <v>0</v>
      </c>
      <c r="DE124" s="162" t="s">
        <v>51</v>
      </c>
      <c r="DF124" s="162" t="s">
        <v>51</v>
      </c>
      <c r="DG124" s="161">
        <f>'бюджет округа (района)'!BE125+'бюджеты поселений'!BE125</f>
        <v>0</v>
      </c>
      <c r="DH124" s="161">
        <f>'бюджет округа (района)'!BE125</f>
        <v>0</v>
      </c>
      <c r="DI124" s="161">
        <f t="shared" si="656"/>
        <v>0</v>
      </c>
      <c r="DJ124" s="161">
        <f t="shared" si="676"/>
        <v>0</v>
      </c>
      <c r="DK124" s="162" t="s">
        <v>51</v>
      </c>
      <c r="DL124" s="162" t="s">
        <v>51</v>
      </c>
      <c r="DM124" s="161">
        <f>'бюджет округа (района)'!BH125+'бюджеты поселений'!BH125</f>
        <v>0</v>
      </c>
      <c r="DN124" s="161">
        <f>'бюджет округа (района)'!BH125</f>
        <v>0</v>
      </c>
      <c r="DO124" s="161">
        <f>'бюджет округа (района)'!BI125+'бюджеты поселений'!BI125</f>
        <v>0</v>
      </c>
      <c r="DP124" s="161">
        <f>'бюджет округа (района)'!BI125</f>
        <v>0</v>
      </c>
      <c r="DQ124" s="161">
        <f>'бюджет округа (района)'!BJ125+'бюджеты поселений'!BJ125</f>
        <v>0</v>
      </c>
      <c r="DR124" s="161">
        <f>'бюджет округа (района)'!BJ125</f>
        <v>0</v>
      </c>
      <c r="DS124" s="162" t="s">
        <v>51</v>
      </c>
      <c r="DT124" s="162" t="s">
        <v>51</v>
      </c>
      <c r="DU124" s="162">
        <f t="shared" si="616"/>
        <v>1</v>
      </c>
      <c r="DV124" s="162">
        <f t="shared" si="617"/>
        <v>1</v>
      </c>
      <c r="DW124" s="171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  <c r="IW124" s="65"/>
      <c r="IX124" s="65"/>
      <c r="IY124" s="65"/>
      <c r="IZ124" s="65"/>
      <c r="JA124" s="65"/>
      <c r="JB124" s="65"/>
      <c r="JC124" s="65"/>
      <c r="JD124" s="65"/>
      <c r="JE124" s="65"/>
      <c r="JF124" s="65"/>
      <c r="JG124" s="65"/>
      <c r="JH124" s="65"/>
    </row>
    <row r="125" spans="1:268" s="66" customFormat="1" ht="18.75" customHeight="1">
      <c r="A125" s="277" t="s">
        <v>76</v>
      </c>
      <c r="B125" s="278"/>
      <c r="C125" s="161">
        <f>'бюджет округа (района)'!C126+'бюджеты поселений'!C126</f>
        <v>0</v>
      </c>
      <c r="D125" s="161">
        <f>'бюджет округа (района)'!C126</f>
        <v>0</v>
      </c>
      <c r="E125" s="161">
        <f t="shared" si="658"/>
        <v>0</v>
      </c>
      <c r="F125" s="161">
        <f t="shared" si="658"/>
        <v>0</v>
      </c>
      <c r="G125" s="161">
        <f>'бюджет округа (района)'!E126+'бюджеты поселений'!E126</f>
        <v>0</v>
      </c>
      <c r="H125" s="161">
        <f>'бюджет округа (района)'!E126</f>
        <v>0</v>
      </c>
      <c r="I125" s="161">
        <f>'бюджет округа (района)'!F126+'бюджеты поселений'!F126</f>
        <v>0</v>
      </c>
      <c r="J125" s="161">
        <f>'бюджет округа (района)'!F126</f>
        <v>0</v>
      </c>
      <c r="K125" s="161">
        <f t="shared" si="618"/>
        <v>0</v>
      </c>
      <c r="L125" s="161">
        <f t="shared" si="619"/>
        <v>0</v>
      </c>
      <c r="M125" s="161">
        <f>'бюджет округа (района)'!H126+'бюджеты поселений'!H126</f>
        <v>0</v>
      </c>
      <c r="N125" s="161">
        <f>'бюджет округа (района)'!H126</f>
        <v>0</v>
      </c>
      <c r="O125" s="161">
        <f t="shared" si="620"/>
        <v>0</v>
      </c>
      <c r="P125" s="161">
        <f t="shared" si="621"/>
        <v>0</v>
      </c>
      <c r="Q125" s="161">
        <f>'бюджет округа (района)'!J126+'бюджеты поселений'!J126</f>
        <v>0</v>
      </c>
      <c r="R125" s="161">
        <f>'бюджет округа (района)'!J126</f>
        <v>0</v>
      </c>
      <c r="S125" s="161">
        <f t="shared" si="622"/>
        <v>0</v>
      </c>
      <c r="T125" s="161">
        <f t="shared" si="623"/>
        <v>0</v>
      </c>
      <c r="U125" s="161">
        <f>'бюджет округа (района)'!L126+'бюджеты поселений'!L126</f>
        <v>0</v>
      </c>
      <c r="V125" s="161">
        <f>'бюджет округа (района)'!L126</f>
        <v>0</v>
      </c>
      <c r="W125" s="161">
        <f t="shared" si="624"/>
        <v>0</v>
      </c>
      <c r="X125" s="161">
        <f t="shared" si="625"/>
        <v>0</v>
      </c>
      <c r="Y125" s="161">
        <f>'бюджет округа (района)'!N126+'бюджеты поселений'!N126</f>
        <v>0</v>
      </c>
      <c r="Z125" s="161">
        <f>'бюджет округа (района)'!N126</f>
        <v>0</v>
      </c>
      <c r="AA125" s="161">
        <f t="shared" si="626"/>
        <v>0</v>
      </c>
      <c r="AB125" s="161">
        <f t="shared" si="627"/>
        <v>0</v>
      </c>
      <c r="AC125" s="161">
        <f>'бюджет округа (района)'!P126+'бюджеты поселений'!P126</f>
        <v>0</v>
      </c>
      <c r="AD125" s="161">
        <f>'бюджет округа (района)'!P126</f>
        <v>0</v>
      </c>
      <c r="AE125" s="161">
        <f t="shared" si="628"/>
        <v>0</v>
      </c>
      <c r="AF125" s="161">
        <f t="shared" si="629"/>
        <v>0</v>
      </c>
      <c r="AG125" s="161">
        <f>'бюджет округа (района)'!R126+'бюджеты поселений'!R126</f>
        <v>0</v>
      </c>
      <c r="AH125" s="161">
        <f>'бюджет округа (района)'!R126</f>
        <v>0</v>
      </c>
      <c r="AI125" s="161">
        <f t="shared" si="630"/>
        <v>0</v>
      </c>
      <c r="AJ125" s="161">
        <f t="shared" si="631"/>
        <v>0</v>
      </c>
      <c r="AK125" s="161">
        <f>'бюджет округа (района)'!T126+'бюджеты поселений'!T126</f>
        <v>0</v>
      </c>
      <c r="AL125" s="161">
        <f>'бюджет округа (района)'!T126</f>
        <v>0</v>
      </c>
      <c r="AM125" s="161">
        <f t="shared" si="632"/>
        <v>0</v>
      </c>
      <c r="AN125" s="161">
        <f t="shared" si="633"/>
        <v>0</v>
      </c>
      <c r="AO125" s="161">
        <f>'бюджет округа (района)'!V126+'бюджеты поселений'!V126</f>
        <v>0</v>
      </c>
      <c r="AP125" s="161">
        <f>'бюджет округа (района)'!V126</f>
        <v>0</v>
      </c>
      <c r="AQ125" s="161">
        <f t="shared" si="634"/>
        <v>0</v>
      </c>
      <c r="AR125" s="161">
        <f t="shared" si="635"/>
        <v>0</v>
      </c>
      <c r="AS125" s="161">
        <f>'бюджет округа (района)'!X126+'бюджеты поселений'!X126</f>
        <v>0</v>
      </c>
      <c r="AT125" s="161">
        <f>'бюджет округа (района)'!X126</f>
        <v>0</v>
      </c>
      <c r="AU125" s="161">
        <f t="shared" si="636"/>
        <v>0</v>
      </c>
      <c r="AV125" s="161">
        <f t="shared" si="637"/>
        <v>0</v>
      </c>
      <c r="AW125" s="161">
        <f>'бюджет округа (района)'!Z126+'бюджеты поселений'!Z126</f>
        <v>0</v>
      </c>
      <c r="AX125" s="161">
        <f>'бюджет округа (района)'!Z126</f>
        <v>0</v>
      </c>
      <c r="AY125" s="161" t="e">
        <f>'бюджет округа (района)'!AA126+'бюджеты поселений'!AA126</f>
        <v>#VALUE!</v>
      </c>
      <c r="AZ125" s="161" t="str">
        <f>'бюджет округа (района)'!AA126</f>
        <v>x</v>
      </c>
      <c r="BA125" s="162" t="s">
        <v>51</v>
      </c>
      <c r="BB125" s="162" t="s">
        <v>51</v>
      </c>
      <c r="BC125" s="161">
        <f>'бюджет округа (района)'!AC126+'бюджеты поселений'!AC126</f>
        <v>0</v>
      </c>
      <c r="BD125" s="161">
        <f>'бюджет округа (района)'!AC126</f>
        <v>0</v>
      </c>
      <c r="BE125" s="161">
        <f>'бюджет округа (района)'!AD126+'бюджеты поселений'!AD126</f>
        <v>0</v>
      </c>
      <c r="BF125" s="161">
        <f>'бюджет округа (района)'!AD126</f>
        <v>0</v>
      </c>
      <c r="BG125" s="161">
        <f t="shared" si="638"/>
        <v>0</v>
      </c>
      <c r="BH125" s="161">
        <f t="shared" si="639"/>
        <v>0</v>
      </c>
      <c r="BI125" s="162" t="s">
        <v>51</v>
      </c>
      <c r="BJ125" s="162" t="s">
        <v>51</v>
      </c>
      <c r="BK125" s="161">
        <f>'бюджет округа (района)'!AG126+'бюджеты поселений'!AG126</f>
        <v>0</v>
      </c>
      <c r="BL125" s="161">
        <f>'бюджет округа (района)'!AG126</f>
        <v>0</v>
      </c>
      <c r="BM125" s="161">
        <f t="shared" si="640"/>
        <v>0</v>
      </c>
      <c r="BN125" s="161">
        <f t="shared" si="668"/>
        <v>0</v>
      </c>
      <c r="BO125" s="162" t="s">
        <v>51</v>
      </c>
      <c r="BP125" s="162" t="s">
        <v>51</v>
      </c>
      <c r="BQ125" s="161">
        <f>'бюджет округа (района)'!AJ126+'бюджеты поселений'!AJ126</f>
        <v>0</v>
      </c>
      <c r="BR125" s="161">
        <f>'бюджет округа (района)'!AJ126</f>
        <v>0</v>
      </c>
      <c r="BS125" s="161">
        <f t="shared" si="642"/>
        <v>0</v>
      </c>
      <c r="BT125" s="161">
        <f t="shared" si="669"/>
        <v>0</v>
      </c>
      <c r="BU125" s="162" t="s">
        <v>51</v>
      </c>
      <c r="BV125" s="162" t="s">
        <v>51</v>
      </c>
      <c r="BW125" s="161">
        <f>'бюджет округа (района)'!AM126+'бюджеты поселений'!AM126</f>
        <v>0</v>
      </c>
      <c r="BX125" s="161">
        <f>'бюджет округа (района)'!AM126</f>
        <v>0</v>
      </c>
      <c r="BY125" s="161">
        <f t="shared" si="644"/>
        <v>0</v>
      </c>
      <c r="BZ125" s="161">
        <f t="shared" si="670"/>
        <v>0</v>
      </c>
      <c r="CA125" s="162" t="s">
        <v>51</v>
      </c>
      <c r="CB125" s="162" t="s">
        <v>51</v>
      </c>
      <c r="CC125" s="161">
        <f>'бюджет округа (района)'!AP126+'бюджеты поселений'!AP126</f>
        <v>0</v>
      </c>
      <c r="CD125" s="161">
        <f>'бюджет округа (района)'!AP126</f>
        <v>0</v>
      </c>
      <c r="CE125" s="161">
        <f t="shared" si="646"/>
        <v>0</v>
      </c>
      <c r="CF125" s="161">
        <f t="shared" si="671"/>
        <v>0</v>
      </c>
      <c r="CG125" s="162" t="s">
        <v>51</v>
      </c>
      <c r="CH125" s="162" t="s">
        <v>51</v>
      </c>
      <c r="CI125" s="161">
        <f>'бюджет округа (района)'!AS126+'бюджеты поселений'!AS126</f>
        <v>0</v>
      </c>
      <c r="CJ125" s="161">
        <f>'бюджет округа (района)'!AS126</f>
        <v>0</v>
      </c>
      <c r="CK125" s="161">
        <f t="shared" si="648"/>
        <v>0</v>
      </c>
      <c r="CL125" s="161">
        <f t="shared" si="672"/>
        <v>0</v>
      </c>
      <c r="CM125" s="162" t="s">
        <v>51</v>
      </c>
      <c r="CN125" s="162" t="s">
        <v>51</v>
      </c>
      <c r="CO125" s="161">
        <f>'бюджет округа (района)'!AV126+'бюджеты поселений'!AV126</f>
        <v>0</v>
      </c>
      <c r="CP125" s="161">
        <f>'бюджет округа (района)'!AV126</f>
        <v>0</v>
      </c>
      <c r="CQ125" s="161">
        <f t="shared" si="650"/>
        <v>0</v>
      </c>
      <c r="CR125" s="161">
        <f t="shared" si="673"/>
        <v>0</v>
      </c>
      <c r="CS125" s="162" t="s">
        <v>51</v>
      </c>
      <c r="CT125" s="162" t="s">
        <v>51</v>
      </c>
      <c r="CU125" s="161">
        <f>'бюджет округа (района)'!AY126+'бюджеты поселений'!AY126</f>
        <v>0</v>
      </c>
      <c r="CV125" s="161">
        <f>'бюджет округа (района)'!AY126</f>
        <v>0</v>
      </c>
      <c r="CW125" s="161">
        <f t="shared" si="652"/>
        <v>0</v>
      </c>
      <c r="CX125" s="161">
        <f t="shared" si="674"/>
        <v>0</v>
      </c>
      <c r="CY125" s="162" t="s">
        <v>51</v>
      </c>
      <c r="CZ125" s="162" t="s">
        <v>51</v>
      </c>
      <c r="DA125" s="161">
        <f>'бюджет округа (района)'!BB126+'бюджеты поселений'!BB126</f>
        <v>0</v>
      </c>
      <c r="DB125" s="161">
        <f>'бюджет округа (района)'!BB126</f>
        <v>0</v>
      </c>
      <c r="DC125" s="161">
        <f t="shared" si="654"/>
        <v>0</v>
      </c>
      <c r="DD125" s="161">
        <f t="shared" si="675"/>
        <v>0</v>
      </c>
      <c r="DE125" s="162" t="s">
        <v>51</v>
      </c>
      <c r="DF125" s="162" t="s">
        <v>51</v>
      </c>
      <c r="DG125" s="161">
        <f>'бюджет округа (района)'!BE126+'бюджеты поселений'!BE126</f>
        <v>0</v>
      </c>
      <c r="DH125" s="161">
        <f>'бюджет округа (района)'!BE126</f>
        <v>0</v>
      </c>
      <c r="DI125" s="161">
        <f t="shared" si="656"/>
        <v>0</v>
      </c>
      <c r="DJ125" s="161">
        <f t="shared" si="676"/>
        <v>0</v>
      </c>
      <c r="DK125" s="162" t="s">
        <v>51</v>
      </c>
      <c r="DL125" s="162" t="s">
        <v>51</v>
      </c>
      <c r="DM125" s="161">
        <f>'бюджет округа (района)'!BH126+'бюджеты поселений'!BH126</f>
        <v>0</v>
      </c>
      <c r="DN125" s="161">
        <f>'бюджет округа (района)'!BH126</f>
        <v>0</v>
      </c>
      <c r="DO125" s="161">
        <f>'бюджет округа (района)'!BI126+'бюджеты поселений'!BI126</f>
        <v>0</v>
      </c>
      <c r="DP125" s="161">
        <f>'бюджет округа (района)'!BI126</f>
        <v>0</v>
      </c>
      <c r="DQ125" s="161">
        <f>'бюджет округа (района)'!BJ126+'бюджеты поселений'!BJ126</f>
        <v>0</v>
      </c>
      <c r="DR125" s="161">
        <f>'бюджет округа (района)'!BJ126</f>
        <v>0</v>
      </c>
      <c r="DS125" s="162" t="s">
        <v>51</v>
      </c>
      <c r="DT125" s="162" t="s">
        <v>51</v>
      </c>
      <c r="DU125" s="162">
        <f t="shared" si="616"/>
        <v>1</v>
      </c>
      <c r="DV125" s="162">
        <f t="shared" si="617"/>
        <v>1</v>
      </c>
      <c r="DW125" s="171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  <c r="IW125" s="65"/>
      <c r="IX125" s="65"/>
      <c r="IY125" s="65"/>
      <c r="IZ125" s="65"/>
      <c r="JA125" s="65"/>
      <c r="JB125" s="65"/>
      <c r="JC125" s="65"/>
      <c r="JD125" s="65"/>
      <c r="JE125" s="65"/>
      <c r="JF125" s="65"/>
      <c r="JG125" s="65"/>
      <c r="JH125" s="65"/>
    </row>
    <row r="126" spans="1:268" s="66" customFormat="1" ht="21.75" customHeight="1">
      <c r="A126" s="277" t="s">
        <v>129</v>
      </c>
      <c r="B126" s="278"/>
      <c r="C126" s="138">
        <f>'бюджет округа (района)'!C127+'бюджеты поселений'!C127</f>
        <v>0</v>
      </c>
      <c r="D126" s="138">
        <f>'бюджет округа (района)'!C127</f>
        <v>0</v>
      </c>
      <c r="E126" s="138">
        <f t="shared" si="658"/>
        <v>0</v>
      </c>
      <c r="F126" s="138">
        <f t="shared" si="658"/>
        <v>0</v>
      </c>
      <c r="G126" s="138">
        <f>'бюджет округа (района)'!E127+'бюджеты поселений'!E127</f>
        <v>0</v>
      </c>
      <c r="H126" s="138">
        <f>'бюджет округа (района)'!E127</f>
        <v>0</v>
      </c>
      <c r="I126" s="138">
        <f>'бюджет округа (района)'!F127+'бюджеты поселений'!F127</f>
        <v>0</v>
      </c>
      <c r="J126" s="138">
        <f>'бюджет округа (района)'!F127</f>
        <v>0</v>
      </c>
      <c r="K126" s="138">
        <f t="shared" si="618"/>
        <v>0</v>
      </c>
      <c r="L126" s="138">
        <f t="shared" si="619"/>
        <v>0</v>
      </c>
      <c r="M126" s="138">
        <f>'бюджет округа (района)'!H127+'бюджеты поселений'!H127</f>
        <v>0</v>
      </c>
      <c r="N126" s="138">
        <f>'бюджет округа (района)'!H127</f>
        <v>0</v>
      </c>
      <c r="O126" s="138">
        <f t="shared" si="620"/>
        <v>0</v>
      </c>
      <c r="P126" s="138">
        <f t="shared" si="621"/>
        <v>0</v>
      </c>
      <c r="Q126" s="138">
        <f>'бюджет округа (района)'!J127+'бюджеты поселений'!J127</f>
        <v>0</v>
      </c>
      <c r="R126" s="138">
        <f>'бюджет округа (района)'!J127</f>
        <v>0</v>
      </c>
      <c r="S126" s="138">
        <f t="shared" si="622"/>
        <v>0</v>
      </c>
      <c r="T126" s="138">
        <f t="shared" si="623"/>
        <v>0</v>
      </c>
      <c r="U126" s="138">
        <f>'бюджет округа (района)'!L127+'бюджеты поселений'!L127</f>
        <v>0</v>
      </c>
      <c r="V126" s="138">
        <f>'бюджет округа (района)'!L127</f>
        <v>0</v>
      </c>
      <c r="W126" s="138">
        <f t="shared" si="624"/>
        <v>0</v>
      </c>
      <c r="X126" s="138">
        <f t="shared" si="625"/>
        <v>0</v>
      </c>
      <c r="Y126" s="138">
        <f>'бюджет округа (района)'!N127+'бюджеты поселений'!N127</f>
        <v>0</v>
      </c>
      <c r="Z126" s="138">
        <f>'бюджет округа (района)'!N127</f>
        <v>0</v>
      </c>
      <c r="AA126" s="138">
        <f t="shared" si="626"/>
        <v>0</v>
      </c>
      <c r="AB126" s="138">
        <f t="shared" si="627"/>
        <v>0</v>
      </c>
      <c r="AC126" s="138">
        <f>'бюджет округа (района)'!P127+'бюджеты поселений'!P127</f>
        <v>0</v>
      </c>
      <c r="AD126" s="138">
        <f>'бюджет округа (района)'!P127</f>
        <v>0</v>
      </c>
      <c r="AE126" s="138">
        <f t="shared" si="628"/>
        <v>0</v>
      </c>
      <c r="AF126" s="138">
        <f t="shared" si="629"/>
        <v>0</v>
      </c>
      <c r="AG126" s="138">
        <f>'бюджет округа (района)'!R127+'бюджеты поселений'!R127</f>
        <v>0</v>
      </c>
      <c r="AH126" s="138">
        <f>'бюджет округа (района)'!R127</f>
        <v>0</v>
      </c>
      <c r="AI126" s="138">
        <f t="shared" si="630"/>
        <v>0</v>
      </c>
      <c r="AJ126" s="138">
        <f t="shared" si="631"/>
        <v>0</v>
      </c>
      <c r="AK126" s="138">
        <f>'бюджет округа (района)'!T127+'бюджеты поселений'!T127</f>
        <v>0</v>
      </c>
      <c r="AL126" s="138">
        <f>'бюджет округа (района)'!T127</f>
        <v>0</v>
      </c>
      <c r="AM126" s="138">
        <f t="shared" si="632"/>
        <v>0</v>
      </c>
      <c r="AN126" s="138">
        <f t="shared" si="633"/>
        <v>0</v>
      </c>
      <c r="AO126" s="138">
        <f>'бюджет округа (района)'!V127+'бюджеты поселений'!V127</f>
        <v>0</v>
      </c>
      <c r="AP126" s="138">
        <f>'бюджет округа (района)'!V127</f>
        <v>0</v>
      </c>
      <c r="AQ126" s="138">
        <f t="shared" si="634"/>
        <v>0</v>
      </c>
      <c r="AR126" s="138">
        <f t="shared" si="635"/>
        <v>0</v>
      </c>
      <c r="AS126" s="138">
        <f>'бюджет округа (района)'!X127+'бюджеты поселений'!X127</f>
        <v>0</v>
      </c>
      <c r="AT126" s="138">
        <f>'бюджет округа (района)'!X127</f>
        <v>0</v>
      </c>
      <c r="AU126" s="138">
        <f t="shared" si="636"/>
        <v>0</v>
      </c>
      <c r="AV126" s="138">
        <f t="shared" si="637"/>
        <v>0</v>
      </c>
      <c r="AW126" s="138">
        <f>'бюджет округа (района)'!Z127+'бюджеты поселений'!Z127</f>
        <v>0</v>
      </c>
      <c r="AX126" s="138">
        <f>'бюджет округа (района)'!Z127</f>
        <v>0</v>
      </c>
      <c r="AY126" s="138" t="e">
        <f>'бюджет округа (района)'!AA127+'бюджеты поселений'!AA127</f>
        <v>#VALUE!</v>
      </c>
      <c r="AZ126" s="138" t="str">
        <f>'бюджет округа (района)'!AA127</f>
        <v>x</v>
      </c>
      <c r="BA126" s="162" t="s">
        <v>51</v>
      </c>
      <c r="BB126" s="162" t="s">
        <v>51</v>
      </c>
      <c r="BC126" s="138">
        <f>'бюджет округа (района)'!AC127+'бюджеты поселений'!AC127</f>
        <v>0</v>
      </c>
      <c r="BD126" s="138">
        <f>'бюджет округа (района)'!AC127</f>
        <v>0</v>
      </c>
      <c r="BE126" s="138">
        <f>'бюджет округа (района)'!AD127+'бюджеты поселений'!AD127</f>
        <v>0</v>
      </c>
      <c r="BF126" s="138">
        <f>'бюджет округа (района)'!AD127</f>
        <v>0</v>
      </c>
      <c r="BG126" s="138">
        <f t="shared" si="638"/>
        <v>0</v>
      </c>
      <c r="BH126" s="138">
        <f t="shared" si="639"/>
        <v>0</v>
      </c>
      <c r="BI126" s="162" t="s">
        <v>51</v>
      </c>
      <c r="BJ126" s="162" t="s">
        <v>51</v>
      </c>
      <c r="BK126" s="138">
        <f>'бюджет округа (района)'!AG127+'бюджеты поселений'!AG127</f>
        <v>0</v>
      </c>
      <c r="BL126" s="138">
        <f>'бюджет округа (района)'!AG127</f>
        <v>0</v>
      </c>
      <c r="BM126" s="138">
        <f t="shared" si="640"/>
        <v>0</v>
      </c>
      <c r="BN126" s="138">
        <f t="shared" si="668"/>
        <v>0</v>
      </c>
      <c r="BO126" s="162" t="s">
        <v>51</v>
      </c>
      <c r="BP126" s="162" t="s">
        <v>51</v>
      </c>
      <c r="BQ126" s="138">
        <f>'бюджет округа (района)'!AJ127+'бюджеты поселений'!AJ127</f>
        <v>0</v>
      </c>
      <c r="BR126" s="138">
        <f>'бюджет округа (района)'!AJ127</f>
        <v>0</v>
      </c>
      <c r="BS126" s="138">
        <f t="shared" si="642"/>
        <v>0</v>
      </c>
      <c r="BT126" s="138">
        <f t="shared" si="669"/>
        <v>0</v>
      </c>
      <c r="BU126" s="162" t="s">
        <v>51</v>
      </c>
      <c r="BV126" s="162" t="s">
        <v>51</v>
      </c>
      <c r="BW126" s="138">
        <f>'бюджет округа (района)'!AM127+'бюджеты поселений'!AM127</f>
        <v>0</v>
      </c>
      <c r="BX126" s="138">
        <f>'бюджет округа (района)'!AM127</f>
        <v>0</v>
      </c>
      <c r="BY126" s="138">
        <f t="shared" si="644"/>
        <v>0</v>
      </c>
      <c r="BZ126" s="138">
        <f t="shared" si="670"/>
        <v>0</v>
      </c>
      <c r="CA126" s="162" t="s">
        <v>51</v>
      </c>
      <c r="CB126" s="162" t="s">
        <v>51</v>
      </c>
      <c r="CC126" s="138">
        <f>'бюджет округа (района)'!AP127+'бюджеты поселений'!AP127</f>
        <v>0</v>
      </c>
      <c r="CD126" s="138">
        <f>'бюджет округа (района)'!AP127</f>
        <v>0</v>
      </c>
      <c r="CE126" s="138">
        <f t="shared" si="646"/>
        <v>0</v>
      </c>
      <c r="CF126" s="138">
        <f t="shared" si="671"/>
        <v>0</v>
      </c>
      <c r="CG126" s="162" t="s">
        <v>51</v>
      </c>
      <c r="CH126" s="162" t="s">
        <v>51</v>
      </c>
      <c r="CI126" s="138">
        <f>'бюджет округа (района)'!AS127+'бюджеты поселений'!AS127</f>
        <v>0</v>
      </c>
      <c r="CJ126" s="138">
        <f>'бюджет округа (района)'!AS127</f>
        <v>0</v>
      </c>
      <c r="CK126" s="138">
        <f t="shared" si="648"/>
        <v>0</v>
      </c>
      <c r="CL126" s="138">
        <f t="shared" si="672"/>
        <v>0</v>
      </c>
      <c r="CM126" s="162" t="s">
        <v>51</v>
      </c>
      <c r="CN126" s="162" t="s">
        <v>51</v>
      </c>
      <c r="CO126" s="138">
        <f>'бюджет округа (района)'!AV127+'бюджеты поселений'!AV127</f>
        <v>0</v>
      </c>
      <c r="CP126" s="138">
        <f>'бюджет округа (района)'!AV127</f>
        <v>0</v>
      </c>
      <c r="CQ126" s="138">
        <f t="shared" si="650"/>
        <v>0</v>
      </c>
      <c r="CR126" s="138">
        <f t="shared" si="673"/>
        <v>0</v>
      </c>
      <c r="CS126" s="162" t="s">
        <v>51</v>
      </c>
      <c r="CT126" s="162" t="s">
        <v>51</v>
      </c>
      <c r="CU126" s="138">
        <f>'бюджет округа (района)'!AY127+'бюджеты поселений'!AY127</f>
        <v>0</v>
      </c>
      <c r="CV126" s="138">
        <f>'бюджет округа (района)'!AY127</f>
        <v>0</v>
      </c>
      <c r="CW126" s="138">
        <f t="shared" si="652"/>
        <v>0</v>
      </c>
      <c r="CX126" s="138">
        <f t="shared" si="674"/>
        <v>0</v>
      </c>
      <c r="CY126" s="162" t="s">
        <v>51</v>
      </c>
      <c r="CZ126" s="162" t="s">
        <v>51</v>
      </c>
      <c r="DA126" s="138">
        <f>'бюджет округа (района)'!BB127+'бюджеты поселений'!BB127</f>
        <v>0</v>
      </c>
      <c r="DB126" s="138">
        <f>'бюджет округа (района)'!BB127</f>
        <v>0</v>
      </c>
      <c r="DC126" s="138">
        <f t="shared" si="654"/>
        <v>0</v>
      </c>
      <c r="DD126" s="138">
        <f t="shared" si="675"/>
        <v>0</v>
      </c>
      <c r="DE126" s="162" t="s">
        <v>51</v>
      </c>
      <c r="DF126" s="162" t="s">
        <v>51</v>
      </c>
      <c r="DG126" s="138">
        <f>'бюджет округа (района)'!BE127+'бюджеты поселений'!BE127</f>
        <v>0</v>
      </c>
      <c r="DH126" s="138">
        <f>'бюджет округа (района)'!BE127</f>
        <v>0</v>
      </c>
      <c r="DI126" s="138">
        <f t="shared" si="656"/>
        <v>0</v>
      </c>
      <c r="DJ126" s="138">
        <f t="shared" si="676"/>
        <v>0</v>
      </c>
      <c r="DK126" s="162" t="s">
        <v>51</v>
      </c>
      <c r="DL126" s="162" t="s">
        <v>51</v>
      </c>
      <c r="DM126" s="138">
        <f>'бюджет округа (района)'!BH127+'бюджеты поселений'!BH127</f>
        <v>0</v>
      </c>
      <c r="DN126" s="138">
        <f>'бюджет округа (района)'!BH127</f>
        <v>0</v>
      </c>
      <c r="DO126" s="138">
        <f>'бюджет округа (района)'!BI127+'бюджеты поселений'!BI127</f>
        <v>0</v>
      </c>
      <c r="DP126" s="138">
        <f>'бюджет округа (района)'!BI127</f>
        <v>0</v>
      </c>
      <c r="DQ126" s="138">
        <f>'бюджет округа (района)'!BJ127+'бюджеты поселений'!BJ127</f>
        <v>0</v>
      </c>
      <c r="DR126" s="138">
        <f>'бюджет округа (района)'!BJ127</f>
        <v>0</v>
      </c>
      <c r="DS126" s="162" t="s">
        <v>51</v>
      </c>
      <c r="DT126" s="162" t="s">
        <v>51</v>
      </c>
      <c r="DU126" s="162">
        <f t="shared" si="616"/>
        <v>1</v>
      </c>
      <c r="DV126" s="162">
        <f t="shared" si="617"/>
        <v>1</v>
      </c>
      <c r="DW126" s="171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  <c r="IW126" s="65"/>
      <c r="IX126" s="65"/>
      <c r="IY126" s="65"/>
      <c r="IZ126" s="65"/>
      <c r="JA126" s="65"/>
      <c r="JB126" s="65"/>
      <c r="JC126" s="65"/>
      <c r="JD126" s="65"/>
      <c r="JE126" s="65"/>
      <c r="JF126" s="65"/>
      <c r="JG126" s="65"/>
      <c r="JH126" s="65"/>
    </row>
    <row r="127" spans="1:268" s="87" customFormat="1" ht="35.25" customHeight="1">
      <c r="A127" s="279" t="s">
        <v>135</v>
      </c>
      <c r="B127" s="280"/>
      <c r="C127" s="130">
        <f>'бюджет округа (района)'!C128+'бюджеты поселений'!C128</f>
        <v>0</v>
      </c>
      <c r="D127" s="130">
        <f>'бюджет округа (района)'!C128</f>
        <v>0</v>
      </c>
      <c r="E127" s="130">
        <f t="shared" si="658"/>
        <v>0</v>
      </c>
      <c r="F127" s="130">
        <f t="shared" si="658"/>
        <v>0</v>
      </c>
      <c r="G127" s="130">
        <f>'бюджет округа (района)'!E128+'бюджеты поселений'!E128</f>
        <v>0</v>
      </c>
      <c r="H127" s="130">
        <f>'бюджет округа (района)'!E128</f>
        <v>0</v>
      </c>
      <c r="I127" s="130">
        <f>'бюджет округа (района)'!F128+'бюджеты поселений'!F128</f>
        <v>0</v>
      </c>
      <c r="J127" s="130">
        <f>'бюджет округа (района)'!F128</f>
        <v>0</v>
      </c>
      <c r="K127" s="130">
        <f t="shared" si="618"/>
        <v>0</v>
      </c>
      <c r="L127" s="130">
        <f t="shared" si="619"/>
        <v>0</v>
      </c>
      <c r="M127" s="130">
        <f>'бюджет округа (района)'!H128+'бюджеты поселений'!H128</f>
        <v>0</v>
      </c>
      <c r="N127" s="130">
        <f>'бюджет округа (района)'!H128</f>
        <v>0</v>
      </c>
      <c r="O127" s="130">
        <f t="shared" si="620"/>
        <v>0</v>
      </c>
      <c r="P127" s="130">
        <f t="shared" si="621"/>
        <v>0</v>
      </c>
      <c r="Q127" s="130">
        <f>'бюджет округа (района)'!J128+'бюджеты поселений'!J128</f>
        <v>0</v>
      </c>
      <c r="R127" s="130">
        <f>'бюджет округа (района)'!J128</f>
        <v>0</v>
      </c>
      <c r="S127" s="130">
        <f t="shared" si="622"/>
        <v>0</v>
      </c>
      <c r="T127" s="130">
        <f t="shared" si="623"/>
        <v>0</v>
      </c>
      <c r="U127" s="130">
        <f>'бюджет округа (района)'!L128+'бюджеты поселений'!L128</f>
        <v>0</v>
      </c>
      <c r="V127" s="130">
        <f>'бюджет округа (района)'!L128</f>
        <v>0</v>
      </c>
      <c r="W127" s="130">
        <f t="shared" si="624"/>
        <v>0</v>
      </c>
      <c r="X127" s="130">
        <f t="shared" si="625"/>
        <v>0</v>
      </c>
      <c r="Y127" s="130">
        <f>'бюджет округа (района)'!N128+'бюджеты поселений'!N128</f>
        <v>0</v>
      </c>
      <c r="Z127" s="130">
        <f>'бюджет округа (района)'!N128</f>
        <v>0</v>
      </c>
      <c r="AA127" s="130">
        <f t="shared" si="626"/>
        <v>0</v>
      </c>
      <c r="AB127" s="130">
        <f t="shared" si="627"/>
        <v>0</v>
      </c>
      <c r="AC127" s="130">
        <f>'бюджет округа (района)'!P128+'бюджеты поселений'!P128</f>
        <v>0</v>
      </c>
      <c r="AD127" s="130">
        <f>'бюджет округа (района)'!P128</f>
        <v>0</v>
      </c>
      <c r="AE127" s="130">
        <f t="shared" si="628"/>
        <v>0</v>
      </c>
      <c r="AF127" s="130">
        <f t="shared" si="629"/>
        <v>0</v>
      </c>
      <c r="AG127" s="130">
        <f>'бюджет округа (района)'!R128+'бюджеты поселений'!R128</f>
        <v>0</v>
      </c>
      <c r="AH127" s="130">
        <f>'бюджет округа (района)'!R128</f>
        <v>0</v>
      </c>
      <c r="AI127" s="130">
        <f t="shared" si="630"/>
        <v>0</v>
      </c>
      <c r="AJ127" s="130">
        <f t="shared" si="631"/>
        <v>0</v>
      </c>
      <c r="AK127" s="130">
        <f>'бюджет округа (района)'!T128+'бюджеты поселений'!T128</f>
        <v>0</v>
      </c>
      <c r="AL127" s="130">
        <f>'бюджет округа (района)'!T128</f>
        <v>0</v>
      </c>
      <c r="AM127" s="130">
        <f t="shared" si="632"/>
        <v>0</v>
      </c>
      <c r="AN127" s="130">
        <f t="shared" si="633"/>
        <v>0</v>
      </c>
      <c r="AO127" s="130">
        <f>'бюджет округа (района)'!V128+'бюджеты поселений'!V128</f>
        <v>0</v>
      </c>
      <c r="AP127" s="130">
        <f>'бюджет округа (района)'!V128</f>
        <v>0</v>
      </c>
      <c r="AQ127" s="130">
        <f t="shared" si="634"/>
        <v>0</v>
      </c>
      <c r="AR127" s="130">
        <f t="shared" si="635"/>
        <v>0</v>
      </c>
      <c r="AS127" s="130">
        <f>'бюджет округа (района)'!X128+'бюджеты поселений'!X128</f>
        <v>0</v>
      </c>
      <c r="AT127" s="130">
        <f>'бюджет округа (района)'!X128</f>
        <v>0</v>
      </c>
      <c r="AU127" s="130">
        <f t="shared" si="636"/>
        <v>0</v>
      </c>
      <c r="AV127" s="130">
        <f t="shared" si="637"/>
        <v>0</v>
      </c>
      <c r="AW127" s="130">
        <f>'бюджет округа (района)'!Z128+'бюджеты поселений'!Z128</f>
        <v>0</v>
      </c>
      <c r="AX127" s="130">
        <f>'бюджет округа (района)'!Z128</f>
        <v>0</v>
      </c>
      <c r="AY127" s="130" t="e">
        <f>'бюджет округа (района)'!AA128+'бюджеты поселений'!AA128</f>
        <v>#VALUE!</v>
      </c>
      <c r="AZ127" s="130" t="str">
        <f>'бюджет округа (района)'!AA128</f>
        <v>x</v>
      </c>
      <c r="BA127" s="143" t="s">
        <v>51</v>
      </c>
      <c r="BB127" s="143" t="s">
        <v>51</v>
      </c>
      <c r="BC127" s="130">
        <f>'бюджет округа (района)'!AC128+'бюджеты поселений'!AC128</f>
        <v>0</v>
      </c>
      <c r="BD127" s="130">
        <f>'бюджет округа (района)'!AC128</f>
        <v>0</v>
      </c>
      <c r="BE127" s="130">
        <f>'бюджет округа (района)'!AD128+'бюджеты поселений'!AD128</f>
        <v>0</v>
      </c>
      <c r="BF127" s="130">
        <f>'бюджет округа (района)'!AD128</f>
        <v>0</v>
      </c>
      <c r="BG127" s="130">
        <f t="shared" si="638"/>
        <v>0</v>
      </c>
      <c r="BH127" s="130">
        <f t="shared" si="639"/>
        <v>0</v>
      </c>
      <c r="BI127" s="143" t="s">
        <v>51</v>
      </c>
      <c r="BJ127" s="143" t="s">
        <v>51</v>
      </c>
      <c r="BK127" s="130">
        <f>'бюджет округа (района)'!AG128+'бюджеты поселений'!AG128</f>
        <v>0</v>
      </c>
      <c r="BL127" s="130">
        <f>'бюджет округа (района)'!AG128</f>
        <v>0</v>
      </c>
      <c r="BM127" s="130">
        <f t="shared" si="640"/>
        <v>0</v>
      </c>
      <c r="BN127" s="130">
        <f t="shared" si="668"/>
        <v>0</v>
      </c>
      <c r="BO127" s="143" t="s">
        <v>51</v>
      </c>
      <c r="BP127" s="143" t="s">
        <v>51</v>
      </c>
      <c r="BQ127" s="130">
        <f>'бюджет округа (района)'!AJ128+'бюджеты поселений'!AJ128</f>
        <v>0</v>
      </c>
      <c r="BR127" s="130">
        <f>'бюджет округа (района)'!AJ128</f>
        <v>0</v>
      </c>
      <c r="BS127" s="130">
        <f t="shared" si="642"/>
        <v>0</v>
      </c>
      <c r="BT127" s="130">
        <f t="shared" si="669"/>
        <v>0</v>
      </c>
      <c r="BU127" s="143" t="s">
        <v>51</v>
      </c>
      <c r="BV127" s="143" t="s">
        <v>51</v>
      </c>
      <c r="BW127" s="130">
        <f>'бюджет округа (района)'!AM128+'бюджеты поселений'!AM128</f>
        <v>0</v>
      </c>
      <c r="BX127" s="130">
        <f>'бюджет округа (района)'!AM128</f>
        <v>0</v>
      </c>
      <c r="BY127" s="130">
        <f t="shared" si="644"/>
        <v>0</v>
      </c>
      <c r="BZ127" s="130">
        <f t="shared" si="670"/>
        <v>0</v>
      </c>
      <c r="CA127" s="143" t="s">
        <v>51</v>
      </c>
      <c r="CB127" s="143" t="s">
        <v>51</v>
      </c>
      <c r="CC127" s="130">
        <f>'бюджет округа (района)'!AP128+'бюджеты поселений'!AP128</f>
        <v>0</v>
      </c>
      <c r="CD127" s="130">
        <f>'бюджет округа (района)'!AP128</f>
        <v>0</v>
      </c>
      <c r="CE127" s="130">
        <f t="shared" si="646"/>
        <v>0</v>
      </c>
      <c r="CF127" s="130">
        <f t="shared" si="671"/>
        <v>0</v>
      </c>
      <c r="CG127" s="143" t="s">
        <v>51</v>
      </c>
      <c r="CH127" s="143" t="s">
        <v>51</v>
      </c>
      <c r="CI127" s="130">
        <f>'бюджет округа (района)'!AS128+'бюджеты поселений'!AS128</f>
        <v>0</v>
      </c>
      <c r="CJ127" s="130">
        <f>'бюджет округа (района)'!AS128</f>
        <v>0</v>
      </c>
      <c r="CK127" s="130">
        <f t="shared" si="648"/>
        <v>0</v>
      </c>
      <c r="CL127" s="130">
        <f t="shared" si="672"/>
        <v>0</v>
      </c>
      <c r="CM127" s="143" t="s">
        <v>51</v>
      </c>
      <c r="CN127" s="143" t="s">
        <v>51</v>
      </c>
      <c r="CO127" s="130">
        <f>'бюджет округа (района)'!AV128+'бюджеты поселений'!AV128</f>
        <v>0</v>
      </c>
      <c r="CP127" s="130">
        <f>'бюджет округа (района)'!AV128</f>
        <v>0</v>
      </c>
      <c r="CQ127" s="130">
        <f t="shared" si="650"/>
        <v>0</v>
      </c>
      <c r="CR127" s="130">
        <f t="shared" si="673"/>
        <v>0</v>
      </c>
      <c r="CS127" s="143" t="s">
        <v>51</v>
      </c>
      <c r="CT127" s="143" t="s">
        <v>51</v>
      </c>
      <c r="CU127" s="130">
        <f>'бюджет округа (района)'!AY128+'бюджеты поселений'!AY128</f>
        <v>0</v>
      </c>
      <c r="CV127" s="130">
        <f>'бюджет округа (района)'!AY128</f>
        <v>0</v>
      </c>
      <c r="CW127" s="130">
        <f t="shared" si="652"/>
        <v>0</v>
      </c>
      <c r="CX127" s="130">
        <f t="shared" si="674"/>
        <v>0</v>
      </c>
      <c r="CY127" s="143" t="s">
        <v>51</v>
      </c>
      <c r="CZ127" s="143" t="s">
        <v>51</v>
      </c>
      <c r="DA127" s="130">
        <f>'бюджет округа (района)'!BB128+'бюджеты поселений'!BB128</f>
        <v>0</v>
      </c>
      <c r="DB127" s="130">
        <f>'бюджет округа (района)'!BB128</f>
        <v>0</v>
      </c>
      <c r="DC127" s="130">
        <f t="shared" si="654"/>
        <v>0</v>
      </c>
      <c r="DD127" s="130">
        <f t="shared" si="675"/>
        <v>0</v>
      </c>
      <c r="DE127" s="143" t="s">
        <v>51</v>
      </c>
      <c r="DF127" s="143" t="s">
        <v>51</v>
      </c>
      <c r="DG127" s="130">
        <f>'бюджет округа (района)'!BE128+'бюджеты поселений'!BE128</f>
        <v>0</v>
      </c>
      <c r="DH127" s="130">
        <f>'бюджет округа (района)'!BE128</f>
        <v>0</v>
      </c>
      <c r="DI127" s="130">
        <f t="shared" si="656"/>
        <v>0</v>
      </c>
      <c r="DJ127" s="130">
        <f t="shared" si="676"/>
        <v>0</v>
      </c>
      <c r="DK127" s="143" t="s">
        <v>51</v>
      </c>
      <c r="DL127" s="143" t="s">
        <v>51</v>
      </c>
      <c r="DM127" s="130">
        <f>'бюджет округа (района)'!BH128+'бюджеты поселений'!BH128</f>
        <v>0</v>
      </c>
      <c r="DN127" s="130">
        <f>'бюджет округа (района)'!BH128</f>
        <v>0</v>
      </c>
      <c r="DO127" s="130">
        <f>'бюджет округа (района)'!BI128+'бюджеты поселений'!BI128</f>
        <v>0</v>
      </c>
      <c r="DP127" s="130">
        <f>'бюджет округа (района)'!BI128</f>
        <v>0</v>
      </c>
      <c r="DQ127" s="130">
        <f>'бюджет округа (района)'!BJ128+'бюджеты поселений'!BJ128</f>
        <v>0</v>
      </c>
      <c r="DR127" s="130">
        <f>'бюджет округа (района)'!BJ128</f>
        <v>0</v>
      </c>
      <c r="DS127" s="143" t="s">
        <v>51</v>
      </c>
      <c r="DT127" s="143" t="s">
        <v>51</v>
      </c>
      <c r="DU127" s="143">
        <f t="shared" si="616"/>
        <v>1</v>
      </c>
      <c r="DV127" s="143">
        <f t="shared" si="617"/>
        <v>1</v>
      </c>
      <c r="DW127" s="172"/>
      <c r="DX127" s="88"/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88"/>
      <c r="EK127" s="88"/>
      <c r="EL127" s="88"/>
      <c r="EM127" s="88"/>
      <c r="EN127" s="88"/>
      <c r="EO127" s="88"/>
      <c r="EP127" s="88"/>
      <c r="EQ127" s="88"/>
      <c r="ER127" s="88"/>
      <c r="ES127" s="88"/>
      <c r="ET127" s="88"/>
      <c r="EU127" s="88"/>
      <c r="EV127" s="88"/>
      <c r="EW127" s="88"/>
      <c r="EX127" s="88"/>
      <c r="EY127" s="88"/>
      <c r="EZ127" s="88"/>
      <c r="FA127" s="88"/>
      <c r="FB127" s="88"/>
      <c r="FC127" s="88"/>
      <c r="FD127" s="88"/>
      <c r="FE127" s="88"/>
      <c r="FF127" s="88"/>
      <c r="FG127" s="88"/>
      <c r="FH127" s="88"/>
      <c r="FI127" s="88"/>
      <c r="FJ127" s="88"/>
      <c r="FK127" s="88"/>
      <c r="FL127" s="88"/>
      <c r="FM127" s="88"/>
      <c r="FN127" s="88"/>
      <c r="FO127" s="88"/>
      <c r="FP127" s="88"/>
      <c r="FQ127" s="88"/>
      <c r="FR127" s="88"/>
      <c r="FS127" s="88"/>
      <c r="FT127" s="88"/>
      <c r="FU127" s="88"/>
      <c r="FV127" s="88"/>
      <c r="FW127" s="88"/>
      <c r="FX127" s="88"/>
      <c r="FY127" s="88"/>
      <c r="FZ127" s="88"/>
      <c r="GA127" s="88"/>
      <c r="GB127" s="88"/>
      <c r="GC127" s="88"/>
      <c r="GD127" s="88"/>
      <c r="GE127" s="88"/>
      <c r="GF127" s="88"/>
      <c r="GG127" s="88"/>
      <c r="GH127" s="88"/>
      <c r="GI127" s="88"/>
      <c r="GJ127" s="88"/>
      <c r="GK127" s="88"/>
      <c r="GL127" s="88"/>
      <c r="GM127" s="88"/>
      <c r="GN127" s="88"/>
      <c r="GO127" s="88"/>
      <c r="GP127" s="88"/>
      <c r="GQ127" s="88"/>
      <c r="GR127" s="88"/>
      <c r="GS127" s="88"/>
      <c r="GT127" s="88"/>
      <c r="GU127" s="88"/>
      <c r="GV127" s="88"/>
      <c r="GW127" s="88"/>
      <c r="GX127" s="88"/>
      <c r="GY127" s="88"/>
      <c r="GZ127" s="88"/>
      <c r="HA127" s="88"/>
      <c r="HB127" s="88"/>
      <c r="HC127" s="88"/>
      <c r="HD127" s="88"/>
      <c r="HE127" s="88"/>
      <c r="HF127" s="88"/>
      <c r="HG127" s="88"/>
      <c r="HH127" s="88"/>
      <c r="HI127" s="88"/>
      <c r="HJ127" s="88"/>
      <c r="HK127" s="88"/>
      <c r="HL127" s="88"/>
      <c r="HM127" s="88"/>
      <c r="HN127" s="88"/>
      <c r="HO127" s="88"/>
      <c r="HP127" s="88"/>
      <c r="HQ127" s="88"/>
      <c r="HR127" s="88"/>
      <c r="HS127" s="88"/>
      <c r="HT127" s="88"/>
      <c r="HU127" s="88"/>
      <c r="HV127" s="88"/>
      <c r="HW127" s="88"/>
      <c r="HX127" s="88"/>
      <c r="HY127" s="88"/>
      <c r="HZ127" s="88"/>
      <c r="IA127" s="88"/>
      <c r="IB127" s="88"/>
      <c r="IC127" s="88"/>
      <c r="ID127" s="88"/>
      <c r="IE127" s="88"/>
      <c r="IF127" s="88"/>
      <c r="IG127" s="88"/>
      <c r="IH127" s="88"/>
      <c r="II127" s="88"/>
      <c r="IJ127" s="88"/>
      <c r="IK127" s="88"/>
      <c r="IL127" s="88"/>
      <c r="IM127" s="88"/>
      <c r="IN127" s="88"/>
      <c r="IO127" s="88"/>
      <c r="IP127" s="88"/>
      <c r="IQ127" s="88"/>
      <c r="IR127" s="88"/>
      <c r="IS127" s="88"/>
      <c r="IT127" s="88"/>
      <c r="IU127" s="88"/>
      <c r="IV127" s="88"/>
      <c r="IW127" s="88"/>
      <c r="IX127" s="88"/>
      <c r="IY127" s="88"/>
      <c r="IZ127" s="88"/>
      <c r="JA127" s="88"/>
      <c r="JB127" s="88"/>
      <c r="JC127" s="88"/>
      <c r="JD127" s="88"/>
      <c r="JE127" s="88"/>
      <c r="JF127" s="88"/>
      <c r="JG127" s="88"/>
      <c r="JH127" s="88"/>
    </row>
    <row r="128" spans="1:268" s="66" customFormat="1" ht="16.5">
      <c r="A128" s="281" t="s">
        <v>78</v>
      </c>
      <c r="B128" s="282"/>
      <c r="C128" s="137">
        <f>'бюджет округа (района)'!C129+'бюджеты поселений'!C129</f>
        <v>0</v>
      </c>
      <c r="D128" s="137">
        <f>'бюджет округа (района)'!C129</f>
        <v>0</v>
      </c>
      <c r="E128" s="137">
        <f t="shared" si="658"/>
        <v>0</v>
      </c>
      <c r="F128" s="137">
        <f t="shared" si="658"/>
        <v>0</v>
      </c>
      <c r="G128" s="137">
        <f>'бюджет округа (района)'!E129+'бюджеты поселений'!E129</f>
        <v>0</v>
      </c>
      <c r="H128" s="137">
        <f>'бюджет округа (района)'!E129</f>
        <v>0</v>
      </c>
      <c r="I128" s="137">
        <f>'бюджет округа (района)'!F129+'бюджеты поселений'!F129</f>
        <v>0</v>
      </c>
      <c r="J128" s="137">
        <f>'бюджет округа (района)'!F129</f>
        <v>0</v>
      </c>
      <c r="K128" s="137">
        <f t="shared" si="618"/>
        <v>0</v>
      </c>
      <c r="L128" s="137">
        <f t="shared" si="619"/>
        <v>0</v>
      </c>
      <c r="M128" s="137">
        <f>'бюджет округа (района)'!H129+'бюджеты поселений'!H129</f>
        <v>0</v>
      </c>
      <c r="N128" s="137">
        <f>'бюджет округа (района)'!H129</f>
        <v>0</v>
      </c>
      <c r="O128" s="137">
        <f t="shared" si="620"/>
        <v>0</v>
      </c>
      <c r="P128" s="137">
        <f t="shared" si="621"/>
        <v>0</v>
      </c>
      <c r="Q128" s="137">
        <f>'бюджет округа (района)'!J129+'бюджеты поселений'!J129</f>
        <v>0</v>
      </c>
      <c r="R128" s="137">
        <f>'бюджет округа (района)'!J129</f>
        <v>0</v>
      </c>
      <c r="S128" s="137">
        <f t="shared" si="622"/>
        <v>0</v>
      </c>
      <c r="T128" s="137">
        <f t="shared" si="623"/>
        <v>0</v>
      </c>
      <c r="U128" s="137">
        <f>'бюджет округа (района)'!L129+'бюджеты поселений'!L129</f>
        <v>0</v>
      </c>
      <c r="V128" s="137">
        <f>'бюджет округа (района)'!L129</f>
        <v>0</v>
      </c>
      <c r="W128" s="137">
        <f t="shared" si="624"/>
        <v>0</v>
      </c>
      <c r="X128" s="137">
        <f t="shared" si="625"/>
        <v>0</v>
      </c>
      <c r="Y128" s="137">
        <f>'бюджет округа (района)'!N129+'бюджеты поселений'!N129</f>
        <v>0</v>
      </c>
      <c r="Z128" s="137">
        <f>'бюджет округа (района)'!N129</f>
        <v>0</v>
      </c>
      <c r="AA128" s="137">
        <f t="shared" si="626"/>
        <v>0</v>
      </c>
      <c r="AB128" s="137">
        <f t="shared" si="627"/>
        <v>0</v>
      </c>
      <c r="AC128" s="137">
        <f>'бюджет округа (района)'!P129+'бюджеты поселений'!P129</f>
        <v>0</v>
      </c>
      <c r="AD128" s="137">
        <f>'бюджет округа (района)'!P129</f>
        <v>0</v>
      </c>
      <c r="AE128" s="137">
        <f t="shared" si="628"/>
        <v>0</v>
      </c>
      <c r="AF128" s="137">
        <f t="shared" si="629"/>
        <v>0</v>
      </c>
      <c r="AG128" s="137">
        <f>'бюджет округа (района)'!R129+'бюджеты поселений'!R129</f>
        <v>0</v>
      </c>
      <c r="AH128" s="137">
        <f>'бюджет округа (района)'!R129</f>
        <v>0</v>
      </c>
      <c r="AI128" s="137">
        <f t="shared" si="630"/>
        <v>0</v>
      </c>
      <c r="AJ128" s="137">
        <f t="shared" si="631"/>
        <v>0</v>
      </c>
      <c r="AK128" s="137">
        <f>'бюджет округа (района)'!T129+'бюджеты поселений'!T129</f>
        <v>0</v>
      </c>
      <c r="AL128" s="137">
        <f>'бюджет округа (района)'!T129</f>
        <v>0</v>
      </c>
      <c r="AM128" s="137">
        <f t="shared" si="632"/>
        <v>0</v>
      </c>
      <c r="AN128" s="137">
        <f t="shared" si="633"/>
        <v>0</v>
      </c>
      <c r="AO128" s="137">
        <f>'бюджет округа (района)'!V129+'бюджеты поселений'!V129</f>
        <v>0</v>
      </c>
      <c r="AP128" s="137">
        <f>'бюджет округа (района)'!V129</f>
        <v>0</v>
      </c>
      <c r="AQ128" s="137">
        <f t="shared" si="634"/>
        <v>0</v>
      </c>
      <c r="AR128" s="137">
        <f t="shared" si="635"/>
        <v>0</v>
      </c>
      <c r="AS128" s="137">
        <f>'бюджет округа (района)'!X129+'бюджеты поселений'!X129</f>
        <v>0</v>
      </c>
      <c r="AT128" s="137">
        <f>'бюджет округа (района)'!X129</f>
        <v>0</v>
      </c>
      <c r="AU128" s="137">
        <f t="shared" si="636"/>
        <v>0</v>
      </c>
      <c r="AV128" s="137">
        <f t="shared" si="637"/>
        <v>0</v>
      </c>
      <c r="AW128" s="137">
        <f>'бюджет округа (района)'!Z129+'бюджеты поселений'!Z129</f>
        <v>0</v>
      </c>
      <c r="AX128" s="137">
        <f>'бюджет округа (района)'!Z129</f>
        <v>0</v>
      </c>
      <c r="AY128" s="137" t="e">
        <f>'бюджет округа (района)'!AA129+'бюджеты поселений'!AA129</f>
        <v>#VALUE!</v>
      </c>
      <c r="AZ128" s="137" t="str">
        <f>'бюджет округа (района)'!AA129</f>
        <v>x</v>
      </c>
      <c r="BA128" s="162" t="s">
        <v>51</v>
      </c>
      <c r="BB128" s="162" t="s">
        <v>51</v>
      </c>
      <c r="BC128" s="137">
        <f>'бюджет округа (района)'!AC129+'бюджеты поселений'!AC129</f>
        <v>0</v>
      </c>
      <c r="BD128" s="137">
        <f>'бюджет округа (района)'!AC129</f>
        <v>0</v>
      </c>
      <c r="BE128" s="137">
        <f>'бюджет округа (района)'!AD129+'бюджеты поселений'!AD129</f>
        <v>0</v>
      </c>
      <c r="BF128" s="137">
        <f>'бюджет округа (района)'!AD129</f>
        <v>0</v>
      </c>
      <c r="BG128" s="137">
        <f t="shared" si="638"/>
        <v>0</v>
      </c>
      <c r="BH128" s="137">
        <f t="shared" si="639"/>
        <v>0</v>
      </c>
      <c r="BI128" s="162" t="s">
        <v>51</v>
      </c>
      <c r="BJ128" s="162" t="s">
        <v>51</v>
      </c>
      <c r="BK128" s="137">
        <f>'бюджет округа (района)'!AG129+'бюджеты поселений'!AG129</f>
        <v>0</v>
      </c>
      <c r="BL128" s="137">
        <f>'бюджет округа (района)'!AG129</f>
        <v>0</v>
      </c>
      <c r="BM128" s="137">
        <f t="shared" si="640"/>
        <v>0</v>
      </c>
      <c r="BN128" s="137">
        <f t="shared" si="668"/>
        <v>0</v>
      </c>
      <c r="BO128" s="162" t="s">
        <v>51</v>
      </c>
      <c r="BP128" s="162" t="s">
        <v>51</v>
      </c>
      <c r="BQ128" s="137">
        <f>'бюджет округа (района)'!AJ129+'бюджеты поселений'!AJ129</f>
        <v>0</v>
      </c>
      <c r="BR128" s="137">
        <f>'бюджет округа (района)'!AJ129</f>
        <v>0</v>
      </c>
      <c r="BS128" s="137">
        <f t="shared" si="642"/>
        <v>0</v>
      </c>
      <c r="BT128" s="137">
        <f t="shared" si="669"/>
        <v>0</v>
      </c>
      <c r="BU128" s="162" t="s">
        <v>51</v>
      </c>
      <c r="BV128" s="162" t="s">
        <v>51</v>
      </c>
      <c r="BW128" s="137">
        <f>'бюджет округа (района)'!AM129+'бюджеты поселений'!AM129</f>
        <v>0</v>
      </c>
      <c r="BX128" s="137">
        <f>'бюджет округа (района)'!AM129</f>
        <v>0</v>
      </c>
      <c r="BY128" s="137">
        <f t="shared" si="644"/>
        <v>0</v>
      </c>
      <c r="BZ128" s="137">
        <f t="shared" si="670"/>
        <v>0</v>
      </c>
      <c r="CA128" s="162" t="s">
        <v>51</v>
      </c>
      <c r="CB128" s="162" t="s">
        <v>51</v>
      </c>
      <c r="CC128" s="137">
        <f>'бюджет округа (района)'!AP129+'бюджеты поселений'!AP129</f>
        <v>0</v>
      </c>
      <c r="CD128" s="137">
        <f>'бюджет округа (района)'!AP129</f>
        <v>0</v>
      </c>
      <c r="CE128" s="137">
        <f t="shared" si="646"/>
        <v>0</v>
      </c>
      <c r="CF128" s="137">
        <f t="shared" si="671"/>
        <v>0</v>
      </c>
      <c r="CG128" s="162" t="s">
        <v>51</v>
      </c>
      <c r="CH128" s="162" t="s">
        <v>51</v>
      </c>
      <c r="CI128" s="137">
        <f>'бюджет округа (района)'!AS129+'бюджеты поселений'!AS129</f>
        <v>0</v>
      </c>
      <c r="CJ128" s="137">
        <f>'бюджет округа (района)'!AS129</f>
        <v>0</v>
      </c>
      <c r="CK128" s="137">
        <f t="shared" si="648"/>
        <v>0</v>
      </c>
      <c r="CL128" s="137">
        <f t="shared" si="672"/>
        <v>0</v>
      </c>
      <c r="CM128" s="162" t="s">
        <v>51</v>
      </c>
      <c r="CN128" s="162" t="s">
        <v>51</v>
      </c>
      <c r="CO128" s="137">
        <f>'бюджет округа (района)'!AV129+'бюджеты поселений'!AV129</f>
        <v>0</v>
      </c>
      <c r="CP128" s="137">
        <f>'бюджет округа (района)'!AV129</f>
        <v>0</v>
      </c>
      <c r="CQ128" s="137">
        <f t="shared" si="650"/>
        <v>0</v>
      </c>
      <c r="CR128" s="137">
        <f t="shared" si="673"/>
        <v>0</v>
      </c>
      <c r="CS128" s="162" t="s">
        <v>51</v>
      </c>
      <c r="CT128" s="162" t="s">
        <v>51</v>
      </c>
      <c r="CU128" s="137">
        <f>'бюджет округа (района)'!AY129+'бюджеты поселений'!AY129</f>
        <v>0</v>
      </c>
      <c r="CV128" s="137">
        <f>'бюджет округа (района)'!AY129</f>
        <v>0</v>
      </c>
      <c r="CW128" s="137">
        <f t="shared" si="652"/>
        <v>0</v>
      </c>
      <c r="CX128" s="137">
        <f t="shared" si="674"/>
        <v>0</v>
      </c>
      <c r="CY128" s="162" t="s">
        <v>51</v>
      </c>
      <c r="CZ128" s="162" t="s">
        <v>51</v>
      </c>
      <c r="DA128" s="137">
        <f>'бюджет округа (района)'!BB129+'бюджеты поселений'!BB129</f>
        <v>0</v>
      </c>
      <c r="DB128" s="137">
        <f>'бюджет округа (района)'!BB129</f>
        <v>0</v>
      </c>
      <c r="DC128" s="137">
        <f t="shared" si="654"/>
        <v>0</v>
      </c>
      <c r="DD128" s="137">
        <f t="shared" si="675"/>
        <v>0</v>
      </c>
      <c r="DE128" s="162" t="s">
        <v>51</v>
      </c>
      <c r="DF128" s="162" t="s">
        <v>51</v>
      </c>
      <c r="DG128" s="137">
        <f>'бюджет округа (района)'!BE129+'бюджеты поселений'!BE129</f>
        <v>0</v>
      </c>
      <c r="DH128" s="137">
        <f>'бюджет округа (района)'!BE129</f>
        <v>0</v>
      </c>
      <c r="DI128" s="137">
        <f t="shared" si="656"/>
        <v>0</v>
      </c>
      <c r="DJ128" s="137">
        <f t="shared" si="676"/>
        <v>0</v>
      </c>
      <c r="DK128" s="162" t="s">
        <v>51</v>
      </c>
      <c r="DL128" s="162" t="s">
        <v>51</v>
      </c>
      <c r="DM128" s="137">
        <f>'бюджет округа (района)'!BH129+'бюджеты поселений'!BH129</f>
        <v>0</v>
      </c>
      <c r="DN128" s="137">
        <f>'бюджет округа (района)'!BH129</f>
        <v>0</v>
      </c>
      <c r="DO128" s="137">
        <f>'бюджет округа (района)'!BI129+'бюджеты поселений'!BI129</f>
        <v>0</v>
      </c>
      <c r="DP128" s="137">
        <f>'бюджет округа (района)'!BI129</f>
        <v>0</v>
      </c>
      <c r="DQ128" s="137">
        <f>'бюджет округа (района)'!BJ129+'бюджеты поселений'!BJ129</f>
        <v>0</v>
      </c>
      <c r="DR128" s="137">
        <f>'бюджет округа (района)'!BJ129</f>
        <v>0</v>
      </c>
      <c r="DS128" s="162" t="s">
        <v>51</v>
      </c>
      <c r="DT128" s="162" t="s">
        <v>51</v>
      </c>
      <c r="DU128" s="162">
        <f t="shared" si="616"/>
        <v>1</v>
      </c>
      <c r="DV128" s="162">
        <f t="shared" si="617"/>
        <v>1</v>
      </c>
      <c r="DW128" s="171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  <c r="IW128" s="65"/>
      <c r="IX128" s="65"/>
      <c r="IY128" s="65"/>
      <c r="IZ128" s="65"/>
      <c r="JA128" s="65"/>
      <c r="JB128" s="65"/>
      <c r="JC128" s="65"/>
      <c r="JD128" s="65"/>
      <c r="JE128" s="65"/>
      <c r="JF128" s="65"/>
      <c r="JG128" s="65"/>
      <c r="JH128" s="65"/>
    </row>
    <row r="129" spans="1:268" s="87" customFormat="1" ht="15.75" customHeight="1">
      <c r="A129" s="275" t="s">
        <v>79</v>
      </c>
      <c r="B129" s="276"/>
      <c r="C129" s="130">
        <f>'бюджет округа (района)'!C130+'бюджеты поселений'!C130</f>
        <v>0</v>
      </c>
      <c r="D129" s="130">
        <f>'бюджет округа (района)'!C130</f>
        <v>0</v>
      </c>
      <c r="E129" s="130">
        <f t="shared" si="658"/>
        <v>0</v>
      </c>
      <c r="F129" s="130">
        <f t="shared" si="658"/>
        <v>0</v>
      </c>
      <c r="G129" s="130">
        <f>'бюджет округа (района)'!E130+'бюджеты поселений'!E130</f>
        <v>0</v>
      </c>
      <c r="H129" s="130">
        <f>'бюджет округа (района)'!E130</f>
        <v>0</v>
      </c>
      <c r="I129" s="130">
        <f>'бюджет округа (района)'!F130+'бюджеты поселений'!F130</f>
        <v>0</v>
      </c>
      <c r="J129" s="130">
        <f>'бюджет округа (района)'!F130</f>
        <v>0</v>
      </c>
      <c r="K129" s="130">
        <f t="shared" si="618"/>
        <v>0</v>
      </c>
      <c r="L129" s="130">
        <f t="shared" si="619"/>
        <v>0</v>
      </c>
      <c r="M129" s="130">
        <f>'бюджет округа (района)'!H130+'бюджеты поселений'!H130</f>
        <v>0</v>
      </c>
      <c r="N129" s="130">
        <f>'бюджет округа (района)'!H130</f>
        <v>0</v>
      </c>
      <c r="O129" s="130">
        <f t="shared" si="620"/>
        <v>0</v>
      </c>
      <c r="P129" s="130">
        <f t="shared" si="621"/>
        <v>0</v>
      </c>
      <c r="Q129" s="130">
        <f>'бюджет округа (района)'!J130+'бюджеты поселений'!J130</f>
        <v>0</v>
      </c>
      <c r="R129" s="130">
        <f>'бюджет округа (района)'!J130</f>
        <v>0</v>
      </c>
      <c r="S129" s="130">
        <f t="shared" si="622"/>
        <v>0</v>
      </c>
      <c r="T129" s="130">
        <f t="shared" si="623"/>
        <v>0</v>
      </c>
      <c r="U129" s="130">
        <f>'бюджет округа (района)'!L130+'бюджеты поселений'!L130</f>
        <v>0</v>
      </c>
      <c r="V129" s="130">
        <f>'бюджет округа (района)'!L130</f>
        <v>0</v>
      </c>
      <c r="W129" s="130">
        <f t="shared" si="624"/>
        <v>0</v>
      </c>
      <c r="X129" s="130">
        <f t="shared" si="625"/>
        <v>0</v>
      </c>
      <c r="Y129" s="130">
        <f>'бюджет округа (района)'!N130+'бюджеты поселений'!N130</f>
        <v>0</v>
      </c>
      <c r="Z129" s="130">
        <f>'бюджет округа (района)'!N130</f>
        <v>0</v>
      </c>
      <c r="AA129" s="130">
        <f t="shared" si="626"/>
        <v>0</v>
      </c>
      <c r="AB129" s="130">
        <f t="shared" si="627"/>
        <v>0</v>
      </c>
      <c r="AC129" s="130">
        <f>'бюджет округа (района)'!P130+'бюджеты поселений'!P130</f>
        <v>0</v>
      </c>
      <c r="AD129" s="130">
        <f>'бюджет округа (района)'!P130</f>
        <v>0</v>
      </c>
      <c r="AE129" s="130">
        <f t="shared" si="628"/>
        <v>0</v>
      </c>
      <c r="AF129" s="130">
        <f t="shared" si="629"/>
        <v>0</v>
      </c>
      <c r="AG129" s="130">
        <f>'бюджет округа (района)'!R130+'бюджеты поселений'!R130</f>
        <v>0</v>
      </c>
      <c r="AH129" s="130">
        <f>'бюджет округа (района)'!R130</f>
        <v>0</v>
      </c>
      <c r="AI129" s="130">
        <f t="shared" si="630"/>
        <v>0</v>
      </c>
      <c r="AJ129" s="130">
        <f t="shared" si="631"/>
        <v>0</v>
      </c>
      <c r="AK129" s="130">
        <f>'бюджет округа (района)'!T130+'бюджеты поселений'!T130</f>
        <v>0</v>
      </c>
      <c r="AL129" s="130">
        <f>'бюджет округа (района)'!T130</f>
        <v>0</v>
      </c>
      <c r="AM129" s="130">
        <f t="shared" si="632"/>
        <v>0</v>
      </c>
      <c r="AN129" s="130">
        <f t="shared" si="633"/>
        <v>0</v>
      </c>
      <c r="AO129" s="130">
        <f>'бюджет округа (района)'!V130+'бюджеты поселений'!V130</f>
        <v>0</v>
      </c>
      <c r="AP129" s="130">
        <f>'бюджет округа (района)'!V130</f>
        <v>0</v>
      </c>
      <c r="AQ129" s="130">
        <f t="shared" si="634"/>
        <v>0</v>
      </c>
      <c r="AR129" s="130">
        <f t="shared" si="635"/>
        <v>0</v>
      </c>
      <c r="AS129" s="130">
        <f>'бюджет округа (района)'!X130+'бюджеты поселений'!X130</f>
        <v>0</v>
      </c>
      <c r="AT129" s="130">
        <f>'бюджет округа (района)'!X130</f>
        <v>0</v>
      </c>
      <c r="AU129" s="130">
        <f t="shared" si="636"/>
        <v>0</v>
      </c>
      <c r="AV129" s="130">
        <f t="shared" si="637"/>
        <v>0</v>
      </c>
      <c r="AW129" s="130">
        <f>'бюджет округа (района)'!Z130+'бюджеты поселений'!Z130</f>
        <v>0</v>
      </c>
      <c r="AX129" s="130">
        <f>'бюджет округа (района)'!Z130</f>
        <v>0</v>
      </c>
      <c r="AY129" s="130" t="e">
        <f>'бюджет округа (района)'!AA130+'бюджеты поселений'!AA130</f>
        <v>#VALUE!</v>
      </c>
      <c r="AZ129" s="130" t="str">
        <f>'бюджет округа (района)'!AA130</f>
        <v>x</v>
      </c>
      <c r="BA129" s="143" t="s">
        <v>51</v>
      </c>
      <c r="BB129" s="143" t="s">
        <v>51</v>
      </c>
      <c r="BC129" s="130">
        <f>'бюджет округа (района)'!AC130+'бюджеты поселений'!AC130</f>
        <v>0</v>
      </c>
      <c r="BD129" s="130">
        <f>'бюджет округа (района)'!AC130</f>
        <v>0</v>
      </c>
      <c r="BE129" s="130">
        <f>'бюджет округа (района)'!AD130+'бюджеты поселений'!AD130</f>
        <v>0</v>
      </c>
      <c r="BF129" s="130">
        <f>'бюджет округа (района)'!AD130</f>
        <v>0</v>
      </c>
      <c r="BG129" s="130">
        <f t="shared" si="638"/>
        <v>0</v>
      </c>
      <c r="BH129" s="130">
        <f t="shared" si="639"/>
        <v>0</v>
      </c>
      <c r="BI129" s="143" t="s">
        <v>51</v>
      </c>
      <c r="BJ129" s="143" t="s">
        <v>51</v>
      </c>
      <c r="BK129" s="130">
        <f>'бюджет округа (района)'!AG130+'бюджеты поселений'!AG130</f>
        <v>0</v>
      </c>
      <c r="BL129" s="130">
        <f>'бюджет округа (района)'!AG130</f>
        <v>0</v>
      </c>
      <c r="BM129" s="130">
        <f t="shared" si="640"/>
        <v>0</v>
      </c>
      <c r="BN129" s="130">
        <f t="shared" si="668"/>
        <v>0</v>
      </c>
      <c r="BO129" s="143" t="s">
        <v>51</v>
      </c>
      <c r="BP129" s="143" t="s">
        <v>51</v>
      </c>
      <c r="BQ129" s="130">
        <f>'бюджет округа (района)'!AJ130+'бюджеты поселений'!AJ130</f>
        <v>0</v>
      </c>
      <c r="BR129" s="130">
        <f>'бюджет округа (района)'!AJ130</f>
        <v>0</v>
      </c>
      <c r="BS129" s="130">
        <f t="shared" si="642"/>
        <v>0</v>
      </c>
      <c r="BT129" s="130">
        <f t="shared" si="669"/>
        <v>0</v>
      </c>
      <c r="BU129" s="143" t="s">
        <v>51</v>
      </c>
      <c r="BV129" s="143" t="s">
        <v>51</v>
      </c>
      <c r="BW129" s="130">
        <f>'бюджет округа (района)'!AM130+'бюджеты поселений'!AM130</f>
        <v>0</v>
      </c>
      <c r="BX129" s="130">
        <f>'бюджет округа (района)'!AM130</f>
        <v>0</v>
      </c>
      <c r="BY129" s="130">
        <f t="shared" si="644"/>
        <v>0</v>
      </c>
      <c r="BZ129" s="130">
        <f t="shared" si="670"/>
        <v>0</v>
      </c>
      <c r="CA129" s="143" t="s">
        <v>51</v>
      </c>
      <c r="CB129" s="143" t="s">
        <v>51</v>
      </c>
      <c r="CC129" s="130">
        <f>'бюджет округа (района)'!AP130+'бюджеты поселений'!AP130</f>
        <v>0</v>
      </c>
      <c r="CD129" s="130">
        <f>'бюджет округа (района)'!AP130</f>
        <v>0</v>
      </c>
      <c r="CE129" s="130">
        <f t="shared" si="646"/>
        <v>0</v>
      </c>
      <c r="CF129" s="130">
        <f t="shared" si="671"/>
        <v>0</v>
      </c>
      <c r="CG129" s="143" t="s">
        <v>51</v>
      </c>
      <c r="CH129" s="143" t="s">
        <v>51</v>
      </c>
      <c r="CI129" s="130">
        <f>'бюджет округа (района)'!AS130+'бюджеты поселений'!AS130</f>
        <v>0</v>
      </c>
      <c r="CJ129" s="130">
        <f>'бюджет округа (района)'!AS130</f>
        <v>0</v>
      </c>
      <c r="CK129" s="130">
        <f t="shared" si="648"/>
        <v>0</v>
      </c>
      <c r="CL129" s="130">
        <f t="shared" si="672"/>
        <v>0</v>
      </c>
      <c r="CM129" s="143" t="s">
        <v>51</v>
      </c>
      <c r="CN129" s="143" t="s">
        <v>51</v>
      </c>
      <c r="CO129" s="130">
        <f>'бюджет округа (района)'!AV130+'бюджеты поселений'!AV130</f>
        <v>0</v>
      </c>
      <c r="CP129" s="130">
        <f>'бюджет округа (района)'!AV130</f>
        <v>0</v>
      </c>
      <c r="CQ129" s="130">
        <f t="shared" si="650"/>
        <v>0</v>
      </c>
      <c r="CR129" s="130">
        <f t="shared" si="673"/>
        <v>0</v>
      </c>
      <c r="CS129" s="143" t="s">
        <v>51</v>
      </c>
      <c r="CT129" s="143" t="s">
        <v>51</v>
      </c>
      <c r="CU129" s="130">
        <f>'бюджет округа (района)'!AY130+'бюджеты поселений'!AY130</f>
        <v>0</v>
      </c>
      <c r="CV129" s="130">
        <f>'бюджет округа (района)'!AY130</f>
        <v>0</v>
      </c>
      <c r="CW129" s="130">
        <f t="shared" si="652"/>
        <v>0</v>
      </c>
      <c r="CX129" s="130">
        <f t="shared" si="674"/>
        <v>0</v>
      </c>
      <c r="CY129" s="143" t="s">
        <v>51</v>
      </c>
      <c r="CZ129" s="143" t="s">
        <v>51</v>
      </c>
      <c r="DA129" s="130">
        <f>'бюджет округа (района)'!BB130+'бюджеты поселений'!BB130</f>
        <v>0</v>
      </c>
      <c r="DB129" s="130">
        <f>'бюджет округа (района)'!BB130</f>
        <v>0</v>
      </c>
      <c r="DC129" s="130">
        <f t="shared" si="654"/>
        <v>0</v>
      </c>
      <c r="DD129" s="130">
        <f t="shared" si="675"/>
        <v>0</v>
      </c>
      <c r="DE129" s="143" t="s">
        <v>51</v>
      </c>
      <c r="DF129" s="143" t="s">
        <v>51</v>
      </c>
      <c r="DG129" s="130">
        <f>'бюджет округа (района)'!BE130+'бюджеты поселений'!BE130</f>
        <v>0</v>
      </c>
      <c r="DH129" s="130">
        <f>'бюджет округа (района)'!BE130</f>
        <v>0</v>
      </c>
      <c r="DI129" s="130">
        <f t="shared" si="656"/>
        <v>0</v>
      </c>
      <c r="DJ129" s="130">
        <f t="shared" si="676"/>
        <v>0</v>
      </c>
      <c r="DK129" s="143" t="s">
        <v>51</v>
      </c>
      <c r="DL129" s="143" t="s">
        <v>51</v>
      </c>
      <c r="DM129" s="130">
        <f>'бюджет округа (района)'!BH130+'бюджеты поселений'!BH130</f>
        <v>0</v>
      </c>
      <c r="DN129" s="130">
        <f>'бюджет округа (района)'!BH130</f>
        <v>0</v>
      </c>
      <c r="DO129" s="130">
        <f>'бюджет округа (района)'!BI130+'бюджеты поселений'!BI130</f>
        <v>0</v>
      </c>
      <c r="DP129" s="130">
        <f>'бюджет округа (района)'!BI130</f>
        <v>0</v>
      </c>
      <c r="DQ129" s="130">
        <f>'бюджет округа (района)'!BJ130+'бюджеты поселений'!BJ130</f>
        <v>0</v>
      </c>
      <c r="DR129" s="130">
        <f>'бюджет округа (района)'!BJ130</f>
        <v>0</v>
      </c>
      <c r="DS129" s="143" t="s">
        <v>51</v>
      </c>
      <c r="DT129" s="143" t="s">
        <v>51</v>
      </c>
      <c r="DU129" s="143">
        <f t="shared" si="616"/>
        <v>1</v>
      </c>
      <c r="DV129" s="143">
        <f t="shared" si="617"/>
        <v>1</v>
      </c>
      <c r="DW129" s="172"/>
      <c r="DX129" s="88"/>
      <c r="DY129" s="88"/>
      <c r="DZ129" s="88"/>
      <c r="EA129" s="88"/>
      <c r="EB129" s="88"/>
      <c r="EC129" s="88"/>
      <c r="ED129" s="88"/>
      <c r="EE129" s="88"/>
      <c r="EF129" s="88"/>
      <c r="EG129" s="88"/>
      <c r="EH129" s="88"/>
      <c r="EI129" s="88"/>
      <c r="EJ129" s="88"/>
      <c r="EK129" s="88"/>
      <c r="EL129" s="88"/>
      <c r="EM129" s="88"/>
      <c r="EN129" s="88"/>
      <c r="EO129" s="88"/>
      <c r="EP129" s="88"/>
      <c r="EQ129" s="88"/>
      <c r="ER129" s="88"/>
      <c r="ES129" s="88"/>
      <c r="ET129" s="88"/>
      <c r="EU129" s="88"/>
      <c r="EV129" s="88"/>
      <c r="EW129" s="88"/>
      <c r="EX129" s="88"/>
      <c r="EY129" s="88"/>
      <c r="EZ129" s="88"/>
      <c r="FA129" s="88"/>
      <c r="FB129" s="88"/>
      <c r="FC129" s="88"/>
      <c r="FD129" s="88"/>
      <c r="FE129" s="88"/>
      <c r="FF129" s="88"/>
      <c r="FG129" s="88"/>
      <c r="FH129" s="88"/>
      <c r="FI129" s="88"/>
      <c r="FJ129" s="88"/>
      <c r="FK129" s="88"/>
      <c r="FL129" s="88"/>
      <c r="FM129" s="88"/>
      <c r="FN129" s="88"/>
      <c r="FO129" s="88"/>
      <c r="FP129" s="88"/>
      <c r="FQ129" s="88"/>
      <c r="FR129" s="88"/>
      <c r="FS129" s="88"/>
      <c r="FT129" s="88"/>
      <c r="FU129" s="88"/>
      <c r="FV129" s="88"/>
      <c r="FW129" s="88"/>
      <c r="FX129" s="88"/>
      <c r="FY129" s="88"/>
      <c r="FZ129" s="88"/>
      <c r="GA129" s="88"/>
      <c r="GB129" s="88"/>
      <c r="GC129" s="88"/>
      <c r="GD129" s="88"/>
      <c r="GE129" s="88"/>
      <c r="GF129" s="88"/>
      <c r="GG129" s="88"/>
      <c r="GH129" s="88"/>
      <c r="GI129" s="88"/>
      <c r="GJ129" s="88"/>
      <c r="GK129" s="88"/>
      <c r="GL129" s="88"/>
      <c r="GM129" s="88"/>
      <c r="GN129" s="88"/>
      <c r="GO129" s="88"/>
      <c r="GP129" s="88"/>
      <c r="GQ129" s="88"/>
      <c r="GR129" s="88"/>
      <c r="GS129" s="88"/>
      <c r="GT129" s="88"/>
      <c r="GU129" s="88"/>
      <c r="GV129" s="88"/>
      <c r="GW129" s="88"/>
      <c r="GX129" s="88"/>
      <c r="GY129" s="88"/>
      <c r="GZ129" s="88"/>
      <c r="HA129" s="88"/>
      <c r="HB129" s="88"/>
      <c r="HC129" s="88"/>
      <c r="HD129" s="88"/>
      <c r="HE129" s="88"/>
      <c r="HF129" s="88"/>
      <c r="HG129" s="88"/>
      <c r="HH129" s="88"/>
      <c r="HI129" s="88"/>
      <c r="HJ129" s="88"/>
      <c r="HK129" s="88"/>
      <c r="HL129" s="88"/>
      <c r="HM129" s="88"/>
      <c r="HN129" s="88"/>
      <c r="HO129" s="88"/>
      <c r="HP129" s="88"/>
      <c r="HQ129" s="88"/>
      <c r="HR129" s="88"/>
      <c r="HS129" s="88"/>
      <c r="HT129" s="88"/>
      <c r="HU129" s="88"/>
      <c r="HV129" s="88"/>
      <c r="HW129" s="88"/>
      <c r="HX129" s="88"/>
      <c r="HY129" s="88"/>
      <c r="HZ129" s="88"/>
      <c r="IA129" s="88"/>
      <c r="IB129" s="88"/>
      <c r="IC129" s="88"/>
      <c r="ID129" s="88"/>
      <c r="IE129" s="88"/>
      <c r="IF129" s="88"/>
      <c r="IG129" s="88"/>
      <c r="IH129" s="88"/>
      <c r="II129" s="88"/>
      <c r="IJ129" s="88"/>
      <c r="IK129" s="88"/>
      <c r="IL129" s="88"/>
      <c r="IM129" s="88"/>
      <c r="IN129" s="88"/>
      <c r="IO129" s="88"/>
      <c r="IP129" s="88"/>
      <c r="IQ129" s="88"/>
      <c r="IR129" s="88"/>
      <c r="IS129" s="88"/>
      <c r="IT129" s="88"/>
      <c r="IU129" s="88"/>
      <c r="IV129" s="88"/>
      <c r="IW129" s="88"/>
      <c r="IX129" s="88"/>
      <c r="IY129" s="88"/>
      <c r="IZ129" s="88"/>
      <c r="JA129" s="88"/>
      <c r="JB129" s="88"/>
      <c r="JC129" s="88"/>
      <c r="JD129" s="88"/>
      <c r="JE129" s="88"/>
      <c r="JF129" s="88"/>
      <c r="JG129" s="88"/>
      <c r="JH129" s="88"/>
    </row>
    <row r="130" spans="1:268" s="82" customFormat="1" ht="16.5">
      <c r="A130" s="275" t="s">
        <v>134</v>
      </c>
      <c r="B130" s="276"/>
      <c r="C130" s="130">
        <f>'бюджет округа (района)'!C131+'бюджеты поселений'!C131</f>
        <v>0</v>
      </c>
      <c r="D130" s="130">
        <f>'бюджет округа (района)'!C131</f>
        <v>0</v>
      </c>
      <c r="E130" s="130">
        <f t="shared" si="658"/>
        <v>0</v>
      </c>
      <c r="F130" s="130">
        <f t="shared" si="658"/>
        <v>0</v>
      </c>
      <c r="G130" s="130">
        <f>'бюджет округа (района)'!E131+'бюджеты поселений'!E131</f>
        <v>0</v>
      </c>
      <c r="H130" s="130">
        <f>'бюджет округа (района)'!E131</f>
        <v>0</v>
      </c>
      <c r="I130" s="130">
        <f>'бюджет округа (района)'!F131+'бюджеты поселений'!F131</f>
        <v>0</v>
      </c>
      <c r="J130" s="130">
        <f>'бюджет округа (района)'!F131</f>
        <v>0</v>
      </c>
      <c r="K130" s="130">
        <f t="shared" si="618"/>
        <v>0</v>
      </c>
      <c r="L130" s="130">
        <f t="shared" si="619"/>
        <v>0</v>
      </c>
      <c r="M130" s="130">
        <f>'бюджет округа (района)'!H131+'бюджеты поселений'!H131</f>
        <v>0</v>
      </c>
      <c r="N130" s="130">
        <f>'бюджет округа (района)'!H131</f>
        <v>0</v>
      </c>
      <c r="O130" s="130">
        <f t="shared" si="620"/>
        <v>0</v>
      </c>
      <c r="P130" s="130">
        <f t="shared" si="621"/>
        <v>0</v>
      </c>
      <c r="Q130" s="130">
        <f>'бюджет округа (района)'!J131+'бюджеты поселений'!J131</f>
        <v>0</v>
      </c>
      <c r="R130" s="130">
        <f>'бюджет округа (района)'!J131</f>
        <v>0</v>
      </c>
      <c r="S130" s="130">
        <f t="shared" si="622"/>
        <v>0</v>
      </c>
      <c r="T130" s="130">
        <f t="shared" si="623"/>
        <v>0</v>
      </c>
      <c r="U130" s="130">
        <f>'бюджет округа (района)'!L131+'бюджеты поселений'!L131</f>
        <v>0</v>
      </c>
      <c r="V130" s="130">
        <f>'бюджет округа (района)'!L131</f>
        <v>0</v>
      </c>
      <c r="W130" s="130">
        <f t="shared" si="624"/>
        <v>0</v>
      </c>
      <c r="X130" s="130">
        <f t="shared" si="625"/>
        <v>0</v>
      </c>
      <c r="Y130" s="130">
        <f>'бюджет округа (района)'!N131+'бюджеты поселений'!N131</f>
        <v>0</v>
      </c>
      <c r="Z130" s="130">
        <f>'бюджет округа (района)'!N131</f>
        <v>0</v>
      </c>
      <c r="AA130" s="130">
        <f t="shared" si="626"/>
        <v>0</v>
      </c>
      <c r="AB130" s="130">
        <f t="shared" si="627"/>
        <v>0</v>
      </c>
      <c r="AC130" s="130">
        <f>'бюджет округа (района)'!P131+'бюджеты поселений'!P131</f>
        <v>0</v>
      </c>
      <c r="AD130" s="130">
        <f>'бюджет округа (района)'!P131</f>
        <v>0</v>
      </c>
      <c r="AE130" s="130">
        <f t="shared" si="628"/>
        <v>0</v>
      </c>
      <c r="AF130" s="130">
        <f t="shared" si="629"/>
        <v>0</v>
      </c>
      <c r="AG130" s="130">
        <f>'бюджет округа (района)'!R131+'бюджеты поселений'!R131</f>
        <v>0</v>
      </c>
      <c r="AH130" s="130">
        <f>'бюджет округа (района)'!R131</f>
        <v>0</v>
      </c>
      <c r="AI130" s="130">
        <f t="shared" si="630"/>
        <v>0</v>
      </c>
      <c r="AJ130" s="130">
        <f t="shared" si="631"/>
        <v>0</v>
      </c>
      <c r="AK130" s="130">
        <f>'бюджет округа (района)'!T131+'бюджеты поселений'!T131</f>
        <v>0</v>
      </c>
      <c r="AL130" s="130">
        <f>'бюджет округа (района)'!T131</f>
        <v>0</v>
      </c>
      <c r="AM130" s="130">
        <f t="shared" si="632"/>
        <v>0</v>
      </c>
      <c r="AN130" s="130">
        <f t="shared" si="633"/>
        <v>0</v>
      </c>
      <c r="AO130" s="130">
        <f>'бюджет округа (района)'!V131+'бюджеты поселений'!V131</f>
        <v>0</v>
      </c>
      <c r="AP130" s="130">
        <f>'бюджет округа (района)'!V131</f>
        <v>0</v>
      </c>
      <c r="AQ130" s="130">
        <f t="shared" si="634"/>
        <v>0</v>
      </c>
      <c r="AR130" s="130">
        <f t="shared" si="635"/>
        <v>0</v>
      </c>
      <c r="AS130" s="130">
        <f>'бюджет округа (района)'!X131+'бюджеты поселений'!X131</f>
        <v>0</v>
      </c>
      <c r="AT130" s="130">
        <f>'бюджет округа (района)'!X131</f>
        <v>0</v>
      </c>
      <c r="AU130" s="130">
        <f t="shared" si="636"/>
        <v>0</v>
      </c>
      <c r="AV130" s="130">
        <f t="shared" si="637"/>
        <v>0</v>
      </c>
      <c r="AW130" s="130">
        <f>'бюджет округа (района)'!Z131+'бюджеты поселений'!Z131</f>
        <v>0</v>
      </c>
      <c r="AX130" s="130">
        <f>'бюджет округа (района)'!Z131</f>
        <v>0</v>
      </c>
      <c r="AY130" s="130" t="e">
        <f>'бюджет округа (района)'!AA131+'бюджеты поселений'!AA131</f>
        <v>#VALUE!</v>
      </c>
      <c r="AZ130" s="130" t="str">
        <f>'бюджет округа (района)'!AA131</f>
        <v>x</v>
      </c>
      <c r="BA130" s="143" t="s">
        <v>51</v>
      </c>
      <c r="BB130" s="143" t="s">
        <v>51</v>
      </c>
      <c r="BC130" s="130">
        <f>'бюджет округа (района)'!AC131+'бюджеты поселений'!AC131</f>
        <v>0</v>
      </c>
      <c r="BD130" s="130">
        <f>'бюджет округа (района)'!AC131</f>
        <v>0</v>
      </c>
      <c r="BE130" s="130">
        <f>'бюджет округа (района)'!AD131+'бюджеты поселений'!AD131</f>
        <v>0</v>
      </c>
      <c r="BF130" s="130">
        <f>'бюджет округа (района)'!AD131</f>
        <v>0</v>
      </c>
      <c r="BG130" s="130">
        <f t="shared" si="638"/>
        <v>0</v>
      </c>
      <c r="BH130" s="130">
        <f t="shared" si="639"/>
        <v>0</v>
      </c>
      <c r="BI130" s="143">
        <f t="shared" ref="BI130:BJ130" si="677">IF(K130=0,1,BG130/K130-1)</f>
        <v>1</v>
      </c>
      <c r="BJ130" s="143">
        <f t="shared" si="677"/>
        <v>1</v>
      </c>
      <c r="BK130" s="130">
        <f>'бюджет округа (района)'!AG131+'бюджеты поселений'!AG131</f>
        <v>0</v>
      </c>
      <c r="BL130" s="130">
        <f>'бюджет округа (района)'!AG131</f>
        <v>0</v>
      </c>
      <c r="BM130" s="130">
        <f t="shared" si="640"/>
        <v>0</v>
      </c>
      <c r="BN130" s="130">
        <f t="shared" si="668"/>
        <v>0</v>
      </c>
      <c r="BO130" s="143">
        <f t="shared" ref="BO130:BP130" si="678">IF(O130=0,1,BM130/O130-1)</f>
        <v>1</v>
      </c>
      <c r="BP130" s="143">
        <f t="shared" si="678"/>
        <v>1</v>
      </c>
      <c r="BQ130" s="130">
        <f>'бюджет округа (района)'!AJ131+'бюджеты поселений'!AJ131</f>
        <v>0</v>
      </c>
      <c r="BR130" s="130">
        <f>'бюджет округа (района)'!AJ131</f>
        <v>0</v>
      </c>
      <c r="BS130" s="130">
        <f t="shared" si="642"/>
        <v>0</v>
      </c>
      <c r="BT130" s="130">
        <f t="shared" si="669"/>
        <v>0</v>
      </c>
      <c r="BU130" s="143">
        <f t="shared" ref="BU130:BV130" si="679">IF(S130=0,1,BS130/S130-1)</f>
        <v>1</v>
      </c>
      <c r="BV130" s="143">
        <f t="shared" si="679"/>
        <v>1</v>
      </c>
      <c r="BW130" s="130">
        <f>'бюджет округа (района)'!AM131+'бюджеты поселений'!AM131</f>
        <v>0</v>
      </c>
      <c r="BX130" s="130">
        <f>'бюджет округа (района)'!AM131</f>
        <v>0</v>
      </c>
      <c r="BY130" s="130">
        <f t="shared" si="644"/>
        <v>0</v>
      </c>
      <c r="BZ130" s="130">
        <f t="shared" si="670"/>
        <v>0</v>
      </c>
      <c r="CA130" s="143">
        <f t="shared" ref="CA130:CB130" si="680">IF(W130=0,1,BY130/W130-1)</f>
        <v>1</v>
      </c>
      <c r="CB130" s="143">
        <f t="shared" si="680"/>
        <v>1</v>
      </c>
      <c r="CC130" s="130">
        <f>'бюджет округа (района)'!AP131+'бюджеты поселений'!AP131</f>
        <v>0</v>
      </c>
      <c r="CD130" s="130">
        <f>'бюджет округа (района)'!AP131</f>
        <v>0</v>
      </c>
      <c r="CE130" s="130">
        <f t="shared" si="646"/>
        <v>0</v>
      </c>
      <c r="CF130" s="130">
        <f t="shared" si="671"/>
        <v>0</v>
      </c>
      <c r="CG130" s="143">
        <f t="shared" ref="CG130:CH130" si="681">IF(AA130=0,1,CE130/AA130-1)</f>
        <v>1</v>
      </c>
      <c r="CH130" s="143">
        <f t="shared" si="681"/>
        <v>1</v>
      </c>
      <c r="CI130" s="130">
        <f>'бюджет округа (района)'!AS131+'бюджеты поселений'!AS131</f>
        <v>0</v>
      </c>
      <c r="CJ130" s="130">
        <f>'бюджет округа (района)'!AS131</f>
        <v>0</v>
      </c>
      <c r="CK130" s="130">
        <f t="shared" si="648"/>
        <v>0</v>
      </c>
      <c r="CL130" s="130">
        <f t="shared" si="672"/>
        <v>0</v>
      </c>
      <c r="CM130" s="143">
        <f t="shared" ref="CM130:CN130" si="682">IF(AE130=0,1,CK130/AE130-1)</f>
        <v>1</v>
      </c>
      <c r="CN130" s="143">
        <f t="shared" si="682"/>
        <v>1</v>
      </c>
      <c r="CO130" s="130">
        <f>'бюджет округа (района)'!AV131+'бюджеты поселений'!AV131</f>
        <v>0</v>
      </c>
      <c r="CP130" s="130">
        <f>'бюджет округа (района)'!AV131</f>
        <v>0</v>
      </c>
      <c r="CQ130" s="130">
        <f t="shared" si="650"/>
        <v>0</v>
      </c>
      <c r="CR130" s="130">
        <f t="shared" si="673"/>
        <v>0</v>
      </c>
      <c r="CS130" s="143">
        <f t="shared" ref="CS130:CT130" si="683">IF(AI130=0,1,CQ130/AI130-1)</f>
        <v>1</v>
      </c>
      <c r="CT130" s="143">
        <f t="shared" si="683"/>
        <v>1</v>
      </c>
      <c r="CU130" s="130">
        <f>'бюджет округа (района)'!AY131+'бюджеты поселений'!AY131</f>
        <v>0</v>
      </c>
      <c r="CV130" s="130">
        <f>'бюджет округа (района)'!AY131</f>
        <v>0</v>
      </c>
      <c r="CW130" s="130">
        <f t="shared" si="652"/>
        <v>0</v>
      </c>
      <c r="CX130" s="130">
        <f t="shared" si="674"/>
        <v>0</v>
      </c>
      <c r="CY130" s="143">
        <f t="shared" ref="CY130:CZ130" si="684">IF(AM130=0,1,CW130/AM130-1)</f>
        <v>1</v>
      </c>
      <c r="CZ130" s="143">
        <f t="shared" si="684"/>
        <v>1</v>
      </c>
      <c r="DA130" s="130">
        <f>'бюджет округа (района)'!BB131+'бюджеты поселений'!BB131</f>
        <v>0</v>
      </c>
      <c r="DB130" s="130">
        <f>'бюджет округа (района)'!BB131</f>
        <v>0</v>
      </c>
      <c r="DC130" s="130">
        <f t="shared" si="654"/>
        <v>0</v>
      </c>
      <c r="DD130" s="130">
        <f t="shared" si="675"/>
        <v>0</v>
      </c>
      <c r="DE130" s="143">
        <f t="shared" ref="DE130:DF130" si="685">IF(AQ130=0,1,DC130/AQ130-1)</f>
        <v>1</v>
      </c>
      <c r="DF130" s="143">
        <f t="shared" si="685"/>
        <v>1</v>
      </c>
      <c r="DG130" s="130">
        <f>'бюджет округа (района)'!BE131+'бюджеты поселений'!BE131</f>
        <v>0</v>
      </c>
      <c r="DH130" s="130">
        <f>'бюджет округа (района)'!BE131</f>
        <v>0</v>
      </c>
      <c r="DI130" s="130">
        <f t="shared" si="656"/>
        <v>0</v>
      </c>
      <c r="DJ130" s="130">
        <f t="shared" si="676"/>
        <v>0</v>
      </c>
      <c r="DK130" s="143">
        <f t="shared" ref="DK130:DL130" si="686">IF(AU130=0,1,DI130/AU130-1)</f>
        <v>1</v>
      </c>
      <c r="DL130" s="143">
        <f t="shared" si="686"/>
        <v>1</v>
      </c>
      <c r="DM130" s="130">
        <f>'бюджет округа (района)'!BH131+'бюджеты поселений'!BH131</f>
        <v>0</v>
      </c>
      <c r="DN130" s="130">
        <f>'бюджет округа (района)'!BH131</f>
        <v>0</v>
      </c>
      <c r="DO130" s="130">
        <f>'бюджет округа (района)'!BI131+'бюджеты поселений'!BI131</f>
        <v>0</v>
      </c>
      <c r="DP130" s="130">
        <f>'бюджет округа (района)'!BI131</f>
        <v>0</v>
      </c>
      <c r="DQ130" s="130">
        <f>'бюджет округа (района)'!BJ131+'бюджеты поселений'!BJ131</f>
        <v>0</v>
      </c>
      <c r="DR130" s="130">
        <f>'бюджет округа (района)'!BJ131</f>
        <v>0</v>
      </c>
      <c r="DS130" s="143">
        <f>IF($AY$24=0,1,DQ130/$AY$24-1)</f>
        <v>1</v>
      </c>
      <c r="DT130" s="143">
        <f>IF($AZ$24=0,1,DR130/$AZ$24-1)</f>
        <v>1</v>
      </c>
      <c r="DU130" s="143">
        <f t="shared" si="616"/>
        <v>1</v>
      </c>
      <c r="DV130" s="143">
        <f t="shared" si="617"/>
        <v>1</v>
      </c>
      <c r="DW130" s="83"/>
      <c r="DX130" s="83"/>
      <c r="DY130" s="83"/>
      <c r="DZ130" s="83"/>
      <c r="EA130" s="83"/>
      <c r="EB130" s="83"/>
      <c r="EC130" s="83"/>
      <c r="ED130" s="83"/>
      <c r="EE130" s="83"/>
      <c r="EF130" s="83"/>
      <c r="EG130" s="83"/>
      <c r="EH130" s="83"/>
      <c r="EI130" s="83"/>
      <c r="EJ130" s="83"/>
      <c r="EK130" s="83"/>
      <c r="EL130" s="83"/>
      <c r="EM130" s="83"/>
      <c r="EN130" s="83"/>
      <c r="EO130" s="83"/>
      <c r="EP130" s="83"/>
      <c r="EQ130" s="83"/>
      <c r="ER130" s="83"/>
      <c r="ES130" s="83"/>
      <c r="ET130" s="83"/>
      <c r="EU130" s="83"/>
      <c r="EV130" s="83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83"/>
      <c r="GB130" s="83"/>
      <c r="GC130" s="83"/>
      <c r="GD130" s="83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  <c r="GT130" s="83"/>
      <c r="GU130" s="83"/>
      <c r="GV130" s="83"/>
      <c r="GW130" s="83"/>
      <c r="GX130" s="83"/>
      <c r="GY130" s="83"/>
      <c r="GZ130" s="83"/>
      <c r="HA130" s="83"/>
      <c r="HB130" s="83"/>
      <c r="HC130" s="83"/>
      <c r="HD130" s="83"/>
      <c r="HE130" s="83"/>
      <c r="HF130" s="83"/>
      <c r="HG130" s="83"/>
      <c r="HH130" s="83"/>
      <c r="HI130" s="83"/>
      <c r="HJ130" s="83"/>
      <c r="HK130" s="83"/>
      <c r="HL130" s="83"/>
      <c r="HM130" s="83"/>
      <c r="HN130" s="83"/>
      <c r="HO130" s="83"/>
      <c r="HP130" s="83"/>
      <c r="HQ130" s="83"/>
      <c r="HR130" s="83"/>
      <c r="HS130" s="83"/>
      <c r="HT130" s="83"/>
      <c r="HU130" s="83"/>
      <c r="HV130" s="83"/>
      <c r="HW130" s="83"/>
      <c r="HX130" s="83"/>
      <c r="HY130" s="83"/>
      <c r="HZ130" s="83"/>
      <c r="IA130" s="83"/>
      <c r="IB130" s="83"/>
      <c r="IC130" s="83"/>
      <c r="ID130" s="83"/>
      <c r="IE130" s="83"/>
      <c r="IF130" s="83"/>
      <c r="IG130" s="83"/>
      <c r="IH130" s="83"/>
      <c r="II130" s="83"/>
      <c r="IJ130" s="83"/>
      <c r="IK130" s="83"/>
      <c r="IL130" s="83"/>
      <c r="IM130" s="83"/>
      <c r="IN130" s="83"/>
      <c r="IO130" s="83"/>
      <c r="IP130" s="83"/>
      <c r="IQ130" s="83"/>
      <c r="IR130" s="83"/>
      <c r="IS130" s="83"/>
      <c r="IT130" s="83"/>
      <c r="IU130" s="83"/>
      <c r="IV130" s="83"/>
      <c r="IW130" s="83"/>
      <c r="IX130" s="83"/>
      <c r="IY130" s="83"/>
      <c r="IZ130" s="83"/>
      <c r="JA130" s="83"/>
      <c r="JB130" s="83"/>
      <c r="JC130" s="83"/>
      <c r="JD130" s="83"/>
      <c r="JE130" s="83"/>
      <c r="JF130" s="83"/>
      <c r="JG130" s="83"/>
      <c r="JH130" s="83"/>
    </row>
    <row r="131" spans="1:268" s="66" customFormat="1">
      <c r="A131" s="89"/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91"/>
      <c r="DW131" s="91"/>
      <c r="DX131" s="91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  <c r="IW131" s="65"/>
      <c r="IX131" s="65"/>
      <c r="IY131" s="65"/>
      <c r="IZ131" s="65"/>
      <c r="JA131" s="65"/>
      <c r="JB131" s="65"/>
      <c r="JC131" s="65"/>
      <c r="JD131" s="65"/>
      <c r="JE131" s="65"/>
      <c r="JF131" s="65"/>
      <c r="JG131" s="65"/>
      <c r="JH131" s="65"/>
    </row>
    <row r="132" spans="1:268" s="66" customFormat="1">
      <c r="A132" s="89"/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91"/>
      <c r="DW132" s="91"/>
      <c r="DX132" s="91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</row>
    <row r="133" spans="1:268" s="66" customFormat="1">
      <c r="A133" s="89"/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91"/>
      <c r="DW133" s="91"/>
      <c r="DX133" s="91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  <c r="IX133" s="65"/>
      <c r="IY133" s="65"/>
      <c r="IZ133" s="65"/>
      <c r="JA133" s="65"/>
      <c r="JB133" s="65"/>
      <c r="JC133" s="65"/>
      <c r="JD133" s="65"/>
      <c r="JE133" s="65"/>
      <c r="JF133" s="65"/>
      <c r="JG133" s="65"/>
      <c r="JH133" s="65"/>
    </row>
    <row r="134" spans="1:268" s="66" customFormat="1">
      <c r="A134" s="89"/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91"/>
      <c r="DW134" s="91"/>
      <c r="DX134" s="91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  <c r="IX134" s="65"/>
      <c r="IY134" s="65"/>
      <c r="IZ134" s="65"/>
      <c r="JA134" s="65"/>
      <c r="JB134" s="65"/>
      <c r="JC134" s="65"/>
      <c r="JD134" s="65"/>
      <c r="JE134" s="65"/>
      <c r="JF134" s="65"/>
      <c r="JG134" s="65"/>
      <c r="JH134" s="65"/>
    </row>
    <row r="135" spans="1:268" s="66" customFormat="1">
      <c r="A135" s="89"/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91"/>
      <c r="DW135" s="91"/>
      <c r="DX135" s="91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5"/>
      <c r="JA135" s="65"/>
      <c r="JB135" s="65"/>
      <c r="JC135" s="65"/>
      <c r="JD135" s="65"/>
      <c r="JE135" s="65"/>
      <c r="JF135" s="65"/>
      <c r="JG135" s="65"/>
      <c r="JH135" s="65"/>
    </row>
    <row r="136" spans="1:268" s="66" customFormat="1">
      <c r="A136" s="89"/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91"/>
      <c r="DW136" s="91"/>
      <c r="DX136" s="91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  <c r="IW136" s="65"/>
      <c r="IX136" s="65"/>
      <c r="IY136" s="65"/>
      <c r="IZ136" s="65"/>
      <c r="JA136" s="65"/>
      <c r="JB136" s="65"/>
      <c r="JC136" s="65"/>
      <c r="JD136" s="65"/>
      <c r="JE136" s="65"/>
      <c r="JF136" s="65"/>
      <c r="JG136" s="65"/>
      <c r="JH136" s="65"/>
    </row>
    <row r="137" spans="1:268" s="66" customFormat="1">
      <c r="A137" s="89"/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91"/>
      <c r="DW137" s="91"/>
      <c r="DX137" s="91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  <c r="IW137" s="65"/>
      <c r="IX137" s="65"/>
      <c r="IY137" s="65"/>
      <c r="IZ137" s="65"/>
      <c r="JA137" s="65"/>
      <c r="JB137" s="65"/>
      <c r="JC137" s="65"/>
      <c r="JD137" s="65"/>
      <c r="JE137" s="65"/>
      <c r="JF137" s="65"/>
      <c r="JG137" s="65"/>
      <c r="JH137" s="65"/>
    </row>
    <row r="138" spans="1:268" s="66" customFormat="1">
      <c r="A138" s="89"/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91"/>
      <c r="DW138" s="91"/>
      <c r="DX138" s="91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  <c r="IW138" s="65"/>
      <c r="IX138" s="65"/>
      <c r="IY138" s="65"/>
      <c r="IZ138" s="65"/>
      <c r="JA138" s="65"/>
      <c r="JB138" s="65"/>
      <c r="JC138" s="65"/>
      <c r="JD138" s="65"/>
      <c r="JE138" s="65"/>
      <c r="JF138" s="65"/>
      <c r="JG138" s="65"/>
      <c r="JH138" s="65"/>
    </row>
    <row r="139" spans="1:268" s="66" customFormat="1">
      <c r="A139" s="89"/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91"/>
      <c r="DW139" s="91"/>
      <c r="DX139" s="91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  <c r="IW139" s="65"/>
      <c r="IX139" s="65"/>
      <c r="IY139" s="65"/>
      <c r="IZ139" s="65"/>
      <c r="JA139" s="65"/>
      <c r="JB139" s="65"/>
      <c r="JC139" s="65"/>
      <c r="JD139" s="65"/>
      <c r="JE139" s="65"/>
      <c r="JF139" s="65"/>
      <c r="JG139" s="65"/>
      <c r="JH139" s="65"/>
    </row>
    <row r="140" spans="1:268" s="66" customFormat="1">
      <c r="A140" s="89"/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91"/>
      <c r="DW140" s="91"/>
      <c r="DX140" s="91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  <c r="IW140" s="65"/>
      <c r="IX140" s="65"/>
      <c r="IY140" s="65"/>
      <c r="IZ140" s="65"/>
      <c r="JA140" s="65"/>
      <c r="JB140" s="65"/>
      <c r="JC140" s="65"/>
      <c r="JD140" s="65"/>
      <c r="JE140" s="65"/>
      <c r="JF140" s="65"/>
      <c r="JG140" s="65"/>
      <c r="JH140" s="65"/>
    </row>
    <row r="141" spans="1:268" s="66" customFormat="1">
      <c r="A141" s="89"/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91"/>
      <c r="DW141" s="91"/>
      <c r="DX141" s="91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  <c r="IW141" s="65"/>
      <c r="IX141" s="65"/>
      <c r="IY141" s="65"/>
      <c r="IZ141" s="65"/>
      <c r="JA141" s="65"/>
      <c r="JB141" s="65"/>
      <c r="JC141" s="65"/>
      <c r="JD141" s="65"/>
      <c r="JE141" s="65"/>
      <c r="JF141" s="65"/>
      <c r="JG141" s="65"/>
      <c r="JH141" s="65"/>
    </row>
    <row r="142" spans="1:268" s="66" customFormat="1">
      <c r="A142" s="89"/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91"/>
      <c r="DW142" s="91"/>
      <c r="DX142" s="91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  <c r="IW142" s="65"/>
      <c r="IX142" s="65"/>
      <c r="IY142" s="65"/>
      <c r="IZ142" s="65"/>
      <c r="JA142" s="65"/>
      <c r="JB142" s="65"/>
      <c r="JC142" s="65"/>
      <c r="JD142" s="65"/>
      <c r="JE142" s="65"/>
      <c r="JF142" s="65"/>
      <c r="JG142" s="65"/>
      <c r="JH142" s="65"/>
    </row>
    <row r="143" spans="1:268" s="66" customFormat="1">
      <c r="A143" s="89"/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91"/>
      <c r="DW143" s="91"/>
      <c r="DX143" s="91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65"/>
      <c r="JA143" s="65"/>
      <c r="JB143" s="65"/>
      <c r="JC143" s="65"/>
      <c r="JD143" s="65"/>
      <c r="JE143" s="65"/>
      <c r="JF143" s="65"/>
      <c r="JG143" s="65"/>
      <c r="JH143" s="65"/>
    </row>
    <row r="144" spans="1:268" s="66" customFormat="1">
      <c r="A144" s="89"/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91"/>
      <c r="DW144" s="91"/>
      <c r="DX144" s="91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65"/>
      <c r="JA144" s="65"/>
      <c r="JB144" s="65"/>
      <c r="JC144" s="65"/>
      <c r="JD144" s="65"/>
      <c r="JE144" s="65"/>
      <c r="JF144" s="65"/>
      <c r="JG144" s="65"/>
      <c r="JH144" s="65"/>
    </row>
    <row r="145" spans="1:268" s="66" customFormat="1">
      <c r="A145" s="89"/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91"/>
      <c r="DW145" s="91"/>
      <c r="DX145" s="91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65"/>
      <c r="JA145" s="65"/>
      <c r="JB145" s="65"/>
      <c r="JC145" s="65"/>
      <c r="JD145" s="65"/>
      <c r="JE145" s="65"/>
      <c r="JF145" s="65"/>
      <c r="JG145" s="65"/>
      <c r="JH145" s="65"/>
    </row>
    <row r="146" spans="1:268" s="66" customFormat="1">
      <c r="A146" s="89"/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91"/>
      <c r="DW146" s="91"/>
      <c r="DX146" s="91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65"/>
      <c r="JA146" s="65"/>
      <c r="JB146" s="65"/>
      <c r="JC146" s="65"/>
      <c r="JD146" s="65"/>
      <c r="JE146" s="65"/>
      <c r="JF146" s="65"/>
      <c r="JG146" s="65"/>
      <c r="JH146" s="65"/>
    </row>
    <row r="147" spans="1:268" s="66" customFormat="1">
      <c r="A147" s="89"/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91"/>
      <c r="DW147" s="91"/>
      <c r="DX147" s="91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65"/>
      <c r="JA147" s="65"/>
      <c r="JB147" s="65"/>
      <c r="JC147" s="65"/>
      <c r="JD147" s="65"/>
      <c r="JE147" s="65"/>
      <c r="JF147" s="65"/>
      <c r="JG147" s="65"/>
      <c r="JH147" s="65"/>
    </row>
    <row r="148" spans="1:268" s="66" customFormat="1">
      <c r="A148" s="89"/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91"/>
      <c r="DW148" s="91"/>
      <c r="DX148" s="91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65"/>
      <c r="JA148" s="65"/>
      <c r="JB148" s="65"/>
      <c r="JC148" s="65"/>
      <c r="JD148" s="65"/>
      <c r="JE148" s="65"/>
      <c r="JF148" s="65"/>
      <c r="JG148" s="65"/>
      <c r="JH148" s="65"/>
    </row>
    <row r="149" spans="1:268" s="66" customFormat="1">
      <c r="A149" s="89"/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91"/>
      <c r="DW149" s="91"/>
      <c r="DX149" s="91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65"/>
      <c r="JA149" s="65"/>
      <c r="JB149" s="65"/>
      <c r="JC149" s="65"/>
      <c r="JD149" s="65"/>
      <c r="JE149" s="65"/>
      <c r="JF149" s="65"/>
      <c r="JG149" s="65"/>
      <c r="JH149" s="65"/>
    </row>
    <row r="150" spans="1:268" s="66" customFormat="1">
      <c r="A150" s="89"/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91"/>
      <c r="DW150" s="91"/>
      <c r="DX150" s="91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65"/>
      <c r="JA150" s="65"/>
      <c r="JB150" s="65"/>
      <c r="JC150" s="65"/>
      <c r="JD150" s="65"/>
      <c r="JE150" s="65"/>
      <c r="JF150" s="65"/>
      <c r="JG150" s="65"/>
      <c r="JH150" s="65"/>
    </row>
    <row r="151" spans="1:268" s="66" customFormat="1">
      <c r="A151" s="89"/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91"/>
      <c r="DW151" s="91"/>
      <c r="DX151" s="91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65"/>
      <c r="JA151" s="65"/>
      <c r="JB151" s="65"/>
      <c r="JC151" s="65"/>
      <c r="JD151" s="65"/>
      <c r="JE151" s="65"/>
      <c r="JF151" s="65"/>
      <c r="JG151" s="65"/>
      <c r="JH151" s="65"/>
    </row>
    <row r="152" spans="1:268" s="66" customFormat="1">
      <c r="A152" s="89"/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91"/>
      <c r="DW152" s="91"/>
      <c r="DX152" s="91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65"/>
      <c r="JA152" s="65"/>
      <c r="JB152" s="65"/>
      <c r="JC152" s="65"/>
      <c r="JD152" s="65"/>
      <c r="JE152" s="65"/>
      <c r="JF152" s="65"/>
      <c r="JG152" s="65"/>
      <c r="JH152" s="65"/>
    </row>
    <row r="153" spans="1:268" s="66" customFormat="1">
      <c r="A153" s="89"/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91"/>
      <c r="DW153" s="91"/>
      <c r="DX153" s="91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65"/>
      <c r="JA153" s="65"/>
      <c r="JB153" s="65"/>
      <c r="JC153" s="65"/>
      <c r="JD153" s="65"/>
      <c r="JE153" s="65"/>
      <c r="JF153" s="65"/>
      <c r="JG153" s="65"/>
      <c r="JH153" s="65"/>
    </row>
    <row r="154" spans="1:268" s="66" customFormat="1">
      <c r="A154" s="89"/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91"/>
      <c r="DW154" s="91"/>
      <c r="DX154" s="91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65"/>
      <c r="JA154" s="65"/>
      <c r="JB154" s="65"/>
      <c r="JC154" s="65"/>
      <c r="JD154" s="65"/>
      <c r="JE154" s="65"/>
      <c r="JF154" s="65"/>
      <c r="JG154" s="65"/>
      <c r="JH154" s="65"/>
    </row>
    <row r="155" spans="1:268" s="66" customFormat="1">
      <c r="A155" s="89"/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91"/>
      <c r="DW155" s="91"/>
      <c r="DX155" s="91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65"/>
      <c r="JA155" s="65"/>
      <c r="JB155" s="65"/>
      <c r="JC155" s="65"/>
      <c r="JD155" s="65"/>
      <c r="JE155" s="65"/>
      <c r="JF155" s="65"/>
      <c r="JG155" s="65"/>
      <c r="JH155" s="65"/>
    </row>
    <row r="156" spans="1:268" s="66" customFormat="1">
      <c r="A156" s="89"/>
      <c r="B156" s="89"/>
      <c r="C156" s="89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91"/>
      <c r="DW156" s="91"/>
      <c r="DX156" s="91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65"/>
      <c r="JA156" s="65"/>
      <c r="JB156" s="65"/>
      <c r="JC156" s="65"/>
      <c r="JD156" s="65"/>
      <c r="JE156" s="65"/>
      <c r="JF156" s="65"/>
      <c r="JG156" s="65"/>
      <c r="JH156" s="65"/>
    </row>
    <row r="157" spans="1:268" s="66" customFormat="1">
      <c r="A157" s="89"/>
      <c r="B157" s="89"/>
      <c r="C157" s="89"/>
      <c r="D157" s="8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91"/>
      <c r="DW157" s="91"/>
      <c r="DX157" s="91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65"/>
      <c r="JA157" s="65"/>
      <c r="JB157" s="65"/>
      <c r="JC157" s="65"/>
      <c r="JD157" s="65"/>
      <c r="JE157" s="65"/>
      <c r="JF157" s="65"/>
      <c r="JG157" s="65"/>
      <c r="JH157" s="65"/>
    </row>
    <row r="158" spans="1:268" s="66" customFormat="1">
      <c r="A158" s="89"/>
      <c r="B158" s="89"/>
      <c r="C158" s="89"/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91"/>
      <c r="DW158" s="91"/>
      <c r="DX158" s="91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65"/>
      <c r="JA158" s="65"/>
      <c r="JB158" s="65"/>
      <c r="JC158" s="65"/>
      <c r="JD158" s="65"/>
      <c r="JE158" s="65"/>
      <c r="JF158" s="65"/>
      <c r="JG158" s="65"/>
      <c r="JH158" s="65"/>
    </row>
    <row r="159" spans="1:268" s="66" customFormat="1">
      <c r="A159" s="89"/>
      <c r="B159" s="89"/>
      <c r="C159" s="89"/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91"/>
      <c r="DW159" s="91"/>
      <c r="DX159" s="91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65"/>
      <c r="JA159" s="65"/>
      <c r="JB159" s="65"/>
      <c r="JC159" s="65"/>
      <c r="JD159" s="65"/>
      <c r="JE159" s="65"/>
      <c r="JF159" s="65"/>
      <c r="JG159" s="65"/>
      <c r="JH159" s="65"/>
    </row>
    <row r="160" spans="1:268" s="66" customFormat="1">
      <c r="A160" s="89"/>
      <c r="B160" s="89"/>
      <c r="C160" s="89"/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91"/>
      <c r="DW160" s="91"/>
      <c r="DX160" s="91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65"/>
      <c r="JA160" s="65"/>
      <c r="JB160" s="65"/>
      <c r="JC160" s="65"/>
      <c r="JD160" s="65"/>
      <c r="JE160" s="65"/>
      <c r="JF160" s="65"/>
      <c r="JG160" s="65"/>
      <c r="JH160" s="65"/>
    </row>
    <row r="161" spans="1:268" s="66" customFormat="1">
      <c r="A161" s="89"/>
      <c r="B161" s="89"/>
      <c r="C161" s="89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91"/>
      <c r="DW161" s="91"/>
      <c r="DX161" s="91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65"/>
      <c r="JA161" s="65"/>
      <c r="JB161" s="65"/>
      <c r="JC161" s="65"/>
      <c r="JD161" s="65"/>
      <c r="JE161" s="65"/>
      <c r="JF161" s="65"/>
      <c r="JG161" s="65"/>
      <c r="JH161" s="65"/>
    </row>
    <row r="162" spans="1:268" s="66" customFormat="1">
      <c r="A162" s="89"/>
      <c r="B162" s="89"/>
      <c r="C162" s="89"/>
      <c r="D162" s="89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91"/>
      <c r="DW162" s="91"/>
      <c r="DX162" s="91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65"/>
      <c r="JA162" s="65"/>
      <c r="JB162" s="65"/>
      <c r="JC162" s="65"/>
      <c r="JD162" s="65"/>
      <c r="JE162" s="65"/>
      <c r="JF162" s="65"/>
      <c r="JG162" s="65"/>
      <c r="JH162" s="65"/>
    </row>
    <row r="163" spans="1:268" s="66" customFormat="1">
      <c r="A163" s="89"/>
      <c r="B163" s="89"/>
      <c r="C163" s="89"/>
      <c r="D163" s="89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91"/>
      <c r="DW163" s="91"/>
      <c r="DX163" s="91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65"/>
      <c r="JA163" s="65"/>
      <c r="JB163" s="65"/>
      <c r="JC163" s="65"/>
      <c r="JD163" s="65"/>
      <c r="JE163" s="65"/>
      <c r="JF163" s="65"/>
      <c r="JG163" s="65"/>
      <c r="JH163" s="65"/>
    </row>
    <row r="164" spans="1:268" s="66" customFormat="1">
      <c r="A164" s="89"/>
      <c r="B164" s="89"/>
      <c r="C164" s="89"/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91"/>
      <c r="DW164" s="91"/>
      <c r="DX164" s="91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65"/>
      <c r="JA164" s="65"/>
      <c r="JB164" s="65"/>
      <c r="JC164" s="65"/>
      <c r="JD164" s="65"/>
      <c r="JE164" s="65"/>
      <c r="JF164" s="65"/>
      <c r="JG164" s="65"/>
      <c r="JH164" s="65"/>
    </row>
    <row r="165" spans="1:268" s="66" customFormat="1">
      <c r="A165" s="89"/>
      <c r="B165" s="89"/>
      <c r="C165" s="89"/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91"/>
      <c r="DW165" s="91"/>
      <c r="DX165" s="91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65"/>
      <c r="JA165" s="65"/>
      <c r="JB165" s="65"/>
      <c r="JC165" s="65"/>
      <c r="JD165" s="65"/>
      <c r="JE165" s="65"/>
      <c r="JF165" s="65"/>
      <c r="JG165" s="65"/>
      <c r="JH165" s="65"/>
    </row>
    <row r="166" spans="1:268" s="66" customFormat="1">
      <c r="A166" s="89"/>
      <c r="B166" s="89"/>
      <c r="C166" s="89"/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91"/>
      <c r="DW166" s="91"/>
      <c r="DX166" s="91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  <c r="IW166" s="65"/>
      <c r="IX166" s="65"/>
      <c r="IY166" s="65"/>
      <c r="IZ166" s="65"/>
      <c r="JA166" s="65"/>
      <c r="JB166" s="65"/>
      <c r="JC166" s="65"/>
      <c r="JD166" s="65"/>
      <c r="JE166" s="65"/>
      <c r="JF166" s="65"/>
      <c r="JG166" s="65"/>
      <c r="JH166" s="65"/>
    </row>
    <row r="167" spans="1:268" s="66" customFormat="1">
      <c r="A167" s="89"/>
      <c r="B167" s="89"/>
      <c r="C167" s="89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91"/>
      <c r="DW167" s="91"/>
      <c r="DX167" s="91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65"/>
      <c r="JA167" s="65"/>
      <c r="JB167" s="65"/>
      <c r="JC167" s="65"/>
      <c r="JD167" s="65"/>
      <c r="JE167" s="65"/>
      <c r="JF167" s="65"/>
      <c r="JG167" s="65"/>
      <c r="JH167" s="65"/>
    </row>
    <row r="168" spans="1:268" s="66" customFormat="1">
      <c r="A168" s="89"/>
      <c r="B168" s="89"/>
      <c r="C168" s="89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91"/>
      <c r="DW168" s="91"/>
      <c r="DX168" s="91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65"/>
      <c r="JA168" s="65"/>
      <c r="JB168" s="65"/>
      <c r="JC168" s="65"/>
      <c r="JD168" s="65"/>
      <c r="JE168" s="65"/>
      <c r="JF168" s="65"/>
      <c r="JG168" s="65"/>
      <c r="JH168" s="65"/>
    </row>
    <row r="169" spans="1:268" s="66" customFormat="1">
      <c r="A169" s="89"/>
      <c r="B169" s="89"/>
      <c r="C169" s="89"/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91"/>
      <c r="DW169" s="91"/>
      <c r="DX169" s="91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65"/>
      <c r="JA169" s="65"/>
      <c r="JB169" s="65"/>
      <c r="JC169" s="65"/>
      <c r="JD169" s="65"/>
      <c r="JE169" s="65"/>
      <c r="JF169" s="65"/>
      <c r="JG169" s="65"/>
      <c r="JH169" s="65"/>
    </row>
    <row r="170" spans="1:268" s="66" customFormat="1">
      <c r="A170" s="89"/>
      <c r="B170" s="89"/>
      <c r="C170" s="89"/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91"/>
      <c r="DW170" s="91"/>
      <c r="DX170" s="91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65"/>
      <c r="JA170" s="65"/>
      <c r="JB170" s="65"/>
      <c r="JC170" s="65"/>
      <c r="JD170" s="65"/>
      <c r="JE170" s="65"/>
      <c r="JF170" s="65"/>
      <c r="JG170" s="65"/>
      <c r="JH170" s="65"/>
    </row>
    <row r="171" spans="1:268" s="66" customFormat="1">
      <c r="A171" s="89"/>
      <c r="B171" s="89"/>
      <c r="C171" s="89"/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91"/>
      <c r="DW171" s="91"/>
      <c r="DX171" s="91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65"/>
      <c r="JA171" s="65"/>
      <c r="JB171" s="65"/>
      <c r="JC171" s="65"/>
      <c r="JD171" s="65"/>
      <c r="JE171" s="65"/>
      <c r="JF171" s="65"/>
      <c r="JG171" s="65"/>
      <c r="JH171" s="65"/>
    </row>
    <row r="172" spans="1:268" s="66" customFormat="1">
      <c r="A172" s="89"/>
      <c r="B172" s="89"/>
      <c r="C172" s="89"/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91"/>
      <c r="DW172" s="91"/>
      <c r="DX172" s="91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65"/>
      <c r="JA172" s="65"/>
      <c r="JB172" s="65"/>
      <c r="JC172" s="65"/>
      <c r="JD172" s="65"/>
      <c r="JE172" s="65"/>
      <c r="JF172" s="65"/>
      <c r="JG172" s="65"/>
      <c r="JH172" s="65"/>
    </row>
    <row r="173" spans="1:268" s="66" customFormat="1">
      <c r="A173" s="89"/>
      <c r="B173" s="89"/>
      <c r="C173" s="89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91"/>
      <c r="DW173" s="91"/>
      <c r="DX173" s="91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  <c r="IW173" s="65"/>
      <c r="IX173" s="65"/>
      <c r="IY173" s="65"/>
      <c r="IZ173" s="65"/>
      <c r="JA173" s="65"/>
      <c r="JB173" s="65"/>
      <c r="JC173" s="65"/>
      <c r="JD173" s="65"/>
      <c r="JE173" s="65"/>
      <c r="JF173" s="65"/>
      <c r="JG173" s="65"/>
      <c r="JH173" s="65"/>
    </row>
    <row r="174" spans="1:268" s="66" customFormat="1">
      <c r="A174" s="89"/>
      <c r="B174" s="89"/>
      <c r="C174" s="89"/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91"/>
      <c r="DW174" s="91"/>
      <c r="DX174" s="91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  <c r="IW174" s="65"/>
      <c r="IX174" s="65"/>
      <c r="IY174" s="65"/>
      <c r="IZ174" s="65"/>
      <c r="JA174" s="65"/>
      <c r="JB174" s="65"/>
      <c r="JC174" s="65"/>
      <c r="JD174" s="65"/>
      <c r="JE174" s="65"/>
      <c r="JF174" s="65"/>
      <c r="JG174" s="65"/>
      <c r="JH174" s="65"/>
    </row>
    <row r="175" spans="1:268" s="34" customFormat="1">
      <c r="A175" s="45"/>
      <c r="B175" s="45"/>
      <c r="C175" s="45"/>
      <c r="D175" s="45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47"/>
      <c r="DW175" s="47"/>
      <c r="DX175" s="47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</row>
    <row r="176" spans="1:268" s="34" customFormat="1">
      <c r="A176" s="45"/>
      <c r="B176" s="45"/>
      <c r="C176" s="45"/>
      <c r="D176" s="45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47"/>
      <c r="DW176" s="47"/>
      <c r="DX176" s="47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</row>
    <row r="177" spans="1:268" s="34" customFormat="1">
      <c r="A177" s="45"/>
      <c r="B177" s="45"/>
      <c r="C177" s="45"/>
      <c r="D177" s="45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47"/>
      <c r="DW177" s="47"/>
      <c r="DX177" s="47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</row>
    <row r="178" spans="1:268" s="34" customFormat="1">
      <c r="A178" s="45"/>
      <c r="B178" s="45"/>
      <c r="C178" s="45"/>
      <c r="D178" s="45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47"/>
      <c r="DW178" s="47"/>
      <c r="DX178" s="47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</row>
    <row r="179" spans="1:268" s="34" customFormat="1">
      <c r="A179" s="45"/>
      <c r="B179" s="45"/>
      <c r="C179" s="45"/>
      <c r="D179" s="45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47"/>
      <c r="DW179" s="47"/>
      <c r="DX179" s="47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</row>
    <row r="180" spans="1:268" s="34" customFormat="1">
      <c r="A180" s="45"/>
      <c r="B180" s="45"/>
      <c r="C180" s="45"/>
      <c r="D180" s="45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47"/>
      <c r="DW180" s="47"/>
      <c r="DX180" s="47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</row>
    <row r="181" spans="1:268" s="34" customFormat="1">
      <c r="A181" s="45"/>
      <c r="B181" s="45"/>
      <c r="C181" s="45"/>
      <c r="D181" s="45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47"/>
      <c r="DW181" s="47"/>
      <c r="DX181" s="47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</row>
    <row r="182" spans="1:268" s="34" customFormat="1">
      <c r="A182" s="45"/>
      <c r="B182" s="45"/>
      <c r="C182" s="45"/>
      <c r="D182" s="45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47"/>
      <c r="DW182" s="47"/>
      <c r="DX182" s="47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</row>
    <row r="183" spans="1:268" s="34" customFormat="1">
      <c r="A183" s="45"/>
      <c r="B183" s="45"/>
      <c r="C183" s="45"/>
      <c r="D183" s="45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47"/>
      <c r="DW183" s="47"/>
      <c r="DX183" s="47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</row>
    <row r="184" spans="1:268" s="34" customFormat="1">
      <c r="A184" s="45"/>
      <c r="B184" s="45"/>
      <c r="C184" s="45"/>
      <c r="D184" s="45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47"/>
      <c r="DW184" s="47"/>
      <c r="DX184" s="47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</row>
    <row r="185" spans="1:268" s="34" customFormat="1">
      <c r="A185" s="45"/>
      <c r="B185" s="45"/>
      <c r="C185" s="45"/>
      <c r="D185" s="45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47"/>
      <c r="DW185" s="47"/>
      <c r="DX185" s="47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</row>
    <row r="186" spans="1:268" s="34" customFormat="1">
      <c r="A186" s="45"/>
      <c r="B186" s="45"/>
      <c r="C186" s="45"/>
      <c r="D186" s="45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47"/>
      <c r="DW186" s="47"/>
      <c r="DX186" s="47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</row>
    <row r="187" spans="1:268" s="34" customFormat="1">
      <c r="A187" s="45"/>
      <c r="B187" s="45"/>
      <c r="C187" s="45"/>
      <c r="D187" s="45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47"/>
      <c r="DW187" s="47"/>
      <c r="DX187" s="47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</row>
    <row r="188" spans="1:268" s="34" customFormat="1">
      <c r="A188" s="45"/>
      <c r="B188" s="45"/>
      <c r="C188" s="45"/>
      <c r="D188" s="45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47"/>
      <c r="DW188" s="47"/>
      <c r="DX188" s="47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</row>
    <row r="189" spans="1:268" s="34" customFormat="1">
      <c r="A189" s="45"/>
      <c r="B189" s="45"/>
      <c r="C189" s="45"/>
      <c r="D189" s="45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47"/>
      <c r="DW189" s="47"/>
      <c r="DX189" s="47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</row>
    <row r="190" spans="1:268" s="34" customFormat="1">
      <c r="A190" s="45"/>
      <c r="B190" s="45"/>
      <c r="C190" s="45"/>
      <c r="D190" s="45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47"/>
      <c r="DW190" s="47"/>
      <c r="DX190" s="47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</row>
    <row r="191" spans="1:268" s="34" customFormat="1">
      <c r="A191" s="45"/>
      <c r="B191" s="45"/>
      <c r="C191" s="45"/>
      <c r="D191" s="45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47"/>
      <c r="DW191" s="47"/>
      <c r="DX191" s="47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</row>
    <row r="192" spans="1:268" s="34" customFormat="1">
      <c r="A192" s="45"/>
      <c r="B192" s="45"/>
      <c r="C192" s="45"/>
      <c r="D192" s="45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47"/>
      <c r="DW192" s="47"/>
      <c r="DX192" s="47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</row>
    <row r="193" spans="1:268" s="34" customFormat="1">
      <c r="A193" s="45"/>
      <c r="B193" s="45"/>
      <c r="C193" s="45"/>
      <c r="D193" s="45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47"/>
      <c r="DW193" s="47"/>
      <c r="DX193" s="47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</row>
    <row r="194" spans="1:268" s="34" customFormat="1">
      <c r="A194" s="45"/>
      <c r="B194" s="45"/>
      <c r="C194" s="45"/>
      <c r="D194" s="45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47"/>
      <c r="DW194" s="47"/>
      <c r="DX194" s="47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</row>
    <row r="195" spans="1:268" s="34" customFormat="1">
      <c r="A195" s="45"/>
      <c r="B195" s="45"/>
      <c r="C195" s="45"/>
      <c r="D195" s="45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47"/>
      <c r="DW195" s="47"/>
      <c r="DX195" s="47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</row>
    <row r="196" spans="1:268" s="34" customFormat="1">
      <c r="A196" s="45"/>
      <c r="B196" s="45"/>
      <c r="C196" s="45"/>
      <c r="D196" s="45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47"/>
      <c r="DW196" s="47"/>
      <c r="DX196" s="47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</row>
    <row r="197" spans="1:268" s="34" customFormat="1">
      <c r="A197" s="45"/>
      <c r="B197" s="45"/>
      <c r="C197" s="45"/>
      <c r="D197" s="45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47"/>
      <c r="DW197" s="47"/>
      <c r="DX197" s="47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</row>
    <row r="198" spans="1:268" s="34" customFormat="1">
      <c r="A198" s="45"/>
      <c r="B198" s="45"/>
      <c r="C198" s="45"/>
      <c r="D198" s="45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47"/>
      <c r="DW198" s="47"/>
      <c r="DX198" s="47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</row>
    <row r="199" spans="1:268" s="34" customFormat="1">
      <c r="A199" s="45"/>
      <c r="B199" s="45"/>
      <c r="C199" s="45"/>
      <c r="D199" s="45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47"/>
      <c r="DW199" s="47"/>
      <c r="DX199" s="47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</row>
    <row r="200" spans="1:268" s="34" customFormat="1">
      <c r="A200" s="45"/>
      <c r="B200" s="45"/>
      <c r="C200" s="45"/>
      <c r="D200" s="45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47"/>
      <c r="DW200" s="47"/>
      <c r="DX200" s="47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</row>
    <row r="201" spans="1:268" s="34" customFormat="1">
      <c r="A201" s="45"/>
      <c r="B201" s="45"/>
      <c r="C201" s="45"/>
      <c r="D201" s="45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47"/>
      <c r="DW201" s="47"/>
      <c r="DX201" s="47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</row>
    <row r="202" spans="1:268" s="34" customFormat="1">
      <c r="A202" s="45"/>
      <c r="B202" s="45"/>
      <c r="C202" s="45"/>
      <c r="D202" s="45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47"/>
      <c r="DW202" s="47"/>
      <c r="DX202" s="47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</row>
    <row r="203" spans="1:268" s="34" customFormat="1">
      <c r="A203" s="45"/>
      <c r="B203" s="45"/>
      <c r="C203" s="45"/>
      <c r="D203" s="45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47"/>
      <c r="DW203" s="47"/>
      <c r="DX203" s="47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</row>
    <row r="204" spans="1:268" s="34" customFormat="1">
      <c r="A204" s="45"/>
      <c r="B204" s="45"/>
      <c r="C204" s="45"/>
      <c r="D204" s="45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47"/>
      <c r="DW204" s="47"/>
      <c r="DX204" s="47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</row>
    <row r="205" spans="1:268" s="34" customFormat="1">
      <c r="A205" s="45"/>
      <c r="B205" s="45"/>
      <c r="C205" s="45"/>
      <c r="D205" s="45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47"/>
      <c r="DW205" s="47"/>
      <c r="DX205" s="47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</row>
    <row r="206" spans="1:268" s="34" customFormat="1">
      <c r="A206" s="45"/>
      <c r="B206" s="45"/>
      <c r="C206" s="45"/>
      <c r="D206" s="45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47"/>
      <c r="DW206" s="47"/>
      <c r="DX206" s="47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</row>
    <row r="207" spans="1:268" s="34" customFormat="1">
      <c r="A207" s="45"/>
      <c r="B207" s="45"/>
      <c r="C207" s="45"/>
      <c r="D207" s="45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47"/>
      <c r="DW207" s="47"/>
      <c r="DX207" s="47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</row>
    <row r="208" spans="1:268" s="34" customFormat="1">
      <c r="A208" s="45"/>
      <c r="B208" s="45"/>
      <c r="C208" s="45"/>
      <c r="D208" s="45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47"/>
      <c r="DW208" s="47"/>
      <c r="DX208" s="47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</row>
    <row r="209" spans="1:268" s="34" customFormat="1">
      <c r="A209" s="45"/>
      <c r="B209" s="45"/>
      <c r="C209" s="45"/>
      <c r="D209" s="45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47"/>
      <c r="DW209" s="47"/>
      <c r="DX209" s="47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</row>
    <row r="210" spans="1:268" s="34" customFormat="1">
      <c r="A210" s="45"/>
      <c r="B210" s="45"/>
      <c r="C210" s="45"/>
      <c r="D210" s="45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47"/>
      <c r="DW210" s="47"/>
      <c r="DX210" s="47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</row>
    <row r="211" spans="1:268" s="34" customFormat="1">
      <c r="A211" s="45"/>
      <c r="B211" s="45"/>
      <c r="C211" s="45"/>
      <c r="D211" s="45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47"/>
      <c r="DW211" s="47"/>
      <c r="DX211" s="47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</row>
    <row r="212" spans="1:268" s="34" customFormat="1">
      <c r="A212" s="45"/>
      <c r="B212" s="45"/>
      <c r="C212" s="45"/>
      <c r="D212" s="45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47"/>
      <c r="DW212" s="47"/>
      <c r="DX212" s="47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</row>
    <row r="213" spans="1:268" s="34" customFormat="1">
      <c r="A213" s="45"/>
      <c r="B213" s="45"/>
      <c r="C213" s="45"/>
      <c r="D213" s="45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47"/>
      <c r="DW213" s="47"/>
      <c r="DX213" s="47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</row>
    <row r="214" spans="1:268" s="34" customFormat="1">
      <c r="A214" s="45"/>
      <c r="B214" s="45"/>
      <c r="C214" s="45"/>
      <c r="D214" s="45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47"/>
      <c r="DW214" s="47"/>
      <c r="DX214" s="47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</row>
    <row r="215" spans="1:268" s="34" customFormat="1">
      <c r="A215" s="45"/>
      <c r="B215" s="45"/>
      <c r="C215" s="45"/>
      <c r="D215" s="45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47"/>
      <c r="DW215" s="47"/>
      <c r="DX215" s="47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</row>
    <row r="216" spans="1:268" s="34" customFormat="1">
      <c r="A216" s="45"/>
      <c r="B216" s="45"/>
      <c r="C216" s="45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47"/>
      <c r="DW216" s="47"/>
      <c r="DX216" s="47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</row>
    <row r="217" spans="1:268" s="34" customFormat="1">
      <c r="A217" s="45"/>
      <c r="B217" s="45"/>
      <c r="C217" s="45"/>
      <c r="D217" s="45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47"/>
      <c r="DW217" s="47"/>
      <c r="DX217" s="47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</row>
    <row r="218" spans="1:268" s="34" customFormat="1">
      <c r="A218" s="45"/>
      <c r="B218" s="45"/>
      <c r="C218" s="45"/>
      <c r="D218" s="45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47"/>
      <c r="DW218" s="47"/>
      <c r="DX218" s="47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</row>
    <row r="219" spans="1:268" s="34" customFormat="1">
      <c r="A219" s="45"/>
      <c r="B219" s="45"/>
      <c r="C219" s="45"/>
      <c r="D219" s="45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47"/>
      <c r="DW219" s="47"/>
      <c r="DX219" s="47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</row>
    <row r="220" spans="1:268" s="34" customFormat="1">
      <c r="A220" s="45"/>
      <c r="B220" s="45"/>
      <c r="C220" s="45"/>
      <c r="D220" s="45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47"/>
      <c r="DW220" s="47"/>
      <c r="DX220" s="47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</row>
    <row r="221" spans="1:268" s="34" customFormat="1">
      <c r="A221" s="45"/>
      <c r="B221" s="45"/>
      <c r="C221" s="45"/>
      <c r="D221" s="45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47"/>
      <c r="DW221" s="47"/>
      <c r="DX221" s="47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</row>
    <row r="222" spans="1:268" s="34" customFormat="1">
      <c r="A222" s="45"/>
      <c r="B222" s="45"/>
      <c r="C222" s="45"/>
      <c r="D222" s="45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47"/>
      <c r="DW222" s="47"/>
      <c r="DX222" s="47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</row>
    <row r="223" spans="1:268" s="34" customFormat="1">
      <c r="A223" s="45"/>
      <c r="B223" s="45"/>
      <c r="C223" s="45"/>
      <c r="D223" s="45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47"/>
      <c r="DW223" s="47"/>
      <c r="DX223" s="47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</row>
    <row r="224" spans="1:268" s="34" customFormat="1">
      <c r="A224" s="45"/>
      <c r="B224" s="45"/>
      <c r="C224" s="45"/>
      <c r="D224" s="45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47"/>
      <c r="DW224" s="47"/>
      <c r="DX224" s="47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</row>
    <row r="225" spans="1:268" s="34" customFormat="1">
      <c r="A225" s="45"/>
      <c r="B225" s="45"/>
      <c r="C225" s="45"/>
      <c r="D225" s="45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47"/>
      <c r="DW225" s="47"/>
      <c r="DX225" s="47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</row>
    <row r="226" spans="1:268" s="34" customFormat="1">
      <c r="A226" s="45"/>
      <c r="B226" s="45"/>
      <c r="C226" s="45"/>
      <c r="D226" s="45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47"/>
      <c r="DW226" s="47"/>
      <c r="DX226" s="47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</row>
    <row r="227" spans="1:268" s="34" customFormat="1">
      <c r="A227" s="45"/>
      <c r="B227" s="45"/>
      <c r="C227" s="45"/>
      <c r="D227" s="45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47"/>
      <c r="DW227" s="47"/>
      <c r="DX227" s="47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</row>
    <row r="228" spans="1:268" s="34" customFormat="1">
      <c r="A228" s="45"/>
      <c r="B228" s="45"/>
      <c r="C228" s="45"/>
      <c r="D228" s="45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47"/>
      <c r="DW228" s="47"/>
      <c r="DX228" s="47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</row>
    <row r="229" spans="1:268" s="34" customFormat="1">
      <c r="A229" s="45"/>
      <c r="B229" s="45"/>
      <c r="C229" s="45"/>
      <c r="D229" s="45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47"/>
      <c r="DW229" s="47"/>
      <c r="DX229" s="47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</row>
    <row r="230" spans="1:268" s="34" customFormat="1">
      <c r="A230" s="45"/>
      <c r="B230" s="45"/>
      <c r="C230" s="45"/>
      <c r="D230" s="45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47"/>
      <c r="DW230" s="47"/>
      <c r="DX230" s="47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</row>
    <row r="231" spans="1:268" s="34" customFormat="1">
      <c r="A231" s="45"/>
      <c r="B231" s="45"/>
      <c r="C231" s="45"/>
      <c r="D231" s="45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47"/>
      <c r="DW231" s="47"/>
      <c r="DX231" s="47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</row>
    <row r="232" spans="1:268" s="34" customFormat="1">
      <c r="A232" s="45"/>
      <c r="B232" s="45"/>
      <c r="C232" s="45"/>
      <c r="D232" s="45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47"/>
      <c r="DW232" s="47"/>
      <c r="DX232" s="47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</row>
    <row r="233" spans="1:268" s="34" customFormat="1">
      <c r="A233" s="45"/>
      <c r="B233" s="45"/>
      <c r="C233" s="45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47"/>
      <c r="DW233" s="47"/>
      <c r="DX233" s="47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</row>
    <row r="234" spans="1:268" s="34" customFormat="1">
      <c r="A234" s="45"/>
      <c r="B234" s="45"/>
      <c r="C234" s="45"/>
      <c r="D234" s="45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47"/>
      <c r="DW234" s="47"/>
      <c r="DX234" s="47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</row>
    <row r="235" spans="1:268" s="34" customFormat="1">
      <c r="A235" s="45"/>
      <c r="B235" s="45"/>
      <c r="C235" s="45"/>
      <c r="D235" s="45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47"/>
      <c r="DW235" s="47"/>
      <c r="DX235" s="47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</row>
    <row r="236" spans="1:268" s="34" customFormat="1">
      <c r="A236" s="45"/>
      <c r="B236" s="45"/>
      <c r="C236" s="45"/>
      <c r="D236" s="45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47"/>
      <c r="DW236" s="47"/>
      <c r="DX236" s="47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</row>
    <row r="237" spans="1:268" s="34" customFormat="1">
      <c r="A237" s="45"/>
      <c r="B237" s="45"/>
      <c r="C237" s="45"/>
      <c r="D237" s="45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47"/>
      <c r="DW237" s="47"/>
      <c r="DX237" s="47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</row>
    <row r="238" spans="1:268" s="34" customFormat="1">
      <c r="A238" s="45"/>
      <c r="B238" s="45"/>
      <c r="C238" s="45"/>
      <c r="D238" s="45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47"/>
      <c r="DW238" s="47"/>
      <c r="DX238" s="47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</row>
    <row r="239" spans="1:268" s="34" customFormat="1">
      <c r="A239" s="45"/>
      <c r="B239" s="45"/>
      <c r="C239" s="45"/>
      <c r="D239" s="45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47"/>
      <c r="DW239" s="47"/>
      <c r="DX239" s="47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</row>
    <row r="240" spans="1:268" s="34" customFormat="1">
      <c r="A240" s="45"/>
      <c r="B240" s="45"/>
      <c r="C240" s="45"/>
      <c r="D240" s="45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47"/>
      <c r="DW240" s="47"/>
      <c r="DX240" s="47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</row>
    <row r="241" spans="1:268" s="34" customFormat="1">
      <c r="A241" s="45"/>
      <c r="B241" s="45"/>
      <c r="C241" s="45"/>
      <c r="D241" s="45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47"/>
      <c r="DW241" s="47"/>
      <c r="DX241" s="47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</row>
    <row r="242" spans="1:268" s="34" customFormat="1">
      <c r="A242" s="45"/>
      <c r="B242" s="45"/>
      <c r="C242" s="45"/>
      <c r="D242" s="45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47"/>
      <c r="DW242" s="47"/>
      <c r="DX242" s="47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</row>
    <row r="243" spans="1:268" s="34" customFormat="1">
      <c r="A243" s="45"/>
      <c r="B243" s="45"/>
      <c r="C243" s="45"/>
      <c r="D243" s="45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47"/>
      <c r="DW243" s="47"/>
      <c r="DX243" s="47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</row>
    <row r="244" spans="1:268" s="34" customFormat="1">
      <c r="A244" s="45"/>
      <c r="B244" s="45"/>
      <c r="C244" s="45"/>
      <c r="D244" s="45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47"/>
      <c r="DW244" s="47"/>
      <c r="DX244" s="47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</row>
    <row r="245" spans="1:268" s="34" customFormat="1">
      <c r="A245" s="45"/>
      <c r="B245" s="45"/>
      <c r="C245" s="45"/>
      <c r="D245" s="45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47"/>
      <c r="DW245" s="47"/>
      <c r="DX245" s="47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</row>
    <row r="246" spans="1:268" s="34" customFormat="1">
      <c r="A246" s="45"/>
      <c r="B246" s="45"/>
      <c r="C246" s="45"/>
      <c r="D246" s="45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47"/>
      <c r="DW246" s="47"/>
      <c r="DX246" s="47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</row>
    <row r="247" spans="1:268" s="34" customFormat="1">
      <c r="A247" s="45"/>
      <c r="B247" s="45"/>
      <c r="C247" s="45"/>
      <c r="D247" s="45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47"/>
      <c r="DW247" s="47"/>
      <c r="DX247" s="47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</row>
    <row r="248" spans="1:268" s="34" customFormat="1">
      <c r="A248" s="45"/>
      <c r="B248" s="45"/>
      <c r="C248" s="45"/>
      <c r="D248" s="45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47"/>
      <c r="DW248" s="47"/>
      <c r="DX248" s="47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</row>
    <row r="249" spans="1:268" s="34" customFormat="1">
      <c r="A249" s="45"/>
      <c r="B249" s="45"/>
      <c r="C249" s="45"/>
      <c r="D249" s="45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47"/>
      <c r="DW249" s="47"/>
      <c r="DX249" s="47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</row>
    <row r="250" spans="1:268" s="34" customFormat="1">
      <c r="A250" s="45"/>
      <c r="B250" s="45"/>
      <c r="C250" s="45"/>
      <c r="D250" s="45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47"/>
      <c r="DW250" s="47"/>
      <c r="DX250" s="47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</row>
    <row r="251" spans="1:268" s="34" customFormat="1">
      <c r="A251" s="45"/>
      <c r="B251" s="45"/>
      <c r="C251" s="45"/>
      <c r="D251" s="45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47"/>
      <c r="DW251" s="47"/>
      <c r="DX251" s="47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</row>
    <row r="252" spans="1:268" s="34" customFormat="1">
      <c r="A252" s="45"/>
      <c r="B252" s="45"/>
      <c r="C252" s="45"/>
      <c r="D252" s="45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47"/>
      <c r="DW252" s="47"/>
      <c r="DX252" s="47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</row>
    <row r="253" spans="1:268" s="34" customFormat="1">
      <c r="A253" s="45"/>
      <c r="B253" s="45"/>
      <c r="C253" s="45"/>
      <c r="D253" s="45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47"/>
      <c r="DW253" s="47"/>
      <c r="DX253" s="47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</row>
    <row r="254" spans="1:268" s="34" customFormat="1">
      <c r="A254" s="45"/>
      <c r="B254" s="45"/>
      <c r="C254" s="45"/>
      <c r="D254" s="45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47"/>
      <c r="DW254" s="47"/>
      <c r="DX254" s="47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</row>
    <row r="255" spans="1:268" s="34" customFormat="1">
      <c r="A255" s="45"/>
      <c r="B255" s="45"/>
      <c r="C255" s="45"/>
      <c r="D255" s="45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47"/>
      <c r="DW255" s="47"/>
      <c r="DX255" s="47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</row>
    <row r="256" spans="1:268" s="34" customFormat="1">
      <c r="A256" s="45"/>
      <c r="B256" s="45"/>
      <c r="C256" s="45"/>
      <c r="D256" s="45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47"/>
      <c r="DW256" s="47"/>
      <c r="DX256" s="47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</row>
    <row r="257" spans="1:268" s="34" customFormat="1">
      <c r="A257" s="45"/>
      <c r="B257" s="45"/>
      <c r="C257" s="45"/>
      <c r="D257" s="45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47"/>
      <c r="DW257" s="47"/>
      <c r="DX257" s="47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</row>
    <row r="258" spans="1:268" s="34" customFormat="1">
      <c r="A258" s="45"/>
      <c r="B258" s="45"/>
      <c r="C258" s="45"/>
      <c r="D258" s="45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47"/>
      <c r="DW258" s="47"/>
      <c r="DX258" s="47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</row>
    <row r="259" spans="1:268" s="34" customFormat="1">
      <c r="A259" s="45"/>
      <c r="B259" s="45"/>
      <c r="C259" s="45"/>
      <c r="D259" s="45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47"/>
      <c r="DW259" s="47"/>
      <c r="DX259" s="47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</row>
    <row r="260" spans="1:268" s="34" customFormat="1">
      <c r="A260" s="45"/>
      <c r="B260" s="45"/>
      <c r="C260" s="45"/>
      <c r="D260" s="45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47"/>
      <c r="DW260" s="47"/>
      <c r="DX260" s="47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</row>
    <row r="261" spans="1:268" s="34" customFormat="1">
      <c r="A261" s="45"/>
      <c r="B261" s="45"/>
      <c r="C261" s="45"/>
      <c r="D261" s="45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47"/>
      <c r="DW261" s="47"/>
      <c r="DX261" s="47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</row>
    <row r="262" spans="1:268" s="34" customFormat="1">
      <c r="A262" s="45"/>
      <c r="B262" s="45"/>
      <c r="C262" s="45"/>
      <c r="D262" s="45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47"/>
      <c r="DW262" s="47"/>
      <c r="DX262" s="47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</row>
    <row r="263" spans="1:268" s="34" customFormat="1">
      <c r="A263" s="45"/>
      <c r="B263" s="45"/>
      <c r="C263" s="45"/>
      <c r="D263" s="45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47"/>
      <c r="DW263" s="47"/>
      <c r="DX263" s="47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</row>
    <row r="264" spans="1:268" s="34" customFormat="1">
      <c r="A264" s="45"/>
      <c r="B264" s="45"/>
      <c r="C264" s="45"/>
      <c r="D264" s="45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47"/>
      <c r="DW264" s="47"/>
      <c r="DX264" s="47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</row>
    <row r="265" spans="1:268" s="34" customFormat="1">
      <c r="A265" s="45"/>
      <c r="B265" s="45"/>
      <c r="C265" s="45"/>
      <c r="D265" s="45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47"/>
      <c r="DW265" s="47"/>
      <c r="DX265" s="47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  <c r="HG265" s="35"/>
      <c r="HH265" s="35"/>
      <c r="HI265" s="35"/>
      <c r="HJ265" s="35"/>
      <c r="HK265" s="35"/>
      <c r="HL265" s="35"/>
      <c r="HM265" s="35"/>
      <c r="HN265" s="35"/>
      <c r="HO265" s="35"/>
      <c r="HP265" s="35"/>
      <c r="HQ265" s="35"/>
      <c r="HR265" s="35"/>
      <c r="HS265" s="35"/>
      <c r="HT265" s="35"/>
      <c r="HU265" s="35"/>
      <c r="HV265" s="35"/>
      <c r="HW265" s="35"/>
      <c r="HX265" s="35"/>
      <c r="HY265" s="35"/>
      <c r="HZ265" s="35"/>
      <c r="IA265" s="35"/>
      <c r="IB265" s="35"/>
      <c r="IC265" s="35"/>
      <c r="ID265" s="35"/>
      <c r="IE265" s="35"/>
      <c r="IF265" s="35"/>
      <c r="IG265" s="35"/>
      <c r="IH265" s="35"/>
      <c r="II265" s="35"/>
      <c r="IJ265" s="35"/>
      <c r="IK265" s="35"/>
      <c r="IL265" s="35"/>
      <c r="IM265" s="35"/>
      <c r="IN265" s="35"/>
      <c r="IO265" s="35"/>
      <c r="IP265" s="35"/>
      <c r="IQ265" s="35"/>
      <c r="IR265" s="35"/>
      <c r="IS265" s="35"/>
      <c r="IT265" s="35"/>
      <c r="IU265" s="35"/>
      <c r="IV265" s="35"/>
      <c r="IW265" s="35"/>
      <c r="IX265" s="35"/>
      <c r="IY265" s="35"/>
      <c r="IZ265" s="35"/>
      <c r="JA265" s="35"/>
      <c r="JB265" s="35"/>
      <c r="JC265" s="35"/>
      <c r="JD265" s="35"/>
      <c r="JE265" s="35"/>
      <c r="JF265" s="35"/>
      <c r="JG265" s="35"/>
      <c r="JH265" s="35"/>
    </row>
    <row r="266" spans="1:268" s="34" customFormat="1">
      <c r="A266" s="45"/>
      <c r="B266" s="45"/>
      <c r="C266" s="45"/>
      <c r="D266" s="45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47"/>
      <c r="DW266" s="47"/>
      <c r="DX266" s="47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  <c r="HG266" s="35"/>
      <c r="HH266" s="35"/>
      <c r="HI266" s="35"/>
      <c r="HJ266" s="35"/>
      <c r="HK266" s="35"/>
      <c r="HL266" s="35"/>
      <c r="HM266" s="35"/>
      <c r="HN266" s="35"/>
      <c r="HO266" s="35"/>
      <c r="HP266" s="35"/>
      <c r="HQ266" s="35"/>
      <c r="HR266" s="35"/>
      <c r="HS266" s="35"/>
      <c r="HT266" s="35"/>
      <c r="HU266" s="35"/>
      <c r="HV266" s="35"/>
      <c r="HW266" s="35"/>
      <c r="HX266" s="35"/>
      <c r="HY266" s="35"/>
      <c r="HZ266" s="35"/>
      <c r="IA266" s="35"/>
      <c r="IB266" s="35"/>
      <c r="IC266" s="35"/>
      <c r="ID266" s="35"/>
      <c r="IE266" s="35"/>
      <c r="IF266" s="35"/>
      <c r="IG266" s="35"/>
      <c r="IH266" s="35"/>
      <c r="II266" s="35"/>
      <c r="IJ266" s="35"/>
      <c r="IK266" s="35"/>
      <c r="IL266" s="35"/>
      <c r="IM266" s="35"/>
      <c r="IN266" s="35"/>
      <c r="IO266" s="35"/>
      <c r="IP266" s="35"/>
      <c r="IQ266" s="35"/>
      <c r="IR266" s="35"/>
      <c r="IS266" s="35"/>
      <c r="IT266" s="35"/>
      <c r="IU266" s="35"/>
      <c r="IV266" s="35"/>
      <c r="IW266" s="35"/>
      <c r="IX266" s="35"/>
      <c r="IY266" s="35"/>
      <c r="IZ266" s="35"/>
      <c r="JA266" s="35"/>
      <c r="JB266" s="35"/>
      <c r="JC266" s="35"/>
      <c r="JD266" s="35"/>
      <c r="JE266" s="35"/>
      <c r="JF266" s="35"/>
      <c r="JG266" s="35"/>
      <c r="JH266" s="35"/>
    </row>
    <row r="267" spans="1:268" s="34" customFormat="1">
      <c r="A267" s="45"/>
      <c r="B267" s="45"/>
      <c r="C267" s="45"/>
      <c r="D267" s="45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47"/>
      <c r="DW267" s="47"/>
      <c r="DX267" s="47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  <c r="HG267" s="35"/>
      <c r="HH267" s="35"/>
      <c r="HI267" s="35"/>
      <c r="HJ267" s="35"/>
      <c r="HK267" s="35"/>
      <c r="HL267" s="35"/>
      <c r="HM267" s="35"/>
      <c r="HN267" s="35"/>
      <c r="HO267" s="35"/>
      <c r="HP267" s="35"/>
      <c r="HQ267" s="35"/>
      <c r="HR267" s="35"/>
      <c r="HS267" s="35"/>
      <c r="HT267" s="35"/>
      <c r="HU267" s="35"/>
      <c r="HV267" s="35"/>
      <c r="HW267" s="35"/>
      <c r="HX267" s="35"/>
      <c r="HY267" s="35"/>
      <c r="HZ267" s="35"/>
      <c r="IA267" s="35"/>
      <c r="IB267" s="35"/>
      <c r="IC267" s="35"/>
      <c r="ID267" s="35"/>
      <c r="IE267" s="35"/>
      <c r="IF267" s="35"/>
      <c r="IG267" s="35"/>
      <c r="IH267" s="35"/>
      <c r="II267" s="35"/>
      <c r="IJ267" s="35"/>
      <c r="IK267" s="35"/>
      <c r="IL267" s="35"/>
      <c r="IM267" s="35"/>
      <c r="IN267" s="35"/>
      <c r="IO267" s="35"/>
      <c r="IP267" s="35"/>
      <c r="IQ267" s="35"/>
      <c r="IR267" s="35"/>
      <c r="IS267" s="35"/>
      <c r="IT267" s="35"/>
      <c r="IU267" s="35"/>
      <c r="IV267" s="35"/>
      <c r="IW267" s="35"/>
      <c r="IX267" s="35"/>
      <c r="IY267" s="35"/>
      <c r="IZ267" s="35"/>
      <c r="JA267" s="35"/>
      <c r="JB267" s="35"/>
      <c r="JC267" s="35"/>
      <c r="JD267" s="35"/>
      <c r="JE267" s="35"/>
      <c r="JF267" s="35"/>
      <c r="JG267" s="35"/>
      <c r="JH267" s="35"/>
    </row>
    <row r="268" spans="1:268" s="34" customFormat="1">
      <c r="A268" s="45"/>
      <c r="B268" s="45"/>
      <c r="C268" s="45"/>
      <c r="D268" s="45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47"/>
      <c r="DW268" s="47"/>
      <c r="DX268" s="47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  <c r="HG268" s="35"/>
      <c r="HH268" s="35"/>
      <c r="HI268" s="35"/>
      <c r="HJ268" s="35"/>
      <c r="HK268" s="35"/>
      <c r="HL268" s="35"/>
      <c r="HM268" s="35"/>
      <c r="HN268" s="35"/>
      <c r="HO268" s="35"/>
      <c r="HP268" s="35"/>
      <c r="HQ268" s="35"/>
      <c r="HR268" s="35"/>
      <c r="HS268" s="35"/>
      <c r="HT268" s="35"/>
      <c r="HU268" s="35"/>
      <c r="HV268" s="35"/>
      <c r="HW268" s="35"/>
      <c r="HX268" s="35"/>
      <c r="HY268" s="35"/>
      <c r="HZ268" s="35"/>
      <c r="IA268" s="35"/>
      <c r="IB268" s="35"/>
      <c r="IC268" s="35"/>
      <c r="ID268" s="35"/>
      <c r="IE268" s="35"/>
      <c r="IF268" s="35"/>
      <c r="IG268" s="35"/>
      <c r="IH268" s="35"/>
      <c r="II268" s="35"/>
      <c r="IJ268" s="35"/>
      <c r="IK268" s="35"/>
      <c r="IL268" s="35"/>
      <c r="IM268" s="35"/>
      <c r="IN268" s="35"/>
      <c r="IO268" s="35"/>
      <c r="IP268" s="35"/>
      <c r="IQ268" s="35"/>
      <c r="IR268" s="35"/>
      <c r="IS268" s="35"/>
      <c r="IT268" s="35"/>
      <c r="IU268" s="35"/>
      <c r="IV268" s="35"/>
      <c r="IW268" s="35"/>
      <c r="IX268" s="35"/>
      <c r="IY268" s="35"/>
      <c r="IZ268" s="35"/>
      <c r="JA268" s="35"/>
      <c r="JB268" s="35"/>
      <c r="JC268" s="35"/>
      <c r="JD268" s="35"/>
      <c r="JE268" s="35"/>
      <c r="JF268" s="35"/>
      <c r="JG268" s="35"/>
      <c r="JH268" s="35"/>
    </row>
    <row r="269" spans="1:268" s="34" customFormat="1">
      <c r="A269" s="45"/>
      <c r="B269" s="45"/>
      <c r="C269" s="45"/>
      <c r="D269" s="45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47"/>
      <c r="DW269" s="47"/>
      <c r="DX269" s="47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  <c r="HG269" s="35"/>
      <c r="HH269" s="35"/>
      <c r="HI269" s="35"/>
      <c r="HJ269" s="35"/>
      <c r="HK269" s="35"/>
      <c r="HL269" s="35"/>
      <c r="HM269" s="35"/>
      <c r="HN269" s="35"/>
      <c r="HO269" s="35"/>
      <c r="HP269" s="35"/>
      <c r="HQ269" s="35"/>
      <c r="HR269" s="35"/>
      <c r="HS269" s="35"/>
      <c r="HT269" s="35"/>
      <c r="HU269" s="35"/>
      <c r="HV269" s="35"/>
      <c r="HW269" s="35"/>
      <c r="HX269" s="35"/>
      <c r="HY269" s="35"/>
      <c r="HZ269" s="35"/>
      <c r="IA269" s="35"/>
      <c r="IB269" s="35"/>
      <c r="IC269" s="35"/>
      <c r="ID269" s="35"/>
      <c r="IE269" s="35"/>
      <c r="IF269" s="35"/>
      <c r="IG269" s="35"/>
      <c r="IH269" s="35"/>
      <c r="II269" s="35"/>
      <c r="IJ269" s="35"/>
      <c r="IK269" s="35"/>
      <c r="IL269" s="35"/>
      <c r="IM269" s="35"/>
      <c r="IN269" s="35"/>
      <c r="IO269" s="35"/>
      <c r="IP269" s="35"/>
      <c r="IQ269" s="35"/>
      <c r="IR269" s="35"/>
      <c r="IS269" s="35"/>
      <c r="IT269" s="35"/>
      <c r="IU269" s="35"/>
      <c r="IV269" s="35"/>
      <c r="IW269" s="35"/>
      <c r="IX269" s="35"/>
      <c r="IY269" s="35"/>
      <c r="IZ269" s="35"/>
      <c r="JA269" s="35"/>
      <c r="JB269" s="35"/>
      <c r="JC269" s="35"/>
      <c r="JD269" s="35"/>
      <c r="JE269" s="35"/>
      <c r="JF269" s="35"/>
      <c r="JG269" s="35"/>
      <c r="JH269" s="35"/>
    </row>
    <row r="270" spans="1:268" s="34" customFormat="1">
      <c r="A270" s="45"/>
      <c r="B270" s="45"/>
      <c r="C270" s="45"/>
      <c r="D270" s="45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47"/>
      <c r="DW270" s="47"/>
      <c r="DX270" s="47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  <c r="HG270" s="35"/>
      <c r="HH270" s="35"/>
      <c r="HI270" s="35"/>
      <c r="HJ270" s="35"/>
      <c r="HK270" s="35"/>
      <c r="HL270" s="35"/>
      <c r="HM270" s="35"/>
      <c r="HN270" s="35"/>
      <c r="HO270" s="35"/>
      <c r="HP270" s="35"/>
      <c r="HQ270" s="35"/>
      <c r="HR270" s="35"/>
      <c r="HS270" s="35"/>
      <c r="HT270" s="35"/>
      <c r="HU270" s="35"/>
      <c r="HV270" s="35"/>
      <c r="HW270" s="35"/>
      <c r="HX270" s="35"/>
      <c r="HY270" s="35"/>
      <c r="HZ270" s="35"/>
      <c r="IA270" s="35"/>
      <c r="IB270" s="35"/>
      <c r="IC270" s="35"/>
      <c r="ID270" s="35"/>
      <c r="IE270" s="35"/>
      <c r="IF270" s="35"/>
      <c r="IG270" s="35"/>
      <c r="IH270" s="35"/>
      <c r="II270" s="35"/>
      <c r="IJ270" s="35"/>
      <c r="IK270" s="35"/>
      <c r="IL270" s="35"/>
      <c r="IM270" s="35"/>
      <c r="IN270" s="35"/>
      <c r="IO270" s="35"/>
      <c r="IP270" s="35"/>
      <c r="IQ270" s="35"/>
      <c r="IR270" s="35"/>
      <c r="IS270" s="35"/>
      <c r="IT270" s="35"/>
      <c r="IU270" s="35"/>
      <c r="IV270" s="35"/>
      <c r="IW270" s="35"/>
      <c r="IX270" s="35"/>
      <c r="IY270" s="35"/>
      <c r="IZ270" s="35"/>
      <c r="JA270" s="35"/>
      <c r="JB270" s="35"/>
      <c r="JC270" s="35"/>
      <c r="JD270" s="35"/>
      <c r="JE270" s="35"/>
      <c r="JF270" s="35"/>
      <c r="JG270" s="35"/>
      <c r="JH270" s="35"/>
    </row>
    <row r="271" spans="1:268" s="34" customFormat="1">
      <c r="A271" s="45"/>
      <c r="B271" s="45"/>
      <c r="C271" s="45"/>
      <c r="D271" s="45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47"/>
      <c r="DW271" s="47"/>
      <c r="DX271" s="47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  <c r="HG271" s="35"/>
      <c r="HH271" s="35"/>
      <c r="HI271" s="35"/>
      <c r="HJ271" s="35"/>
      <c r="HK271" s="35"/>
      <c r="HL271" s="35"/>
      <c r="HM271" s="35"/>
      <c r="HN271" s="35"/>
      <c r="HO271" s="35"/>
      <c r="HP271" s="35"/>
      <c r="HQ271" s="35"/>
      <c r="HR271" s="35"/>
      <c r="HS271" s="35"/>
      <c r="HT271" s="35"/>
      <c r="HU271" s="35"/>
      <c r="HV271" s="35"/>
      <c r="HW271" s="35"/>
      <c r="HX271" s="35"/>
      <c r="HY271" s="35"/>
      <c r="HZ271" s="35"/>
      <c r="IA271" s="35"/>
      <c r="IB271" s="35"/>
      <c r="IC271" s="35"/>
      <c r="ID271" s="35"/>
      <c r="IE271" s="35"/>
      <c r="IF271" s="35"/>
      <c r="IG271" s="35"/>
      <c r="IH271" s="35"/>
      <c r="II271" s="35"/>
      <c r="IJ271" s="35"/>
      <c r="IK271" s="35"/>
      <c r="IL271" s="35"/>
      <c r="IM271" s="35"/>
      <c r="IN271" s="35"/>
      <c r="IO271" s="35"/>
      <c r="IP271" s="35"/>
      <c r="IQ271" s="35"/>
      <c r="IR271" s="35"/>
      <c r="IS271" s="35"/>
      <c r="IT271" s="35"/>
      <c r="IU271" s="35"/>
      <c r="IV271" s="35"/>
      <c r="IW271" s="35"/>
      <c r="IX271" s="35"/>
      <c r="IY271" s="35"/>
      <c r="IZ271" s="35"/>
      <c r="JA271" s="35"/>
      <c r="JB271" s="35"/>
      <c r="JC271" s="35"/>
      <c r="JD271" s="35"/>
      <c r="JE271" s="35"/>
      <c r="JF271" s="35"/>
      <c r="JG271" s="35"/>
      <c r="JH271" s="35"/>
    </row>
    <row r="272" spans="1:268" s="34" customFormat="1">
      <c r="A272" s="45"/>
      <c r="B272" s="45"/>
      <c r="C272" s="45"/>
      <c r="D272" s="45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47"/>
      <c r="DW272" s="47"/>
      <c r="DX272" s="47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  <c r="HG272" s="35"/>
      <c r="HH272" s="35"/>
      <c r="HI272" s="35"/>
      <c r="HJ272" s="35"/>
      <c r="HK272" s="35"/>
      <c r="HL272" s="35"/>
      <c r="HM272" s="35"/>
      <c r="HN272" s="35"/>
      <c r="HO272" s="35"/>
      <c r="HP272" s="35"/>
      <c r="HQ272" s="35"/>
      <c r="HR272" s="35"/>
      <c r="HS272" s="35"/>
      <c r="HT272" s="35"/>
      <c r="HU272" s="35"/>
      <c r="HV272" s="35"/>
      <c r="HW272" s="35"/>
      <c r="HX272" s="35"/>
      <c r="HY272" s="35"/>
      <c r="HZ272" s="35"/>
      <c r="IA272" s="35"/>
      <c r="IB272" s="35"/>
      <c r="IC272" s="35"/>
      <c r="ID272" s="35"/>
      <c r="IE272" s="35"/>
      <c r="IF272" s="35"/>
      <c r="IG272" s="35"/>
      <c r="IH272" s="35"/>
      <c r="II272" s="35"/>
      <c r="IJ272" s="35"/>
      <c r="IK272" s="35"/>
      <c r="IL272" s="35"/>
      <c r="IM272" s="35"/>
      <c r="IN272" s="35"/>
      <c r="IO272" s="35"/>
      <c r="IP272" s="35"/>
      <c r="IQ272" s="35"/>
      <c r="IR272" s="35"/>
      <c r="IS272" s="35"/>
      <c r="IT272" s="35"/>
      <c r="IU272" s="35"/>
      <c r="IV272" s="35"/>
      <c r="IW272" s="35"/>
      <c r="IX272" s="35"/>
      <c r="IY272" s="35"/>
      <c r="IZ272" s="35"/>
      <c r="JA272" s="35"/>
      <c r="JB272" s="35"/>
      <c r="JC272" s="35"/>
      <c r="JD272" s="35"/>
      <c r="JE272" s="35"/>
      <c r="JF272" s="35"/>
      <c r="JG272" s="35"/>
      <c r="JH272" s="35"/>
    </row>
    <row r="273" spans="1:268" s="34" customFormat="1">
      <c r="A273" s="45"/>
      <c r="B273" s="45"/>
      <c r="C273" s="45"/>
      <c r="D273" s="45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47"/>
      <c r="DW273" s="47"/>
      <c r="DX273" s="47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  <c r="HF273" s="35"/>
      <c r="HG273" s="35"/>
      <c r="HH273" s="35"/>
      <c r="HI273" s="35"/>
      <c r="HJ273" s="35"/>
      <c r="HK273" s="35"/>
      <c r="HL273" s="35"/>
      <c r="HM273" s="35"/>
      <c r="HN273" s="35"/>
      <c r="HO273" s="35"/>
      <c r="HP273" s="35"/>
      <c r="HQ273" s="35"/>
      <c r="HR273" s="35"/>
      <c r="HS273" s="35"/>
      <c r="HT273" s="35"/>
      <c r="HU273" s="35"/>
      <c r="HV273" s="35"/>
      <c r="HW273" s="35"/>
      <c r="HX273" s="35"/>
      <c r="HY273" s="35"/>
      <c r="HZ273" s="35"/>
      <c r="IA273" s="35"/>
      <c r="IB273" s="35"/>
      <c r="IC273" s="35"/>
      <c r="ID273" s="35"/>
      <c r="IE273" s="35"/>
      <c r="IF273" s="35"/>
      <c r="IG273" s="35"/>
      <c r="IH273" s="35"/>
      <c r="II273" s="35"/>
      <c r="IJ273" s="35"/>
      <c r="IK273" s="35"/>
      <c r="IL273" s="35"/>
      <c r="IM273" s="35"/>
      <c r="IN273" s="35"/>
      <c r="IO273" s="35"/>
      <c r="IP273" s="35"/>
      <c r="IQ273" s="35"/>
      <c r="IR273" s="35"/>
      <c r="IS273" s="35"/>
      <c r="IT273" s="35"/>
      <c r="IU273" s="35"/>
      <c r="IV273" s="35"/>
      <c r="IW273" s="35"/>
      <c r="IX273" s="35"/>
      <c r="IY273" s="35"/>
      <c r="IZ273" s="35"/>
      <c r="JA273" s="35"/>
      <c r="JB273" s="35"/>
      <c r="JC273" s="35"/>
      <c r="JD273" s="35"/>
      <c r="JE273" s="35"/>
      <c r="JF273" s="35"/>
      <c r="JG273" s="35"/>
      <c r="JH273" s="35"/>
    </row>
    <row r="274" spans="1:268" s="34" customFormat="1">
      <c r="A274" s="45"/>
      <c r="B274" s="45"/>
      <c r="C274" s="45"/>
      <c r="D274" s="45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47"/>
      <c r="DW274" s="47"/>
      <c r="DX274" s="47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  <c r="HG274" s="35"/>
      <c r="HH274" s="35"/>
      <c r="HI274" s="35"/>
      <c r="HJ274" s="35"/>
      <c r="HK274" s="35"/>
      <c r="HL274" s="35"/>
      <c r="HM274" s="35"/>
      <c r="HN274" s="35"/>
      <c r="HO274" s="35"/>
      <c r="HP274" s="35"/>
      <c r="HQ274" s="35"/>
      <c r="HR274" s="35"/>
      <c r="HS274" s="35"/>
      <c r="HT274" s="35"/>
      <c r="HU274" s="35"/>
      <c r="HV274" s="35"/>
      <c r="HW274" s="35"/>
      <c r="HX274" s="35"/>
      <c r="HY274" s="35"/>
      <c r="HZ274" s="35"/>
      <c r="IA274" s="35"/>
      <c r="IB274" s="35"/>
      <c r="IC274" s="35"/>
      <c r="ID274" s="35"/>
      <c r="IE274" s="35"/>
      <c r="IF274" s="35"/>
      <c r="IG274" s="35"/>
      <c r="IH274" s="35"/>
      <c r="II274" s="35"/>
      <c r="IJ274" s="35"/>
      <c r="IK274" s="35"/>
      <c r="IL274" s="35"/>
      <c r="IM274" s="35"/>
      <c r="IN274" s="35"/>
      <c r="IO274" s="35"/>
      <c r="IP274" s="35"/>
      <c r="IQ274" s="35"/>
      <c r="IR274" s="35"/>
      <c r="IS274" s="35"/>
      <c r="IT274" s="35"/>
      <c r="IU274" s="35"/>
      <c r="IV274" s="35"/>
      <c r="IW274" s="35"/>
      <c r="IX274" s="35"/>
      <c r="IY274" s="35"/>
      <c r="IZ274" s="35"/>
      <c r="JA274" s="35"/>
      <c r="JB274" s="35"/>
      <c r="JC274" s="35"/>
      <c r="JD274" s="35"/>
      <c r="JE274" s="35"/>
      <c r="JF274" s="35"/>
      <c r="JG274" s="35"/>
      <c r="JH274" s="35"/>
    </row>
    <row r="275" spans="1:268" s="34" customFormat="1">
      <c r="A275" s="45"/>
      <c r="B275" s="45"/>
      <c r="C275" s="45"/>
      <c r="D275" s="45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47"/>
      <c r="DW275" s="47"/>
      <c r="DX275" s="47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  <c r="HG275" s="35"/>
      <c r="HH275" s="35"/>
      <c r="HI275" s="35"/>
      <c r="HJ275" s="35"/>
      <c r="HK275" s="35"/>
      <c r="HL275" s="35"/>
      <c r="HM275" s="35"/>
      <c r="HN275" s="35"/>
      <c r="HO275" s="35"/>
      <c r="HP275" s="35"/>
      <c r="HQ275" s="35"/>
      <c r="HR275" s="35"/>
      <c r="HS275" s="35"/>
      <c r="HT275" s="35"/>
      <c r="HU275" s="35"/>
      <c r="HV275" s="35"/>
      <c r="HW275" s="35"/>
      <c r="HX275" s="35"/>
      <c r="HY275" s="35"/>
      <c r="HZ275" s="35"/>
      <c r="IA275" s="35"/>
      <c r="IB275" s="35"/>
      <c r="IC275" s="35"/>
      <c r="ID275" s="35"/>
      <c r="IE275" s="35"/>
      <c r="IF275" s="35"/>
      <c r="IG275" s="35"/>
      <c r="IH275" s="35"/>
      <c r="II275" s="35"/>
      <c r="IJ275" s="35"/>
      <c r="IK275" s="35"/>
      <c r="IL275" s="35"/>
      <c r="IM275" s="35"/>
      <c r="IN275" s="35"/>
      <c r="IO275" s="35"/>
      <c r="IP275" s="35"/>
      <c r="IQ275" s="35"/>
      <c r="IR275" s="35"/>
      <c r="IS275" s="35"/>
      <c r="IT275" s="35"/>
      <c r="IU275" s="35"/>
      <c r="IV275" s="35"/>
      <c r="IW275" s="35"/>
      <c r="IX275" s="35"/>
      <c r="IY275" s="35"/>
      <c r="IZ275" s="35"/>
      <c r="JA275" s="35"/>
      <c r="JB275" s="35"/>
      <c r="JC275" s="35"/>
      <c r="JD275" s="35"/>
      <c r="JE275" s="35"/>
      <c r="JF275" s="35"/>
      <c r="JG275" s="35"/>
      <c r="JH275" s="35"/>
    </row>
    <row r="276" spans="1:268" s="34" customFormat="1">
      <c r="A276" s="45"/>
      <c r="B276" s="45"/>
      <c r="C276" s="45"/>
      <c r="D276" s="45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47"/>
      <c r="DW276" s="47"/>
      <c r="DX276" s="47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  <c r="HG276" s="35"/>
      <c r="HH276" s="35"/>
      <c r="HI276" s="35"/>
      <c r="HJ276" s="35"/>
      <c r="HK276" s="35"/>
      <c r="HL276" s="35"/>
      <c r="HM276" s="35"/>
      <c r="HN276" s="35"/>
      <c r="HO276" s="35"/>
      <c r="HP276" s="35"/>
      <c r="HQ276" s="35"/>
      <c r="HR276" s="35"/>
      <c r="HS276" s="35"/>
      <c r="HT276" s="35"/>
      <c r="HU276" s="35"/>
      <c r="HV276" s="35"/>
      <c r="HW276" s="35"/>
      <c r="HX276" s="35"/>
      <c r="HY276" s="35"/>
      <c r="HZ276" s="35"/>
      <c r="IA276" s="35"/>
      <c r="IB276" s="35"/>
      <c r="IC276" s="35"/>
      <c r="ID276" s="35"/>
      <c r="IE276" s="35"/>
      <c r="IF276" s="35"/>
      <c r="IG276" s="35"/>
      <c r="IH276" s="35"/>
      <c r="II276" s="35"/>
      <c r="IJ276" s="35"/>
      <c r="IK276" s="35"/>
      <c r="IL276" s="35"/>
      <c r="IM276" s="35"/>
      <c r="IN276" s="35"/>
      <c r="IO276" s="35"/>
      <c r="IP276" s="35"/>
      <c r="IQ276" s="35"/>
      <c r="IR276" s="35"/>
      <c r="IS276" s="35"/>
      <c r="IT276" s="35"/>
      <c r="IU276" s="35"/>
      <c r="IV276" s="35"/>
      <c r="IW276" s="35"/>
      <c r="IX276" s="35"/>
      <c r="IY276" s="35"/>
      <c r="IZ276" s="35"/>
      <c r="JA276" s="35"/>
      <c r="JB276" s="35"/>
      <c r="JC276" s="35"/>
      <c r="JD276" s="35"/>
      <c r="JE276" s="35"/>
      <c r="JF276" s="35"/>
      <c r="JG276" s="35"/>
      <c r="JH276" s="35"/>
    </row>
    <row r="277" spans="1:268" s="34" customFormat="1">
      <c r="A277" s="45"/>
      <c r="B277" s="45"/>
      <c r="C277" s="45"/>
      <c r="D277" s="45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47"/>
      <c r="DW277" s="47"/>
      <c r="DX277" s="47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  <c r="HG277" s="35"/>
      <c r="HH277" s="35"/>
      <c r="HI277" s="35"/>
      <c r="HJ277" s="35"/>
      <c r="HK277" s="35"/>
      <c r="HL277" s="35"/>
      <c r="HM277" s="35"/>
      <c r="HN277" s="35"/>
      <c r="HO277" s="35"/>
      <c r="HP277" s="35"/>
      <c r="HQ277" s="35"/>
      <c r="HR277" s="35"/>
      <c r="HS277" s="35"/>
      <c r="HT277" s="35"/>
      <c r="HU277" s="35"/>
      <c r="HV277" s="35"/>
      <c r="HW277" s="35"/>
      <c r="HX277" s="35"/>
      <c r="HY277" s="35"/>
      <c r="HZ277" s="35"/>
      <c r="IA277" s="35"/>
      <c r="IB277" s="35"/>
      <c r="IC277" s="35"/>
      <c r="ID277" s="35"/>
      <c r="IE277" s="35"/>
      <c r="IF277" s="35"/>
      <c r="IG277" s="35"/>
      <c r="IH277" s="35"/>
      <c r="II277" s="35"/>
      <c r="IJ277" s="35"/>
      <c r="IK277" s="35"/>
      <c r="IL277" s="35"/>
      <c r="IM277" s="35"/>
      <c r="IN277" s="35"/>
      <c r="IO277" s="35"/>
      <c r="IP277" s="35"/>
      <c r="IQ277" s="35"/>
      <c r="IR277" s="35"/>
      <c r="IS277" s="35"/>
      <c r="IT277" s="35"/>
      <c r="IU277" s="35"/>
      <c r="IV277" s="35"/>
      <c r="IW277" s="35"/>
      <c r="IX277" s="35"/>
      <c r="IY277" s="35"/>
      <c r="IZ277" s="35"/>
      <c r="JA277" s="35"/>
      <c r="JB277" s="35"/>
      <c r="JC277" s="35"/>
      <c r="JD277" s="35"/>
      <c r="JE277" s="35"/>
      <c r="JF277" s="35"/>
      <c r="JG277" s="35"/>
      <c r="JH277" s="35"/>
    </row>
    <row r="278" spans="1:268" s="34" customFormat="1">
      <c r="A278" s="45"/>
      <c r="B278" s="45"/>
      <c r="C278" s="45"/>
      <c r="D278" s="45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47"/>
      <c r="DW278" s="47"/>
      <c r="DX278" s="47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  <c r="HG278" s="35"/>
      <c r="HH278" s="35"/>
      <c r="HI278" s="35"/>
      <c r="HJ278" s="35"/>
      <c r="HK278" s="35"/>
      <c r="HL278" s="35"/>
      <c r="HM278" s="35"/>
      <c r="HN278" s="35"/>
      <c r="HO278" s="35"/>
      <c r="HP278" s="35"/>
      <c r="HQ278" s="35"/>
      <c r="HR278" s="35"/>
      <c r="HS278" s="35"/>
      <c r="HT278" s="35"/>
      <c r="HU278" s="35"/>
      <c r="HV278" s="35"/>
      <c r="HW278" s="35"/>
      <c r="HX278" s="35"/>
      <c r="HY278" s="35"/>
      <c r="HZ278" s="35"/>
      <c r="IA278" s="35"/>
      <c r="IB278" s="35"/>
      <c r="IC278" s="35"/>
      <c r="ID278" s="35"/>
      <c r="IE278" s="35"/>
      <c r="IF278" s="35"/>
      <c r="IG278" s="35"/>
      <c r="IH278" s="35"/>
      <c r="II278" s="35"/>
      <c r="IJ278" s="35"/>
      <c r="IK278" s="35"/>
      <c r="IL278" s="35"/>
      <c r="IM278" s="35"/>
      <c r="IN278" s="35"/>
      <c r="IO278" s="35"/>
      <c r="IP278" s="35"/>
      <c r="IQ278" s="35"/>
      <c r="IR278" s="35"/>
      <c r="IS278" s="35"/>
      <c r="IT278" s="35"/>
      <c r="IU278" s="35"/>
      <c r="IV278" s="35"/>
      <c r="IW278" s="35"/>
      <c r="IX278" s="35"/>
      <c r="IY278" s="35"/>
      <c r="IZ278" s="35"/>
      <c r="JA278" s="35"/>
      <c r="JB278" s="35"/>
      <c r="JC278" s="35"/>
      <c r="JD278" s="35"/>
      <c r="JE278" s="35"/>
      <c r="JF278" s="35"/>
      <c r="JG278" s="35"/>
      <c r="JH278" s="35"/>
    </row>
    <row r="279" spans="1:268" s="34" customFormat="1">
      <c r="A279" s="45"/>
      <c r="B279" s="45"/>
      <c r="C279" s="45"/>
      <c r="D279" s="45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47"/>
      <c r="DW279" s="47"/>
      <c r="DX279" s="47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  <c r="HG279" s="35"/>
      <c r="HH279" s="35"/>
      <c r="HI279" s="35"/>
      <c r="HJ279" s="35"/>
      <c r="HK279" s="35"/>
      <c r="HL279" s="35"/>
      <c r="HM279" s="35"/>
      <c r="HN279" s="35"/>
      <c r="HO279" s="35"/>
      <c r="HP279" s="35"/>
      <c r="HQ279" s="35"/>
      <c r="HR279" s="35"/>
      <c r="HS279" s="35"/>
      <c r="HT279" s="35"/>
      <c r="HU279" s="35"/>
      <c r="HV279" s="35"/>
      <c r="HW279" s="35"/>
      <c r="HX279" s="35"/>
      <c r="HY279" s="35"/>
      <c r="HZ279" s="35"/>
      <c r="IA279" s="35"/>
      <c r="IB279" s="35"/>
      <c r="IC279" s="35"/>
      <c r="ID279" s="35"/>
      <c r="IE279" s="35"/>
      <c r="IF279" s="35"/>
      <c r="IG279" s="35"/>
      <c r="IH279" s="35"/>
      <c r="II279" s="35"/>
      <c r="IJ279" s="35"/>
      <c r="IK279" s="35"/>
      <c r="IL279" s="35"/>
      <c r="IM279" s="35"/>
      <c r="IN279" s="35"/>
      <c r="IO279" s="35"/>
      <c r="IP279" s="35"/>
      <c r="IQ279" s="35"/>
      <c r="IR279" s="35"/>
      <c r="IS279" s="35"/>
      <c r="IT279" s="35"/>
      <c r="IU279" s="35"/>
      <c r="IV279" s="35"/>
      <c r="IW279" s="35"/>
      <c r="IX279" s="35"/>
      <c r="IY279" s="35"/>
      <c r="IZ279" s="35"/>
      <c r="JA279" s="35"/>
      <c r="JB279" s="35"/>
      <c r="JC279" s="35"/>
      <c r="JD279" s="35"/>
      <c r="JE279" s="35"/>
      <c r="JF279" s="35"/>
      <c r="JG279" s="35"/>
      <c r="JH279" s="35"/>
    </row>
    <row r="280" spans="1:268" s="34" customFormat="1">
      <c r="A280" s="45"/>
      <c r="B280" s="45"/>
      <c r="C280" s="45"/>
      <c r="D280" s="45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47"/>
      <c r="DW280" s="47"/>
      <c r="DX280" s="47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  <c r="HG280" s="35"/>
      <c r="HH280" s="35"/>
      <c r="HI280" s="35"/>
      <c r="HJ280" s="35"/>
      <c r="HK280" s="35"/>
      <c r="HL280" s="35"/>
      <c r="HM280" s="35"/>
      <c r="HN280" s="35"/>
      <c r="HO280" s="35"/>
      <c r="HP280" s="35"/>
      <c r="HQ280" s="35"/>
      <c r="HR280" s="35"/>
      <c r="HS280" s="35"/>
      <c r="HT280" s="35"/>
      <c r="HU280" s="35"/>
      <c r="HV280" s="35"/>
      <c r="HW280" s="35"/>
      <c r="HX280" s="35"/>
      <c r="HY280" s="35"/>
      <c r="HZ280" s="35"/>
      <c r="IA280" s="35"/>
      <c r="IB280" s="35"/>
      <c r="IC280" s="35"/>
      <c r="ID280" s="35"/>
      <c r="IE280" s="35"/>
      <c r="IF280" s="35"/>
      <c r="IG280" s="35"/>
      <c r="IH280" s="35"/>
      <c r="II280" s="35"/>
      <c r="IJ280" s="35"/>
      <c r="IK280" s="35"/>
      <c r="IL280" s="35"/>
      <c r="IM280" s="35"/>
      <c r="IN280" s="35"/>
      <c r="IO280" s="35"/>
      <c r="IP280" s="35"/>
      <c r="IQ280" s="35"/>
      <c r="IR280" s="35"/>
      <c r="IS280" s="35"/>
      <c r="IT280" s="35"/>
      <c r="IU280" s="35"/>
      <c r="IV280" s="35"/>
      <c r="IW280" s="35"/>
      <c r="IX280" s="35"/>
      <c r="IY280" s="35"/>
      <c r="IZ280" s="35"/>
      <c r="JA280" s="35"/>
      <c r="JB280" s="35"/>
      <c r="JC280" s="35"/>
      <c r="JD280" s="35"/>
      <c r="JE280" s="35"/>
      <c r="JF280" s="35"/>
      <c r="JG280" s="35"/>
      <c r="JH280" s="35"/>
    </row>
    <row r="281" spans="1:268" s="34" customFormat="1">
      <c r="A281" s="45"/>
      <c r="B281" s="45"/>
      <c r="C281" s="45"/>
      <c r="D281" s="45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47"/>
      <c r="DW281" s="47"/>
      <c r="DX281" s="47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  <c r="HH281" s="35"/>
      <c r="HI281" s="35"/>
      <c r="HJ281" s="35"/>
      <c r="HK281" s="35"/>
      <c r="HL281" s="35"/>
      <c r="HM281" s="35"/>
      <c r="HN281" s="35"/>
      <c r="HO281" s="35"/>
      <c r="HP281" s="35"/>
      <c r="HQ281" s="35"/>
      <c r="HR281" s="35"/>
      <c r="HS281" s="35"/>
      <c r="HT281" s="35"/>
      <c r="HU281" s="35"/>
      <c r="HV281" s="35"/>
      <c r="HW281" s="35"/>
      <c r="HX281" s="35"/>
      <c r="HY281" s="35"/>
      <c r="HZ281" s="35"/>
      <c r="IA281" s="35"/>
      <c r="IB281" s="35"/>
      <c r="IC281" s="35"/>
      <c r="ID281" s="35"/>
      <c r="IE281" s="35"/>
      <c r="IF281" s="35"/>
      <c r="IG281" s="35"/>
      <c r="IH281" s="35"/>
      <c r="II281" s="35"/>
      <c r="IJ281" s="35"/>
      <c r="IK281" s="35"/>
      <c r="IL281" s="35"/>
      <c r="IM281" s="35"/>
      <c r="IN281" s="35"/>
      <c r="IO281" s="35"/>
      <c r="IP281" s="35"/>
      <c r="IQ281" s="35"/>
      <c r="IR281" s="35"/>
      <c r="IS281" s="35"/>
      <c r="IT281" s="35"/>
      <c r="IU281" s="35"/>
      <c r="IV281" s="35"/>
      <c r="IW281" s="35"/>
      <c r="IX281" s="35"/>
      <c r="IY281" s="35"/>
      <c r="IZ281" s="35"/>
      <c r="JA281" s="35"/>
      <c r="JB281" s="35"/>
      <c r="JC281" s="35"/>
      <c r="JD281" s="35"/>
      <c r="JE281" s="35"/>
      <c r="JF281" s="35"/>
      <c r="JG281" s="35"/>
      <c r="JH281" s="35"/>
    </row>
    <row r="282" spans="1:268" s="34" customFormat="1">
      <c r="A282" s="45"/>
      <c r="B282" s="45"/>
      <c r="C282" s="45"/>
      <c r="D282" s="45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47"/>
      <c r="DW282" s="47"/>
      <c r="DX282" s="47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  <c r="HF282" s="35"/>
      <c r="HG282" s="35"/>
      <c r="HH282" s="35"/>
      <c r="HI282" s="35"/>
      <c r="HJ282" s="35"/>
      <c r="HK282" s="35"/>
      <c r="HL282" s="35"/>
      <c r="HM282" s="35"/>
      <c r="HN282" s="35"/>
      <c r="HO282" s="35"/>
      <c r="HP282" s="35"/>
      <c r="HQ282" s="35"/>
      <c r="HR282" s="35"/>
      <c r="HS282" s="35"/>
      <c r="HT282" s="35"/>
      <c r="HU282" s="35"/>
      <c r="HV282" s="35"/>
      <c r="HW282" s="35"/>
      <c r="HX282" s="35"/>
      <c r="HY282" s="35"/>
      <c r="HZ282" s="35"/>
      <c r="IA282" s="35"/>
      <c r="IB282" s="35"/>
      <c r="IC282" s="35"/>
      <c r="ID282" s="35"/>
      <c r="IE282" s="35"/>
      <c r="IF282" s="35"/>
      <c r="IG282" s="35"/>
      <c r="IH282" s="35"/>
      <c r="II282" s="35"/>
      <c r="IJ282" s="35"/>
      <c r="IK282" s="35"/>
      <c r="IL282" s="35"/>
      <c r="IM282" s="35"/>
      <c r="IN282" s="35"/>
      <c r="IO282" s="35"/>
      <c r="IP282" s="35"/>
      <c r="IQ282" s="35"/>
      <c r="IR282" s="35"/>
      <c r="IS282" s="35"/>
      <c r="IT282" s="35"/>
      <c r="IU282" s="35"/>
      <c r="IV282" s="35"/>
      <c r="IW282" s="35"/>
      <c r="IX282" s="35"/>
      <c r="IY282" s="35"/>
      <c r="IZ282" s="35"/>
      <c r="JA282" s="35"/>
      <c r="JB282" s="35"/>
      <c r="JC282" s="35"/>
      <c r="JD282" s="35"/>
      <c r="JE282" s="35"/>
      <c r="JF282" s="35"/>
      <c r="JG282" s="35"/>
      <c r="JH282" s="35"/>
    </row>
    <row r="283" spans="1:268" s="34" customFormat="1">
      <c r="A283" s="45"/>
      <c r="B283" s="45"/>
      <c r="C283" s="45"/>
      <c r="D283" s="45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47"/>
      <c r="DW283" s="47"/>
      <c r="DX283" s="47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  <c r="GY283" s="35"/>
      <c r="GZ283" s="35"/>
      <c r="HA283" s="35"/>
      <c r="HB283" s="35"/>
      <c r="HC283" s="35"/>
      <c r="HD283" s="35"/>
      <c r="HE283" s="35"/>
      <c r="HF283" s="35"/>
      <c r="HG283" s="35"/>
      <c r="HH283" s="35"/>
      <c r="HI283" s="35"/>
      <c r="HJ283" s="35"/>
      <c r="HK283" s="35"/>
      <c r="HL283" s="35"/>
      <c r="HM283" s="35"/>
      <c r="HN283" s="35"/>
      <c r="HO283" s="35"/>
      <c r="HP283" s="35"/>
      <c r="HQ283" s="35"/>
      <c r="HR283" s="35"/>
      <c r="HS283" s="35"/>
      <c r="HT283" s="35"/>
      <c r="HU283" s="35"/>
      <c r="HV283" s="35"/>
      <c r="HW283" s="35"/>
      <c r="HX283" s="35"/>
      <c r="HY283" s="35"/>
      <c r="HZ283" s="35"/>
      <c r="IA283" s="35"/>
      <c r="IB283" s="35"/>
      <c r="IC283" s="35"/>
      <c r="ID283" s="35"/>
      <c r="IE283" s="35"/>
      <c r="IF283" s="35"/>
      <c r="IG283" s="35"/>
      <c r="IH283" s="35"/>
      <c r="II283" s="35"/>
      <c r="IJ283" s="35"/>
      <c r="IK283" s="35"/>
      <c r="IL283" s="35"/>
      <c r="IM283" s="35"/>
      <c r="IN283" s="35"/>
      <c r="IO283" s="35"/>
      <c r="IP283" s="35"/>
      <c r="IQ283" s="35"/>
      <c r="IR283" s="35"/>
      <c r="IS283" s="35"/>
      <c r="IT283" s="35"/>
      <c r="IU283" s="35"/>
      <c r="IV283" s="35"/>
      <c r="IW283" s="35"/>
      <c r="IX283" s="35"/>
      <c r="IY283" s="35"/>
      <c r="IZ283" s="35"/>
      <c r="JA283" s="35"/>
      <c r="JB283" s="35"/>
      <c r="JC283" s="35"/>
      <c r="JD283" s="35"/>
      <c r="JE283" s="35"/>
      <c r="JF283" s="35"/>
      <c r="JG283" s="35"/>
      <c r="JH283" s="35"/>
    </row>
    <row r="284" spans="1:268" s="2" customFormat="1">
      <c r="A284" s="48"/>
      <c r="B284" s="48"/>
      <c r="C284" s="48"/>
      <c r="D284" s="48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DV284" s="1"/>
      <c r="DW284" s="1"/>
      <c r="DX284" s="1"/>
    </row>
    <row r="285" spans="1:268" s="2" customFormat="1">
      <c r="A285" s="48"/>
      <c r="B285" s="48"/>
      <c r="C285" s="48"/>
      <c r="D285" s="48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DV285" s="1"/>
      <c r="DW285" s="1"/>
      <c r="DX285" s="1"/>
    </row>
    <row r="286" spans="1:268" s="2" customFormat="1">
      <c r="A286" s="48"/>
      <c r="B286" s="48"/>
      <c r="C286" s="48"/>
      <c r="D286" s="48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DV286" s="1"/>
      <c r="DW286" s="1"/>
      <c r="DX286" s="1"/>
    </row>
    <row r="287" spans="1:268" s="2" customFormat="1">
      <c r="A287" s="48"/>
      <c r="B287" s="48"/>
      <c r="C287" s="48"/>
      <c r="D287" s="48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DV287" s="1"/>
      <c r="DW287" s="1"/>
      <c r="DX287" s="1"/>
    </row>
    <row r="288" spans="1:268" s="2" customFormat="1">
      <c r="A288" s="48"/>
      <c r="B288" s="48"/>
      <c r="C288" s="48"/>
      <c r="D288" s="48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DV288" s="1"/>
      <c r="DW288" s="1"/>
      <c r="DX288" s="1"/>
    </row>
    <row r="289" spans="1:128" s="2" customFormat="1">
      <c r="A289" s="48"/>
      <c r="B289" s="48"/>
      <c r="C289" s="48"/>
      <c r="D289" s="48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DV289" s="1"/>
      <c r="DW289" s="1"/>
      <c r="DX289" s="1"/>
    </row>
    <row r="290" spans="1:128" s="2" customFormat="1">
      <c r="A290" s="48"/>
      <c r="B290" s="48"/>
      <c r="C290" s="48"/>
      <c r="D290" s="48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DV290" s="1"/>
      <c r="DW290" s="1"/>
      <c r="DX290" s="1"/>
    </row>
    <row r="291" spans="1:128" s="2" customFormat="1">
      <c r="A291" s="48"/>
      <c r="B291" s="48"/>
      <c r="C291" s="48"/>
      <c r="D291" s="48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DV291" s="1"/>
      <c r="DW291" s="1"/>
      <c r="DX291" s="1"/>
    </row>
    <row r="292" spans="1:128" s="2" customFormat="1">
      <c r="A292" s="48"/>
      <c r="B292" s="48"/>
      <c r="C292" s="48"/>
      <c r="D292" s="48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DV292" s="1"/>
      <c r="DW292" s="1"/>
      <c r="DX292" s="1"/>
    </row>
    <row r="293" spans="1:128" s="2" customFormat="1">
      <c r="A293" s="48"/>
      <c r="B293" s="48"/>
      <c r="C293" s="48"/>
      <c r="D293" s="48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DV293" s="1"/>
      <c r="DW293" s="1"/>
      <c r="DX293" s="1"/>
    </row>
    <row r="294" spans="1:128" s="2" customFormat="1">
      <c r="A294" s="48"/>
      <c r="B294" s="48"/>
      <c r="C294" s="48"/>
      <c r="D294" s="48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DV294" s="1"/>
      <c r="DW294" s="1"/>
      <c r="DX294" s="1"/>
    </row>
    <row r="295" spans="1:128" s="2" customFormat="1">
      <c r="A295" s="48"/>
      <c r="B295" s="48"/>
      <c r="C295" s="48"/>
      <c r="D295" s="48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DV295" s="1"/>
      <c r="DW295" s="1"/>
      <c r="DX295" s="1"/>
    </row>
    <row r="296" spans="1:128" s="2" customFormat="1">
      <c r="A296" s="48"/>
      <c r="B296" s="48"/>
      <c r="C296" s="48"/>
      <c r="D296" s="48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DV296" s="1"/>
      <c r="DW296" s="1"/>
      <c r="DX296" s="1"/>
    </row>
    <row r="297" spans="1:128" s="2" customFormat="1">
      <c r="A297" s="48"/>
      <c r="B297" s="48"/>
      <c r="C297" s="48"/>
      <c r="D297" s="48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DV297" s="1"/>
      <c r="DW297" s="1"/>
      <c r="DX297" s="1"/>
    </row>
    <row r="298" spans="1:128" s="2" customFormat="1">
      <c r="A298" s="48"/>
      <c r="B298" s="48"/>
      <c r="C298" s="48"/>
      <c r="D298" s="48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DV298" s="1"/>
      <c r="DW298" s="1"/>
      <c r="DX298" s="1"/>
    </row>
    <row r="299" spans="1:128" s="2" customFormat="1">
      <c r="A299" s="48"/>
      <c r="B299" s="48"/>
      <c r="C299" s="48"/>
      <c r="D299" s="48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DV299" s="1"/>
      <c r="DW299" s="1"/>
      <c r="DX299" s="1"/>
    </row>
    <row r="300" spans="1:128" s="2" customFormat="1">
      <c r="A300" s="48"/>
      <c r="B300" s="48"/>
      <c r="C300" s="48"/>
      <c r="D300" s="48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DV300" s="1"/>
      <c r="DW300" s="1"/>
      <c r="DX300" s="1"/>
    </row>
    <row r="301" spans="1:128" s="2" customFormat="1">
      <c r="A301" s="48"/>
      <c r="B301" s="48"/>
      <c r="C301" s="48"/>
      <c r="D301" s="48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DV301" s="1"/>
      <c r="DW301" s="1"/>
      <c r="DX301" s="1"/>
    </row>
    <row r="302" spans="1:128" s="2" customFormat="1">
      <c r="A302" s="48"/>
      <c r="B302" s="48"/>
      <c r="C302" s="48"/>
      <c r="D302" s="48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DV302" s="1"/>
      <c r="DW302" s="1"/>
      <c r="DX302" s="1"/>
    </row>
    <row r="303" spans="1:128" s="2" customFormat="1">
      <c r="A303" s="48"/>
      <c r="B303" s="48"/>
      <c r="C303" s="48"/>
      <c r="D303" s="48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DV303" s="1"/>
      <c r="DW303" s="1"/>
      <c r="DX303" s="1"/>
    </row>
    <row r="304" spans="1:128" s="2" customFormat="1">
      <c r="A304" s="48"/>
      <c r="B304" s="48"/>
      <c r="C304" s="48"/>
      <c r="D304" s="48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DV304" s="1"/>
      <c r="DW304" s="1"/>
      <c r="DX304" s="1"/>
    </row>
    <row r="305" spans="1:128" s="2" customFormat="1">
      <c r="A305" s="48"/>
      <c r="B305" s="48"/>
      <c r="C305" s="48"/>
      <c r="D305" s="48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DV305" s="1"/>
      <c r="DW305" s="1"/>
      <c r="DX305" s="1"/>
    </row>
    <row r="306" spans="1:128" s="2" customFormat="1">
      <c r="A306" s="48"/>
      <c r="B306" s="48"/>
      <c r="C306" s="48"/>
      <c r="D306" s="48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DV306" s="1"/>
      <c r="DW306" s="1"/>
      <c r="DX306" s="1"/>
    </row>
    <row r="307" spans="1:128" s="2" customFormat="1">
      <c r="A307" s="48"/>
      <c r="B307" s="48"/>
      <c r="C307" s="48"/>
      <c r="D307" s="48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DV307" s="1"/>
      <c r="DW307" s="1"/>
      <c r="DX307" s="1"/>
    </row>
    <row r="308" spans="1:128" s="2" customFormat="1">
      <c r="A308" s="48"/>
      <c r="B308" s="48"/>
      <c r="C308" s="48"/>
      <c r="D308" s="48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DV308" s="1"/>
      <c r="DW308" s="1"/>
      <c r="DX308" s="1"/>
    </row>
    <row r="309" spans="1:128" s="2" customFormat="1">
      <c r="A309" s="48"/>
      <c r="B309" s="48"/>
      <c r="C309" s="48"/>
      <c r="D309" s="48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DV309" s="1"/>
      <c r="DW309" s="1"/>
      <c r="DX309" s="1"/>
    </row>
    <row r="310" spans="1:128" s="2" customFormat="1">
      <c r="A310" s="48"/>
      <c r="B310" s="48"/>
      <c r="C310" s="48"/>
      <c r="D310" s="48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DV310" s="1"/>
      <c r="DW310" s="1"/>
      <c r="DX310" s="1"/>
    </row>
    <row r="311" spans="1:128" s="2" customFormat="1">
      <c r="A311" s="48"/>
      <c r="B311" s="48"/>
      <c r="C311" s="48"/>
      <c r="D311" s="48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DV311" s="1"/>
      <c r="DW311" s="1"/>
      <c r="DX311" s="1"/>
    </row>
    <row r="312" spans="1:128" s="2" customFormat="1">
      <c r="A312" s="48"/>
      <c r="B312" s="48"/>
      <c r="C312" s="48"/>
      <c r="D312" s="48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DV312" s="1"/>
      <c r="DW312" s="1"/>
      <c r="DX312" s="1"/>
    </row>
    <row r="313" spans="1:128" s="2" customFormat="1">
      <c r="A313" s="48"/>
      <c r="B313" s="48"/>
      <c r="C313" s="48"/>
      <c r="D313" s="48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DV313" s="1"/>
      <c r="DW313" s="1"/>
      <c r="DX313" s="1"/>
    </row>
    <row r="314" spans="1:128" s="2" customFormat="1">
      <c r="A314" s="48"/>
      <c r="B314" s="48"/>
      <c r="C314" s="48"/>
      <c r="D314" s="48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DV314" s="1"/>
      <c r="DW314" s="1"/>
      <c r="DX314" s="1"/>
    </row>
    <row r="315" spans="1:128" s="2" customFormat="1">
      <c r="A315" s="48"/>
      <c r="B315" s="48"/>
      <c r="C315" s="48"/>
      <c r="D315" s="48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DV315" s="1"/>
      <c r="DW315" s="1"/>
      <c r="DX315" s="1"/>
    </row>
    <row r="316" spans="1:128" s="2" customFormat="1">
      <c r="A316" s="48"/>
      <c r="B316" s="48"/>
      <c r="C316" s="48"/>
      <c r="D316" s="48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DV316" s="1"/>
      <c r="DW316" s="1"/>
      <c r="DX316" s="1"/>
    </row>
    <row r="317" spans="1:128" s="2" customFormat="1">
      <c r="A317" s="48"/>
      <c r="B317" s="48"/>
      <c r="C317" s="48"/>
      <c r="D317" s="48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DV317" s="1"/>
      <c r="DW317" s="1"/>
      <c r="DX317" s="1"/>
    </row>
    <row r="318" spans="1:128" s="2" customFormat="1">
      <c r="A318" s="48"/>
      <c r="B318" s="48"/>
      <c r="C318" s="48"/>
      <c r="D318" s="48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DV318" s="1"/>
      <c r="DW318" s="1"/>
      <c r="DX318" s="1"/>
    </row>
    <row r="319" spans="1:128" s="2" customFormat="1">
      <c r="A319" s="48"/>
      <c r="B319" s="48"/>
      <c r="C319" s="48"/>
      <c r="D319" s="48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DV319" s="1"/>
      <c r="DW319" s="1"/>
      <c r="DX319" s="1"/>
    </row>
    <row r="320" spans="1:128" s="2" customFormat="1">
      <c r="A320" s="48"/>
      <c r="B320" s="48"/>
      <c r="C320" s="48"/>
      <c r="D320" s="48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DV320" s="1"/>
      <c r="DW320" s="1"/>
      <c r="DX320" s="1"/>
    </row>
    <row r="321" spans="1:128" s="2" customFormat="1">
      <c r="A321" s="48"/>
      <c r="B321" s="48"/>
      <c r="C321" s="48"/>
      <c r="D321" s="48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DV321" s="1"/>
      <c r="DW321" s="1"/>
      <c r="DX321" s="1"/>
    </row>
    <row r="322" spans="1:128" s="2" customFormat="1">
      <c r="A322" s="48"/>
      <c r="B322" s="48"/>
      <c r="C322" s="48"/>
      <c r="D322" s="48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DV322" s="1"/>
      <c r="DW322" s="1"/>
      <c r="DX322" s="1"/>
    </row>
    <row r="323" spans="1:128" s="2" customFormat="1">
      <c r="A323" s="48"/>
      <c r="B323" s="48"/>
      <c r="C323" s="48"/>
      <c r="D323" s="48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DV323" s="1"/>
      <c r="DW323" s="1"/>
      <c r="DX323" s="1"/>
    </row>
    <row r="324" spans="1:128" s="2" customFormat="1">
      <c r="A324" s="48"/>
      <c r="B324" s="48"/>
      <c r="C324" s="48"/>
      <c r="D324" s="48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DV324" s="1"/>
      <c r="DW324" s="1"/>
      <c r="DX324" s="1"/>
    </row>
  </sheetData>
  <sheetProtection formatCells="0" formatColumns="0" formatRows="0"/>
  <mergeCells count="238">
    <mergeCell ref="A5:B8"/>
    <mergeCell ref="C5:D5"/>
    <mergeCell ref="E5:AX5"/>
    <mergeCell ref="AY5:DV5"/>
    <mergeCell ref="C6:D7"/>
    <mergeCell ref="E6:F7"/>
    <mergeCell ref="G6:AX6"/>
    <mergeCell ref="AY6:AZ7"/>
    <mergeCell ref="A1:O1"/>
    <mergeCell ref="DQ6:DR7"/>
    <mergeCell ref="DS6:DT7"/>
    <mergeCell ref="DU6:DV7"/>
    <mergeCell ref="G7:H7"/>
    <mergeCell ref="I7:J7"/>
    <mergeCell ref="K7:L7"/>
    <mergeCell ref="M7:N7"/>
    <mergeCell ref="O7:P7"/>
    <mergeCell ref="C2:DV2"/>
    <mergeCell ref="C3:DV3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BE7:BF7"/>
    <mergeCell ref="BG7:BH7"/>
    <mergeCell ref="BI7:BJ7"/>
    <mergeCell ref="BK7:BL7"/>
    <mergeCell ref="BM7:BN7"/>
    <mergeCell ref="BO7:BP7"/>
    <mergeCell ref="AO7:AP7"/>
    <mergeCell ref="AQ7:AR7"/>
    <mergeCell ref="AS7:AT7"/>
    <mergeCell ref="AU7:AV7"/>
    <mergeCell ref="AW7:AX7"/>
    <mergeCell ref="BC7:BD7"/>
    <mergeCell ref="BA6:BB7"/>
    <mergeCell ref="BC6:DP6"/>
    <mergeCell ref="CC7:CD7"/>
    <mergeCell ref="CE7:CF7"/>
    <mergeCell ref="CG7:CH7"/>
    <mergeCell ref="CI7:CJ7"/>
    <mergeCell ref="CK7:CL7"/>
    <mergeCell ref="CM7:CN7"/>
    <mergeCell ref="BQ7:BR7"/>
    <mergeCell ref="BS7:BT7"/>
    <mergeCell ref="BU7:BV7"/>
    <mergeCell ref="BW7:BX7"/>
    <mergeCell ref="BY7:BZ7"/>
    <mergeCell ref="CA7:CB7"/>
    <mergeCell ref="A14:B14"/>
    <mergeCell ref="A15:B15"/>
    <mergeCell ref="A16:B16"/>
    <mergeCell ref="A17:B17"/>
    <mergeCell ref="A18:B18"/>
    <mergeCell ref="A19:B19"/>
    <mergeCell ref="DM7:DN7"/>
    <mergeCell ref="DO7:DP7"/>
    <mergeCell ref="A9:B9"/>
    <mergeCell ref="A10:B10"/>
    <mergeCell ref="A11:B11"/>
    <mergeCell ref="A13:B13"/>
    <mergeCell ref="DA7:DB7"/>
    <mergeCell ref="DC7:DD7"/>
    <mergeCell ref="DE7:DF7"/>
    <mergeCell ref="DG7:DH7"/>
    <mergeCell ref="DI7:DJ7"/>
    <mergeCell ref="DK7:DL7"/>
    <mergeCell ref="CO7:CP7"/>
    <mergeCell ref="CQ7:CR7"/>
    <mergeCell ref="CS7:CT7"/>
    <mergeCell ref="CU7:CV7"/>
    <mergeCell ref="CW7:CX7"/>
    <mergeCell ref="CY7:CZ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8:B108"/>
    <mergeCell ref="A112:B112"/>
    <mergeCell ref="A113:B113"/>
    <mergeCell ref="C113:D113"/>
    <mergeCell ref="E113:F113"/>
    <mergeCell ref="G113:H113"/>
    <mergeCell ref="A102:B102"/>
    <mergeCell ref="A103:B103"/>
    <mergeCell ref="A104:B104"/>
    <mergeCell ref="A105:B105"/>
    <mergeCell ref="A106:B106"/>
    <mergeCell ref="A107:B107"/>
    <mergeCell ref="U113:V113"/>
    <mergeCell ref="W113:X113"/>
    <mergeCell ref="Y113:Z113"/>
    <mergeCell ref="AA113:AB113"/>
    <mergeCell ref="AC113:AD113"/>
    <mergeCell ref="AE113:AF113"/>
    <mergeCell ref="I113:J113"/>
    <mergeCell ref="K113:L113"/>
    <mergeCell ref="M113:N113"/>
    <mergeCell ref="O113:P113"/>
    <mergeCell ref="Q113:R113"/>
    <mergeCell ref="S113:T113"/>
    <mergeCell ref="AS113:AT113"/>
    <mergeCell ref="AU113:AV113"/>
    <mergeCell ref="AW113:AX113"/>
    <mergeCell ref="AY113:AZ113"/>
    <mergeCell ref="BA113:BB113"/>
    <mergeCell ref="BC113:BD113"/>
    <mergeCell ref="AG113:AH113"/>
    <mergeCell ref="AI113:AJ113"/>
    <mergeCell ref="AK113:AL113"/>
    <mergeCell ref="AM113:AN113"/>
    <mergeCell ref="AO113:AP113"/>
    <mergeCell ref="AQ113:AR113"/>
    <mergeCell ref="BQ113:BR113"/>
    <mergeCell ref="BS113:BT113"/>
    <mergeCell ref="BU113:BV113"/>
    <mergeCell ref="BW113:BX113"/>
    <mergeCell ref="BY113:BZ113"/>
    <mergeCell ref="CA113:CB113"/>
    <mergeCell ref="BE113:BF113"/>
    <mergeCell ref="BG113:BH113"/>
    <mergeCell ref="BI113:BJ113"/>
    <mergeCell ref="BK113:BL113"/>
    <mergeCell ref="BM113:BN113"/>
    <mergeCell ref="BO113:BP113"/>
    <mergeCell ref="DM113:DN113"/>
    <mergeCell ref="DO113:DP113"/>
    <mergeCell ref="DQ113:DR113"/>
    <mergeCell ref="DS113:DT113"/>
    <mergeCell ref="DU113:DV113"/>
    <mergeCell ref="A114:B114"/>
    <mergeCell ref="DA113:DB113"/>
    <mergeCell ref="DC113:DD113"/>
    <mergeCell ref="DE113:DF113"/>
    <mergeCell ref="DG113:DH113"/>
    <mergeCell ref="DI113:DJ113"/>
    <mergeCell ref="DK113:DL113"/>
    <mergeCell ref="CO113:CP113"/>
    <mergeCell ref="CQ113:CR113"/>
    <mergeCell ref="CS113:CT113"/>
    <mergeCell ref="CU113:CV113"/>
    <mergeCell ref="CW113:CX113"/>
    <mergeCell ref="CY113:CZ113"/>
    <mergeCell ref="CC113:CD113"/>
    <mergeCell ref="CE113:CF113"/>
    <mergeCell ref="CG113:CH113"/>
    <mergeCell ref="CI113:CJ113"/>
    <mergeCell ref="CK113:CL113"/>
    <mergeCell ref="CM113:CN113"/>
    <mergeCell ref="A130:B130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</mergeCells>
  <printOptions horizontalCentered="1"/>
  <pageMargins left="0.15748031496062992" right="0.15748031496062992" top="0.27559055118110237" bottom="0.15748031496062992" header="0.15748031496062992" footer="0.15748031496062992"/>
  <pageSetup paperSize="8" scale="65" fitToWidth="3" fitToHeight="5" orientation="landscape" r:id="rId1"/>
  <headerFooter alignWithMargins="0"/>
  <rowBreaks count="1" manualBreakCount="1"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324"/>
  <sheetViews>
    <sheetView tabSelected="1" view="pageBreakPreview" zoomScale="73" zoomScaleSheetLayoutView="73" zoomScalePageLayoutView="60" workbookViewId="0">
      <pane xSplit="2" ySplit="11" topLeftCell="C122" activePane="bottomRight" state="frozen"/>
      <selection pane="topRight" activeCell="C1" sqref="C1"/>
      <selection pane="bottomLeft" activeCell="A12" sqref="A12"/>
      <selection pane="bottomRight" activeCell="DM122" sqref="DM122"/>
    </sheetView>
  </sheetViews>
  <sheetFormatPr defaultColWidth="9.33203125" defaultRowHeight="15"/>
  <cols>
    <col min="1" max="1" width="47" style="50" customWidth="1"/>
    <col min="2" max="2" width="13.6640625" style="50" hidden="1" customWidth="1"/>
    <col min="3" max="3" width="12.6640625" style="50" customWidth="1"/>
    <col min="4" max="4" width="13.5" style="50" customWidth="1"/>
    <col min="5" max="5" width="13" style="50" customWidth="1"/>
    <col min="6" max="6" width="15.33203125" style="50" customWidth="1"/>
    <col min="7" max="7" width="14.1640625" style="51" customWidth="1"/>
    <col min="8" max="8" width="16.5" style="51" customWidth="1"/>
    <col min="9" max="48" width="12.33203125" style="51" hidden="1" customWidth="1"/>
    <col min="49" max="49" width="13.33203125" style="51" customWidth="1"/>
    <col min="50" max="50" width="13.5" style="51" customWidth="1"/>
    <col min="51" max="51" width="12.33203125" style="51" hidden="1" customWidth="1"/>
    <col min="52" max="52" width="8" style="51" hidden="1" customWidth="1"/>
    <col min="53" max="53" width="15.6640625" style="3" customWidth="1"/>
    <col min="54" max="54" width="14.1640625" style="3" customWidth="1"/>
    <col min="55" max="55" width="12.33203125" style="3" hidden="1" customWidth="1"/>
    <col min="56" max="56" width="12.33203125" style="2" hidden="1" customWidth="1"/>
    <col min="57" max="57" width="12.33203125" style="3" hidden="1" customWidth="1"/>
    <col min="58" max="58" width="10.33203125" style="3" hidden="1" customWidth="1"/>
    <col min="59" max="114" width="12.33203125" style="3" hidden="1" customWidth="1"/>
    <col min="115" max="115" width="14.33203125" style="3" customWidth="1"/>
    <col min="116" max="116" width="17.6640625" style="3" customWidth="1"/>
    <col min="117" max="117" width="12.33203125" style="3" customWidth="1"/>
    <col min="118" max="118" width="12" style="3" customWidth="1"/>
    <col min="119" max="122" width="10.6640625" style="3" hidden="1" customWidth="1"/>
    <col min="123" max="123" width="16.83203125" style="3" customWidth="1"/>
    <col min="124" max="124" width="13.83203125" style="3" customWidth="1"/>
    <col min="125" max="125" width="11" style="3" customWidth="1"/>
    <col min="126" max="127" width="10" style="3" customWidth="1"/>
    <col min="128" max="128" width="11.33203125" style="8" customWidth="1"/>
    <col min="129" max="149" width="12.33203125" style="2" customWidth="1"/>
    <col min="150" max="268" width="9.33203125" style="2"/>
    <col min="269" max="16384" width="9.33203125" style="3"/>
  </cols>
  <sheetData>
    <row r="1" spans="1:268" ht="18.75">
      <c r="A1" s="374"/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DU1" s="379" t="s">
        <v>209</v>
      </c>
      <c r="DV1" s="379"/>
      <c r="DW1" s="379"/>
      <c r="DX1" s="379"/>
    </row>
    <row r="2" spans="1:268" ht="18.75" customHeight="1">
      <c r="A2" s="210"/>
      <c r="B2" s="210"/>
      <c r="C2" s="211"/>
      <c r="D2" s="211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DU2" s="382" t="s">
        <v>218</v>
      </c>
      <c r="DV2" s="382"/>
      <c r="DW2" s="382"/>
      <c r="DX2" s="382"/>
    </row>
    <row r="3" spans="1:268" ht="16.5" customHeight="1">
      <c r="A3" s="3"/>
      <c r="E3" s="340" t="s">
        <v>236</v>
      </c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0"/>
      <c r="DT3" s="340"/>
      <c r="DU3" s="382"/>
      <c r="DV3" s="382"/>
      <c r="DW3" s="382"/>
      <c r="DX3" s="382"/>
    </row>
    <row r="4" spans="1:268" ht="16.5" customHeight="1">
      <c r="E4" s="340" t="s">
        <v>250</v>
      </c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0"/>
      <c r="AY4" s="340"/>
      <c r="AZ4" s="340"/>
      <c r="BA4" s="340"/>
      <c r="BB4" s="340"/>
      <c r="BC4" s="340"/>
      <c r="BD4" s="340"/>
      <c r="BE4" s="340"/>
      <c r="BF4" s="340"/>
      <c r="BG4" s="340"/>
      <c r="BH4" s="340"/>
      <c r="BI4" s="340"/>
      <c r="BJ4" s="340"/>
      <c r="BK4" s="340"/>
      <c r="BL4" s="340"/>
      <c r="BM4" s="340"/>
      <c r="BN4" s="340"/>
      <c r="BO4" s="340"/>
      <c r="BP4" s="340"/>
      <c r="BQ4" s="340"/>
      <c r="BR4" s="340"/>
      <c r="BS4" s="340"/>
      <c r="BT4" s="340"/>
      <c r="BU4" s="340"/>
      <c r="BV4" s="340"/>
      <c r="BW4" s="340"/>
      <c r="BX4" s="340"/>
      <c r="BY4" s="340"/>
      <c r="BZ4" s="340"/>
      <c r="CA4" s="340"/>
      <c r="CB4" s="340"/>
      <c r="CC4" s="340"/>
      <c r="CD4" s="340"/>
      <c r="CE4" s="340"/>
      <c r="CF4" s="340"/>
      <c r="CG4" s="340"/>
      <c r="CH4" s="340"/>
      <c r="CI4" s="340"/>
      <c r="CJ4" s="340"/>
      <c r="CK4" s="340"/>
      <c r="CL4" s="340"/>
      <c r="CM4" s="340"/>
      <c r="CN4" s="340"/>
      <c r="CO4" s="340"/>
      <c r="CP4" s="340"/>
      <c r="CQ4" s="340"/>
      <c r="CR4" s="340"/>
      <c r="CS4" s="340"/>
      <c r="CT4" s="340"/>
      <c r="CU4" s="340"/>
      <c r="CV4" s="340"/>
      <c r="CW4" s="340"/>
      <c r="CX4" s="340"/>
      <c r="CY4" s="340"/>
      <c r="CZ4" s="340"/>
      <c r="DA4" s="340"/>
      <c r="DB4" s="340"/>
      <c r="DC4" s="340"/>
      <c r="DD4" s="340"/>
      <c r="DE4" s="340"/>
      <c r="DF4" s="340"/>
      <c r="DG4" s="340"/>
      <c r="DH4" s="340"/>
      <c r="DI4" s="340"/>
      <c r="DJ4" s="340"/>
      <c r="DK4" s="340"/>
      <c r="DL4" s="340"/>
      <c r="DM4" s="340"/>
      <c r="DN4" s="340"/>
      <c r="DO4" s="340"/>
      <c r="DP4" s="340"/>
      <c r="DQ4" s="340"/>
      <c r="DR4" s="340"/>
      <c r="DS4" s="340"/>
      <c r="DT4" s="340"/>
      <c r="DU4" s="382"/>
      <c r="DV4" s="382"/>
      <c r="DW4" s="382"/>
      <c r="DX4" s="382"/>
    </row>
    <row r="5" spans="1:268" ht="63" customHeight="1" thickBot="1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E5" s="6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U5" s="383"/>
      <c r="DV5" s="383"/>
      <c r="DW5" s="383"/>
      <c r="DX5" s="383"/>
    </row>
    <row r="6" spans="1:268" ht="15.75" customHeight="1">
      <c r="A6" s="360" t="s">
        <v>3</v>
      </c>
      <c r="B6" s="347"/>
      <c r="C6" s="347" t="s">
        <v>210</v>
      </c>
      <c r="D6" s="347"/>
      <c r="E6" s="347" t="s">
        <v>212</v>
      </c>
      <c r="F6" s="347"/>
      <c r="G6" s="375" t="s">
        <v>245</v>
      </c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375"/>
      <c r="AY6" s="375"/>
      <c r="AZ6" s="375"/>
      <c r="BA6" s="375" t="s">
        <v>252</v>
      </c>
      <c r="BB6" s="375"/>
      <c r="BC6" s="375"/>
      <c r="BD6" s="375"/>
      <c r="BE6" s="375"/>
      <c r="BF6" s="375"/>
      <c r="BG6" s="375"/>
      <c r="BH6" s="375"/>
      <c r="BI6" s="375"/>
      <c r="BJ6" s="375"/>
      <c r="BK6" s="375"/>
      <c r="BL6" s="375"/>
      <c r="BM6" s="375"/>
      <c r="BN6" s="375"/>
      <c r="BO6" s="375"/>
      <c r="BP6" s="375"/>
      <c r="BQ6" s="375"/>
      <c r="BR6" s="375"/>
      <c r="BS6" s="375"/>
      <c r="BT6" s="375"/>
      <c r="BU6" s="375"/>
      <c r="BV6" s="375"/>
      <c r="BW6" s="375"/>
      <c r="BX6" s="375"/>
      <c r="BY6" s="375"/>
      <c r="BZ6" s="375"/>
      <c r="CA6" s="375"/>
      <c r="CB6" s="375"/>
      <c r="CC6" s="375"/>
      <c r="CD6" s="375"/>
      <c r="CE6" s="375"/>
      <c r="CF6" s="375"/>
      <c r="CG6" s="375"/>
      <c r="CH6" s="375"/>
      <c r="CI6" s="375"/>
      <c r="CJ6" s="375"/>
      <c r="CK6" s="375"/>
      <c r="CL6" s="375"/>
      <c r="CM6" s="375"/>
      <c r="CN6" s="375"/>
      <c r="CO6" s="375"/>
      <c r="CP6" s="375"/>
      <c r="CQ6" s="375"/>
      <c r="CR6" s="375"/>
      <c r="CS6" s="375"/>
      <c r="CT6" s="375"/>
      <c r="CU6" s="375"/>
      <c r="CV6" s="375"/>
      <c r="CW6" s="375"/>
      <c r="CX6" s="375"/>
      <c r="CY6" s="375"/>
      <c r="CZ6" s="375"/>
      <c r="DA6" s="375"/>
      <c r="DB6" s="375"/>
      <c r="DC6" s="375"/>
      <c r="DD6" s="375"/>
      <c r="DE6" s="375"/>
      <c r="DF6" s="375"/>
      <c r="DG6" s="375"/>
      <c r="DH6" s="375"/>
      <c r="DI6" s="375"/>
      <c r="DJ6" s="375"/>
      <c r="DK6" s="375"/>
      <c r="DL6" s="375"/>
      <c r="DM6" s="375"/>
      <c r="DN6" s="375"/>
      <c r="DO6" s="375"/>
      <c r="DP6" s="375"/>
      <c r="DQ6" s="375"/>
      <c r="DR6" s="375"/>
      <c r="DS6" s="375"/>
      <c r="DT6" s="375"/>
      <c r="DU6" s="375"/>
      <c r="DV6" s="375"/>
      <c r="DW6" s="375"/>
      <c r="DX6" s="378"/>
    </row>
    <row r="7" spans="1:268" s="120" customFormat="1" ht="16.5" customHeight="1">
      <c r="A7" s="361"/>
      <c r="B7" s="332"/>
      <c r="C7" s="322" t="s">
        <v>149</v>
      </c>
      <c r="D7" s="322"/>
      <c r="E7" s="322" t="s">
        <v>149</v>
      </c>
      <c r="F7" s="322"/>
      <c r="G7" s="376" t="s">
        <v>149</v>
      </c>
      <c r="H7" s="376"/>
      <c r="I7" s="322" t="s">
        <v>8</v>
      </c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 t="s">
        <v>150</v>
      </c>
      <c r="BB7" s="322"/>
      <c r="BC7" s="370" t="s">
        <v>96</v>
      </c>
      <c r="BD7" s="370"/>
      <c r="BE7" s="322" t="s">
        <v>182</v>
      </c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  <c r="CA7" s="322"/>
      <c r="CB7" s="322"/>
      <c r="CC7" s="322"/>
      <c r="CD7" s="322"/>
      <c r="CE7" s="322"/>
      <c r="CF7" s="322"/>
      <c r="CG7" s="322"/>
      <c r="CH7" s="322"/>
      <c r="CI7" s="322"/>
      <c r="CJ7" s="322"/>
      <c r="CK7" s="322"/>
      <c r="CL7" s="322"/>
      <c r="CM7" s="322"/>
      <c r="CN7" s="322"/>
      <c r="CO7" s="322"/>
      <c r="CP7" s="322"/>
      <c r="CQ7" s="322"/>
      <c r="CR7" s="322"/>
      <c r="CS7" s="322"/>
      <c r="CT7" s="322"/>
      <c r="CU7" s="322"/>
      <c r="CV7" s="322"/>
      <c r="CW7" s="322"/>
      <c r="CX7" s="322"/>
      <c r="CY7" s="322"/>
      <c r="CZ7" s="322"/>
      <c r="DA7" s="322"/>
      <c r="DB7" s="322"/>
      <c r="DC7" s="322"/>
      <c r="DD7" s="322"/>
      <c r="DE7" s="322"/>
      <c r="DF7" s="322"/>
      <c r="DG7" s="322"/>
      <c r="DH7" s="322"/>
      <c r="DI7" s="322"/>
      <c r="DJ7" s="322"/>
      <c r="DK7" s="322"/>
      <c r="DL7" s="322"/>
      <c r="DM7" s="322"/>
      <c r="DN7" s="322"/>
      <c r="DO7" s="322"/>
      <c r="DP7" s="322"/>
      <c r="DQ7" s="322"/>
      <c r="DR7" s="322"/>
      <c r="DS7" s="369" t="s">
        <v>125</v>
      </c>
      <c r="DT7" s="369"/>
      <c r="DU7" s="365" t="s">
        <v>126</v>
      </c>
      <c r="DV7" s="365"/>
      <c r="DW7" s="365" t="s">
        <v>96</v>
      </c>
      <c r="DX7" s="366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19"/>
      <c r="JD7" s="119"/>
      <c r="JE7" s="119"/>
      <c r="JF7" s="119"/>
      <c r="JG7" s="119"/>
      <c r="JH7" s="119"/>
    </row>
    <row r="8" spans="1:268" s="120" customFormat="1" ht="75" customHeight="1">
      <c r="A8" s="361"/>
      <c r="B8" s="332"/>
      <c r="C8" s="322"/>
      <c r="D8" s="322"/>
      <c r="E8" s="322"/>
      <c r="F8" s="322"/>
      <c r="G8" s="376"/>
      <c r="H8" s="376"/>
      <c r="I8" s="316" t="s">
        <v>11</v>
      </c>
      <c r="J8" s="316"/>
      <c r="K8" s="316" t="s">
        <v>12</v>
      </c>
      <c r="L8" s="316"/>
      <c r="M8" s="318" t="s">
        <v>70</v>
      </c>
      <c r="N8" s="318"/>
      <c r="O8" s="316" t="s">
        <v>13</v>
      </c>
      <c r="P8" s="316"/>
      <c r="Q8" s="318" t="s">
        <v>14</v>
      </c>
      <c r="R8" s="318"/>
      <c r="S8" s="316" t="s">
        <v>15</v>
      </c>
      <c r="T8" s="316"/>
      <c r="U8" s="318" t="s">
        <v>81</v>
      </c>
      <c r="V8" s="318"/>
      <c r="W8" s="316" t="s">
        <v>16</v>
      </c>
      <c r="X8" s="316"/>
      <c r="Y8" s="318" t="s">
        <v>82</v>
      </c>
      <c r="Z8" s="318"/>
      <c r="AA8" s="316" t="s">
        <v>17</v>
      </c>
      <c r="AB8" s="316"/>
      <c r="AC8" s="318" t="s">
        <v>83</v>
      </c>
      <c r="AD8" s="318"/>
      <c r="AE8" s="316" t="s">
        <v>18</v>
      </c>
      <c r="AF8" s="316"/>
      <c r="AG8" s="318" t="s">
        <v>84</v>
      </c>
      <c r="AH8" s="318"/>
      <c r="AI8" s="316" t="s">
        <v>19</v>
      </c>
      <c r="AJ8" s="316"/>
      <c r="AK8" s="318" t="s">
        <v>85</v>
      </c>
      <c r="AL8" s="318"/>
      <c r="AM8" s="316" t="s">
        <v>20</v>
      </c>
      <c r="AN8" s="316"/>
      <c r="AO8" s="318" t="s">
        <v>86</v>
      </c>
      <c r="AP8" s="318"/>
      <c r="AQ8" s="316" t="s">
        <v>21</v>
      </c>
      <c r="AR8" s="316"/>
      <c r="AS8" s="318" t="s">
        <v>87</v>
      </c>
      <c r="AT8" s="318"/>
      <c r="AU8" s="316" t="s">
        <v>22</v>
      </c>
      <c r="AV8" s="316"/>
      <c r="AW8" s="377" t="s">
        <v>256</v>
      </c>
      <c r="AX8" s="377"/>
      <c r="AY8" s="316" t="s">
        <v>169</v>
      </c>
      <c r="AZ8" s="316"/>
      <c r="BA8" s="322"/>
      <c r="BB8" s="322"/>
      <c r="BC8" s="370"/>
      <c r="BD8" s="370"/>
      <c r="BE8" s="316" t="s">
        <v>11</v>
      </c>
      <c r="BF8" s="316"/>
      <c r="BG8" s="316" t="s">
        <v>12</v>
      </c>
      <c r="BH8" s="316"/>
      <c r="BI8" s="318" t="s">
        <v>70</v>
      </c>
      <c r="BJ8" s="318"/>
      <c r="BK8" s="368" t="s">
        <v>96</v>
      </c>
      <c r="BL8" s="368"/>
      <c r="BM8" s="316" t="s">
        <v>13</v>
      </c>
      <c r="BN8" s="316"/>
      <c r="BO8" s="318" t="s">
        <v>14</v>
      </c>
      <c r="BP8" s="318"/>
      <c r="BQ8" s="368" t="s">
        <v>96</v>
      </c>
      <c r="BR8" s="368"/>
      <c r="BS8" s="316" t="s">
        <v>15</v>
      </c>
      <c r="BT8" s="316"/>
      <c r="BU8" s="318" t="s">
        <v>81</v>
      </c>
      <c r="BV8" s="318"/>
      <c r="BW8" s="368" t="s">
        <v>96</v>
      </c>
      <c r="BX8" s="368"/>
      <c r="BY8" s="316" t="s">
        <v>141</v>
      </c>
      <c r="BZ8" s="316"/>
      <c r="CA8" s="318" t="s">
        <v>82</v>
      </c>
      <c r="CB8" s="318"/>
      <c r="CC8" s="368" t="s">
        <v>96</v>
      </c>
      <c r="CD8" s="368"/>
      <c r="CE8" s="316" t="s">
        <v>17</v>
      </c>
      <c r="CF8" s="316"/>
      <c r="CG8" s="318" t="s">
        <v>83</v>
      </c>
      <c r="CH8" s="318"/>
      <c r="CI8" s="368" t="s">
        <v>96</v>
      </c>
      <c r="CJ8" s="368"/>
      <c r="CK8" s="316" t="s">
        <v>18</v>
      </c>
      <c r="CL8" s="316"/>
      <c r="CM8" s="318" t="s">
        <v>84</v>
      </c>
      <c r="CN8" s="318"/>
      <c r="CO8" s="368" t="s">
        <v>96</v>
      </c>
      <c r="CP8" s="368"/>
      <c r="CQ8" s="316" t="s">
        <v>19</v>
      </c>
      <c r="CR8" s="316"/>
      <c r="CS8" s="318" t="s">
        <v>85</v>
      </c>
      <c r="CT8" s="318"/>
      <c r="CU8" s="368" t="s">
        <v>96</v>
      </c>
      <c r="CV8" s="368"/>
      <c r="CW8" s="316" t="s">
        <v>20</v>
      </c>
      <c r="CX8" s="316"/>
      <c r="CY8" s="318" t="s">
        <v>86</v>
      </c>
      <c r="CZ8" s="318"/>
      <c r="DA8" s="368" t="s">
        <v>96</v>
      </c>
      <c r="DB8" s="368"/>
      <c r="DC8" s="316" t="s">
        <v>21</v>
      </c>
      <c r="DD8" s="316"/>
      <c r="DE8" s="318" t="s">
        <v>87</v>
      </c>
      <c r="DF8" s="318"/>
      <c r="DG8" s="368" t="s">
        <v>96</v>
      </c>
      <c r="DH8" s="368"/>
      <c r="DI8" s="316" t="s">
        <v>22</v>
      </c>
      <c r="DJ8" s="316"/>
      <c r="DK8" s="371" t="s">
        <v>253</v>
      </c>
      <c r="DL8" s="371"/>
      <c r="DM8" s="368" t="s">
        <v>96</v>
      </c>
      <c r="DN8" s="368"/>
      <c r="DO8" s="316" t="s">
        <v>23</v>
      </c>
      <c r="DP8" s="316"/>
      <c r="DQ8" s="373" t="s">
        <v>170</v>
      </c>
      <c r="DR8" s="373"/>
      <c r="DS8" s="369"/>
      <c r="DT8" s="369"/>
      <c r="DU8" s="365"/>
      <c r="DV8" s="365"/>
      <c r="DW8" s="365"/>
      <c r="DX8" s="366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  <c r="IV8" s="119"/>
      <c r="IW8" s="119"/>
      <c r="IX8" s="119"/>
      <c r="IY8" s="119"/>
      <c r="IZ8" s="119"/>
      <c r="JA8" s="119"/>
      <c r="JB8" s="119"/>
      <c r="JC8" s="119"/>
      <c r="JD8" s="119"/>
      <c r="JE8" s="119"/>
      <c r="JF8" s="119"/>
      <c r="JG8" s="119"/>
      <c r="JH8" s="119"/>
    </row>
    <row r="9" spans="1:268" s="12" customFormat="1" ht="52.5" customHeight="1">
      <c r="A9" s="361"/>
      <c r="B9" s="332"/>
      <c r="C9" s="95" t="s">
        <v>175</v>
      </c>
      <c r="D9" s="95" t="s">
        <v>181</v>
      </c>
      <c r="E9" s="95" t="s">
        <v>175</v>
      </c>
      <c r="F9" s="95" t="s">
        <v>181</v>
      </c>
      <c r="G9" s="95" t="s">
        <v>175</v>
      </c>
      <c r="H9" s="95" t="s">
        <v>181</v>
      </c>
      <c r="I9" s="95" t="s">
        <v>26</v>
      </c>
      <c r="J9" s="95" t="s">
        <v>24</v>
      </c>
      <c r="K9" s="95" t="s">
        <v>26</v>
      </c>
      <c r="L9" s="95" t="s">
        <v>24</v>
      </c>
      <c r="M9" s="128" t="s">
        <v>26</v>
      </c>
      <c r="N9" s="128" t="s">
        <v>24</v>
      </c>
      <c r="O9" s="95" t="s">
        <v>26</v>
      </c>
      <c r="P9" s="95" t="s">
        <v>24</v>
      </c>
      <c r="Q9" s="128" t="s">
        <v>26</v>
      </c>
      <c r="R9" s="128" t="s">
        <v>24</v>
      </c>
      <c r="S9" s="95" t="s">
        <v>26</v>
      </c>
      <c r="T9" s="95" t="s">
        <v>24</v>
      </c>
      <c r="U9" s="128" t="s">
        <v>26</v>
      </c>
      <c r="V9" s="128" t="s">
        <v>24</v>
      </c>
      <c r="W9" s="95" t="s">
        <v>26</v>
      </c>
      <c r="X9" s="95" t="s">
        <v>24</v>
      </c>
      <c r="Y9" s="128" t="s">
        <v>26</v>
      </c>
      <c r="Z9" s="128" t="s">
        <v>24</v>
      </c>
      <c r="AA9" s="95" t="s">
        <v>26</v>
      </c>
      <c r="AB9" s="95" t="s">
        <v>24</v>
      </c>
      <c r="AC9" s="128" t="s">
        <v>26</v>
      </c>
      <c r="AD9" s="128" t="s">
        <v>24</v>
      </c>
      <c r="AE9" s="95" t="s">
        <v>26</v>
      </c>
      <c r="AF9" s="95" t="s">
        <v>24</v>
      </c>
      <c r="AG9" s="128" t="s">
        <v>26</v>
      </c>
      <c r="AH9" s="128" t="s">
        <v>24</v>
      </c>
      <c r="AI9" s="95" t="s">
        <v>26</v>
      </c>
      <c r="AJ9" s="95" t="s">
        <v>24</v>
      </c>
      <c r="AK9" s="128" t="s">
        <v>26</v>
      </c>
      <c r="AL9" s="128" t="s">
        <v>24</v>
      </c>
      <c r="AM9" s="95" t="s">
        <v>26</v>
      </c>
      <c r="AN9" s="95" t="s">
        <v>24</v>
      </c>
      <c r="AO9" s="128" t="s">
        <v>26</v>
      </c>
      <c r="AP9" s="128" t="s">
        <v>24</v>
      </c>
      <c r="AQ9" s="95" t="s">
        <v>26</v>
      </c>
      <c r="AR9" s="95" t="s">
        <v>24</v>
      </c>
      <c r="AS9" s="128" t="s">
        <v>26</v>
      </c>
      <c r="AT9" s="128" t="s">
        <v>24</v>
      </c>
      <c r="AU9" s="95" t="s">
        <v>26</v>
      </c>
      <c r="AV9" s="95" t="s">
        <v>24</v>
      </c>
      <c r="AW9" s="95" t="s">
        <v>175</v>
      </c>
      <c r="AX9" s="95" t="s">
        <v>181</v>
      </c>
      <c r="AY9" s="95" t="s">
        <v>26</v>
      </c>
      <c r="AZ9" s="95" t="s">
        <v>24</v>
      </c>
      <c r="BA9" s="95" t="s">
        <v>175</v>
      </c>
      <c r="BB9" s="95" t="s">
        <v>181</v>
      </c>
      <c r="BC9" s="128" t="s">
        <v>26</v>
      </c>
      <c r="BD9" s="128" t="s">
        <v>25</v>
      </c>
      <c r="BE9" s="95" t="s">
        <v>27</v>
      </c>
      <c r="BF9" s="95" t="s">
        <v>24</v>
      </c>
      <c r="BG9" s="95" t="s">
        <v>27</v>
      </c>
      <c r="BH9" s="95" t="s">
        <v>24</v>
      </c>
      <c r="BI9" s="128" t="s">
        <v>27</v>
      </c>
      <c r="BJ9" s="128" t="s">
        <v>24</v>
      </c>
      <c r="BK9" s="128" t="s">
        <v>27</v>
      </c>
      <c r="BL9" s="128" t="s">
        <v>24</v>
      </c>
      <c r="BM9" s="95" t="s">
        <v>27</v>
      </c>
      <c r="BN9" s="95" t="s">
        <v>24</v>
      </c>
      <c r="BO9" s="128" t="s">
        <v>27</v>
      </c>
      <c r="BP9" s="128" t="s">
        <v>24</v>
      </c>
      <c r="BQ9" s="128" t="s">
        <v>27</v>
      </c>
      <c r="BR9" s="128" t="s">
        <v>24</v>
      </c>
      <c r="BS9" s="95" t="s">
        <v>27</v>
      </c>
      <c r="BT9" s="95" t="s">
        <v>24</v>
      </c>
      <c r="BU9" s="128" t="s">
        <v>27</v>
      </c>
      <c r="BV9" s="128" t="s">
        <v>24</v>
      </c>
      <c r="BW9" s="128" t="s">
        <v>27</v>
      </c>
      <c r="BX9" s="128" t="s">
        <v>24</v>
      </c>
      <c r="BY9" s="95" t="s">
        <v>27</v>
      </c>
      <c r="BZ9" s="95" t="s">
        <v>24</v>
      </c>
      <c r="CA9" s="128" t="s">
        <v>27</v>
      </c>
      <c r="CB9" s="128" t="s">
        <v>24</v>
      </c>
      <c r="CC9" s="128" t="s">
        <v>27</v>
      </c>
      <c r="CD9" s="128" t="s">
        <v>24</v>
      </c>
      <c r="CE9" s="95" t="s">
        <v>27</v>
      </c>
      <c r="CF9" s="95" t="s">
        <v>24</v>
      </c>
      <c r="CG9" s="128" t="s">
        <v>27</v>
      </c>
      <c r="CH9" s="128" t="s">
        <v>24</v>
      </c>
      <c r="CI9" s="128" t="s">
        <v>27</v>
      </c>
      <c r="CJ9" s="128" t="s">
        <v>24</v>
      </c>
      <c r="CK9" s="95" t="s">
        <v>27</v>
      </c>
      <c r="CL9" s="95" t="s">
        <v>24</v>
      </c>
      <c r="CM9" s="128" t="s">
        <v>27</v>
      </c>
      <c r="CN9" s="128" t="s">
        <v>24</v>
      </c>
      <c r="CO9" s="128" t="s">
        <v>27</v>
      </c>
      <c r="CP9" s="128" t="s">
        <v>24</v>
      </c>
      <c r="CQ9" s="95" t="s">
        <v>27</v>
      </c>
      <c r="CR9" s="95" t="s">
        <v>24</v>
      </c>
      <c r="CS9" s="128" t="s">
        <v>27</v>
      </c>
      <c r="CT9" s="128" t="s">
        <v>24</v>
      </c>
      <c r="CU9" s="128" t="s">
        <v>27</v>
      </c>
      <c r="CV9" s="128" t="s">
        <v>24</v>
      </c>
      <c r="CW9" s="95" t="s">
        <v>27</v>
      </c>
      <c r="CX9" s="95" t="s">
        <v>24</v>
      </c>
      <c r="CY9" s="128" t="s">
        <v>27</v>
      </c>
      <c r="CZ9" s="128" t="s">
        <v>24</v>
      </c>
      <c r="DA9" s="128" t="s">
        <v>27</v>
      </c>
      <c r="DB9" s="128" t="s">
        <v>24</v>
      </c>
      <c r="DC9" s="95" t="s">
        <v>27</v>
      </c>
      <c r="DD9" s="95" t="s">
        <v>24</v>
      </c>
      <c r="DE9" s="128" t="s">
        <v>27</v>
      </c>
      <c r="DF9" s="128" t="s">
        <v>24</v>
      </c>
      <c r="DG9" s="128" t="s">
        <v>27</v>
      </c>
      <c r="DH9" s="128" t="s">
        <v>24</v>
      </c>
      <c r="DI9" s="95" t="s">
        <v>27</v>
      </c>
      <c r="DJ9" s="95" t="s">
        <v>24</v>
      </c>
      <c r="DK9" s="95" t="s">
        <v>175</v>
      </c>
      <c r="DL9" s="95" t="s">
        <v>181</v>
      </c>
      <c r="DM9" s="95" t="s">
        <v>175</v>
      </c>
      <c r="DN9" s="95" t="s">
        <v>181</v>
      </c>
      <c r="DO9" s="95" t="s">
        <v>27</v>
      </c>
      <c r="DP9" s="95" t="s">
        <v>24</v>
      </c>
      <c r="DQ9" s="95" t="s">
        <v>27</v>
      </c>
      <c r="DR9" s="95" t="s">
        <v>24</v>
      </c>
      <c r="DS9" s="95" t="s">
        <v>175</v>
      </c>
      <c r="DT9" s="95" t="s">
        <v>181</v>
      </c>
      <c r="DU9" s="95" t="s">
        <v>175</v>
      </c>
      <c r="DV9" s="95" t="s">
        <v>181</v>
      </c>
      <c r="DW9" s="95" t="s">
        <v>175</v>
      </c>
      <c r="DX9" s="242" t="s">
        <v>181</v>
      </c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</row>
    <row r="10" spans="1:268" s="18" customFormat="1" ht="16.5">
      <c r="A10" s="341" t="s">
        <v>29</v>
      </c>
      <c r="B10" s="280"/>
      <c r="C10" s="267">
        <f t="shared" ref="C10:AH10" si="0">C12+C44</f>
        <v>764474</v>
      </c>
      <c r="D10" s="267">
        <f t="shared" si="0"/>
        <v>713381</v>
      </c>
      <c r="E10" s="267">
        <f t="shared" si="0"/>
        <v>948129</v>
      </c>
      <c r="F10" s="267">
        <f t="shared" si="0"/>
        <v>895690</v>
      </c>
      <c r="G10" s="267">
        <f t="shared" si="0"/>
        <v>2006780</v>
      </c>
      <c r="H10" s="267">
        <f t="shared" si="0"/>
        <v>1970384</v>
      </c>
      <c r="I10" s="267">
        <f t="shared" si="0"/>
        <v>0</v>
      </c>
      <c r="J10" s="267">
        <f t="shared" si="0"/>
        <v>0</v>
      </c>
      <c r="K10" s="267">
        <f t="shared" si="0"/>
        <v>0</v>
      </c>
      <c r="L10" s="267">
        <f t="shared" si="0"/>
        <v>0</v>
      </c>
      <c r="M10" s="267">
        <f t="shared" si="0"/>
        <v>0</v>
      </c>
      <c r="N10" s="267">
        <f t="shared" si="0"/>
        <v>0</v>
      </c>
      <c r="O10" s="267">
        <f t="shared" si="0"/>
        <v>0</v>
      </c>
      <c r="P10" s="267">
        <f t="shared" si="0"/>
        <v>0</v>
      </c>
      <c r="Q10" s="267">
        <f t="shared" si="0"/>
        <v>0</v>
      </c>
      <c r="R10" s="267">
        <f t="shared" si="0"/>
        <v>0</v>
      </c>
      <c r="S10" s="267">
        <f t="shared" si="0"/>
        <v>0</v>
      </c>
      <c r="T10" s="267">
        <f t="shared" si="0"/>
        <v>0</v>
      </c>
      <c r="U10" s="267">
        <f t="shared" si="0"/>
        <v>0</v>
      </c>
      <c r="V10" s="267">
        <f t="shared" si="0"/>
        <v>0</v>
      </c>
      <c r="W10" s="267">
        <f t="shared" si="0"/>
        <v>0</v>
      </c>
      <c r="X10" s="267">
        <f t="shared" si="0"/>
        <v>0</v>
      </c>
      <c r="Y10" s="267">
        <f t="shared" si="0"/>
        <v>0</v>
      </c>
      <c r="Z10" s="267">
        <f t="shared" si="0"/>
        <v>0</v>
      </c>
      <c r="AA10" s="267">
        <f t="shared" si="0"/>
        <v>0</v>
      </c>
      <c r="AB10" s="267">
        <f t="shared" si="0"/>
        <v>0</v>
      </c>
      <c r="AC10" s="267">
        <f t="shared" si="0"/>
        <v>0</v>
      </c>
      <c r="AD10" s="267">
        <f t="shared" si="0"/>
        <v>0</v>
      </c>
      <c r="AE10" s="267">
        <f t="shared" si="0"/>
        <v>0</v>
      </c>
      <c r="AF10" s="267">
        <f t="shared" si="0"/>
        <v>0</v>
      </c>
      <c r="AG10" s="267">
        <f t="shared" si="0"/>
        <v>0</v>
      </c>
      <c r="AH10" s="267">
        <f t="shared" si="0"/>
        <v>0</v>
      </c>
      <c r="AI10" s="267">
        <f t="shared" ref="AI10:BB10" si="1">AI12+AI44</f>
        <v>0</v>
      </c>
      <c r="AJ10" s="267">
        <f t="shared" si="1"/>
        <v>0</v>
      </c>
      <c r="AK10" s="267">
        <f t="shared" si="1"/>
        <v>0</v>
      </c>
      <c r="AL10" s="267">
        <f t="shared" si="1"/>
        <v>0</v>
      </c>
      <c r="AM10" s="267">
        <f t="shared" si="1"/>
        <v>0</v>
      </c>
      <c r="AN10" s="267">
        <f t="shared" si="1"/>
        <v>0</v>
      </c>
      <c r="AO10" s="267">
        <f t="shared" si="1"/>
        <v>0</v>
      </c>
      <c r="AP10" s="267">
        <f t="shared" si="1"/>
        <v>0</v>
      </c>
      <c r="AQ10" s="267">
        <f t="shared" si="1"/>
        <v>0</v>
      </c>
      <c r="AR10" s="267">
        <f t="shared" si="1"/>
        <v>0</v>
      </c>
      <c r="AS10" s="267">
        <f t="shared" si="1"/>
        <v>0</v>
      </c>
      <c r="AT10" s="267">
        <f t="shared" si="1"/>
        <v>0</v>
      </c>
      <c r="AU10" s="267">
        <f t="shared" si="1"/>
        <v>0</v>
      </c>
      <c r="AV10" s="267">
        <f t="shared" si="1"/>
        <v>0</v>
      </c>
      <c r="AW10" s="274">
        <f t="shared" si="1"/>
        <v>178119</v>
      </c>
      <c r="AX10" s="274">
        <f t="shared" si="1"/>
        <v>182988</v>
      </c>
      <c r="AY10" s="274">
        <f t="shared" si="1"/>
        <v>0</v>
      </c>
      <c r="AZ10" s="274">
        <f t="shared" si="1"/>
        <v>0</v>
      </c>
      <c r="BA10" s="274">
        <f t="shared" si="1"/>
        <v>1086514</v>
      </c>
      <c r="BB10" s="274">
        <f t="shared" si="1"/>
        <v>0</v>
      </c>
      <c r="BC10" s="131">
        <f>IF(G10=0,1,BA10/G10-1)</f>
        <v>-0.45857841915905084</v>
      </c>
      <c r="BD10" s="131">
        <f>IF(H10=0,1,BB10/H10-1)</f>
        <v>-1</v>
      </c>
      <c r="BE10" s="274">
        <f t="shared" ref="BE10:BJ10" si="2">BE12+BE44</f>
        <v>0</v>
      </c>
      <c r="BF10" s="274">
        <f t="shared" si="2"/>
        <v>0</v>
      </c>
      <c r="BG10" s="274">
        <f t="shared" si="2"/>
        <v>0</v>
      </c>
      <c r="BH10" s="274">
        <f t="shared" si="2"/>
        <v>0</v>
      </c>
      <c r="BI10" s="274">
        <f t="shared" si="2"/>
        <v>0</v>
      </c>
      <c r="BJ10" s="274">
        <f t="shared" si="2"/>
        <v>0</v>
      </c>
      <c r="BK10" s="131">
        <f t="shared" ref="BK10:BK43" si="3">IF(M10=0,1,BI10/M10-1)</f>
        <v>1</v>
      </c>
      <c r="BL10" s="131">
        <f t="shared" ref="BL10:BL43" si="4">IF(N10=0,1,BJ10/N10-1)</f>
        <v>1</v>
      </c>
      <c r="BM10" s="274">
        <f>BM12+BM44</f>
        <v>0</v>
      </c>
      <c r="BN10" s="274">
        <f>BN12+BN44</f>
        <v>0</v>
      </c>
      <c r="BO10" s="274">
        <f>BO12+BO44</f>
        <v>0</v>
      </c>
      <c r="BP10" s="274">
        <f>BP12+BP44</f>
        <v>0</v>
      </c>
      <c r="BQ10" s="131">
        <f t="shared" ref="BQ10:BQ43" si="5">IF(Q10=0,1,BO10/Q10-1)</f>
        <v>1</v>
      </c>
      <c r="BR10" s="131">
        <f t="shared" ref="BR10:BR43" si="6">IF(R10=0,1,BP10/R10-1)</f>
        <v>1</v>
      </c>
      <c r="BS10" s="274">
        <f>BS12+BS44</f>
        <v>0</v>
      </c>
      <c r="BT10" s="274">
        <f>BT12+BT44</f>
        <v>0</v>
      </c>
      <c r="BU10" s="274">
        <f>BU12+BU44</f>
        <v>0</v>
      </c>
      <c r="BV10" s="274">
        <f>BV12+BV44</f>
        <v>0</v>
      </c>
      <c r="BW10" s="131">
        <f t="shared" ref="BW10:BW43" si="7">IF(U10=0,1,BU10/U10-1)</f>
        <v>1</v>
      </c>
      <c r="BX10" s="131">
        <f t="shared" ref="BX10:BX43" si="8">IF(V10=0,1,BV10/V10-1)</f>
        <v>1</v>
      </c>
      <c r="BY10" s="274">
        <f>BY12+BY44</f>
        <v>0</v>
      </c>
      <c r="BZ10" s="274">
        <f>BZ12+BZ44</f>
        <v>0</v>
      </c>
      <c r="CA10" s="274">
        <f>CA12+CA44</f>
        <v>0</v>
      </c>
      <c r="CB10" s="274">
        <f>CB12+CB44</f>
        <v>0</v>
      </c>
      <c r="CC10" s="131">
        <f t="shared" ref="CC10:CC43" si="9">IF(Y10=0,1,CA10/Y10-1)</f>
        <v>1</v>
      </c>
      <c r="CD10" s="131">
        <f t="shared" ref="CD10:CD43" si="10">IF(Z10=0,1,CB10/Z10-1)</f>
        <v>1</v>
      </c>
      <c r="CE10" s="274">
        <f>CE12+CE44</f>
        <v>0</v>
      </c>
      <c r="CF10" s="274">
        <f>CF12+CF44</f>
        <v>0</v>
      </c>
      <c r="CG10" s="274">
        <f>CG12+CG44</f>
        <v>0</v>
      </c>
      <c r="CH10" s="274">
        <f>CH12+CH44</f>
        <v>0</v>
      </c>
      <c r="CI10" s="131">
        <f t="shared" ref="CI10:CI43" si="11">IF(AC10=0,1,CG10/AC10-1)</f>
        <v>1</v>
      </c>
      <c r="CJ10" s="131">
        <f t="shared" ref="CJ10:CJ43" si="12">IF(AD10=0,1,CH10/AD10-1)</f>
        <v>1</v>
      </c>
      <c r="CK10" s="274">
        <f>CK12+CK44</f>
        <v>0</v>
      </c>
      <c r="CL10" s="274">
        <f>CL12+CL44</f>
        <v>0</v>
      </c>
      <c r="CM10" s="274">
        <f>CM12+CM44</f>
        <v>0</v>
      </c>
      <c r="CN10" s="274">
        <f>CN12+CN44</f>
        <v>0</v>
      </c>
      <c r="CO10" s="131">
        <f t="shared" ref="CO10:CO43" si="13">IF(AG10=0,1,CM10/AG10-1)</f>
        <v>1</v>
      </c>
      <c r="CP10" s="131">
        <f t="shared" ref="CP10:CP43" si="14">IF(AH10=0,1,CN10/AH10-1)</f>
        <v>1</v>
      </c>
      <c r="CQ10" s="274">
        <f>CQ12+CQ44</f>
        <v>0</v>
      </c>
      <c r="CR10" s="274">
        <f>CR12+CR44</f>
        <v>0</v>
      </c>
      <c r="CS10" s="274">
        <f>CS12+CS44</f>
        <v>0</v>
      </c>
      <c r="CT10" s="274">
        <f>CT12+CT44</f>
        <v>0</v>
      </c>
      <c r="CU10" s="131">
        <f t="shared" ref="CU10:CU43" si="15">IF(AK10=0,1,CS10/AK10-1)</f>
        <v>1</v>
      </c>
      <c r="CV10" s="131">
        <f t="shared" ref="CV10:CV43" si="16">IF(AL10=0,1,CT10/AL10-1)</f>
        <v>1</v>
      </c>
      <c r="CW10" s="274">
        <f>CW12+CW44</f>
        <v>0</v>
      </c>
      <c r="CX10" s="274">
        <f>CX12+CX44</f>
        <v>0</v>
      </c>
      <c r="CY10" s="274">
        <f>CY12+CY44</f>
        <v>0</v>
      </c>
      <c r="CZ10" s="274">
        <f>CZ12+CZ44</f>
        <v>0</v>
      </c>
      <c r="DA10" s="131">
        <f t="shared" ref="DA10:DA43" si="17">IF(AO10=0,1,CY10/AO10-1)</f>
        <v>1</v>
      </c>
      <c r="DB10" s="131">
        <f t="shared" ref="DB10:DB43" si="18">IF(AP10=0,1,CZ10/AP10-1)</f>
        <v>1</v>
      </c>
      <c r="DC10" s="274">
        <f>DC12+DC44</f>
        <v>0</v>
      </c>
      <c r="DD10" s="274">
        <f>DD12+DD44</f>
        <v>0</v>
      </c>
      <c r="DE10" s="274">
        <f>DE12+DE44</f>
        <v>0</v>
      </c>
      <c r="DF10" s="274">
        <f>DF12+DF44</f>
        <v>0</v>
      </c>
      <c r="DG10" s="131">
        <f t="shared" ref="DG10:DG43" si="19">IF(AS10=0,1,DE10/AS10-1)</f>
        <v>1</v>
      </c>
      <c r="DH10" s="131">
        <f t="shared" ref="DH10:DH43" si="20">IF(AT10=0,1,DF10/AT10-1)</f>
        <v>1</v>
      </c>
      <c r="DI10" s="274">
        <f>DI12+DI44</f>
        <v>0</v>
      </c>
      <c r="DJ10" s="274">
        <f>DJ12+DJ44</f>
        <v>0</v>
      </c>
      <c r="DK10" s="274">
        <f>DK12+DK44</f>
        <v>169774</v>
      </c>
      <c r="DL10" s="274">
        <f>DL12+DL44</f>
        <v>0</v>
      </c>
      <c r="DM10" s="131">
        <f>IF(AW10=0,1,DK10/AW10)</f>
        <v>0.95314929906410883</v>
      </c>
      <c r="DN10" s="131">
        <f>IF(AX10=0,1,DL10/AX10)</f>
        <v>0</v>
      </c>
      <c r="DO10" s="267" t="e">
        <f t="shared" ref="DO10:DT10" si="21">DO12+DO44</f>
        <v>#REF!</v>
      </c>
      <c r="DP10" s="267" t="e">
        <f t="shared" si="21"/>
        <v>#REF!</v>
      </c>
      <c r="DQ10" s="267" t="e">
        <f t="shared" si="21"/>
        <v>#REF!</v>
      </c>
      <c r="DR10" s="267" t="e">
        <f t="shared" si="21"/>
        <v>#REF!</v>
      </c>
      <c r="DS10" s="267">
        <f>DS12+DS44</f>
        <v>1164814</v>
      </c>
      <c r="DT10" s="267">
        <f t="shared" si="21"/>
        <v>0</v>
      </c>
      <c r="DU10" s="131">
        <f>IF($BA$10=0,1,DS10/$BA10)</f>
        <v>1.0720653392409119</v>
      </c>
      <c r="DV10" s="131" t="e">
        <f>IF($BA$10=0,1,DT10/$BB10)</f>
        <v>#DIV/0!</v>
      </c>
      <c r="DW10" s="131">
        <f>IF($G10=0,1,DS10/$G10)</f>
        <v>0.58043931073660293</v>
      </c>
      <c r="DX10" s="196">
        <f>IF($G10=0,1,DT10/$H10)</f>
        <v>0</v>
      </c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</row>
    <row r="11" spans="1:268" s="18" customFormat="1" ht="16.5">
      <c r="A11" s="264" t="s">
        <v>183</v>
      </c>
      <c r="B11" s="258"/>
      <c r="C11" s="267">
        <f t="shared" ref="C11:AH11" si="22">C12+C45</f>
        <v>272836</v>
      </c>
      <c r="D11" s="267">
        <f t="shared" si="22"/>
        <v>226227</v>
      </c>
      <c r="E11" s="267">
        <f t="shared" si="22"/>
        <v>279349</v>
      </c>
      <c r="F11" s="267">
        <f t="shared" si="22"/>
        <v>233575</v>
      </c>
      <c r="G11" s="267">
        <f t="shared" si="22"/>
        <v>290749</v>
      </c>
      <c r="H11" s="267">
        <f t="shared" si="22"/>
        <v>244068</v>
      </c>
      <c r="I11" s="267">
        <f t="shared" si="22"/>
        <v>0</v>
      </c>
      <c r="J11" s="267">
        <f t="shared" si="22"/>
        <v>0</v>
      </c>
      <c r="K11" s="267">
        <f t="shared" si="22"/>
        <v>0</v>
      </c>
      <c r="L11" s="267">
        <f t="shared" si="22"/>
        <v>0</v>
      </c>
      <c r="M11" s="267">
        <f t="shared" si="22"/>
        <v>0</v>
      </c>
      <c r="N11" s="267">
        <f t="shared" si="22"/>
        <v>0</v>
      </c>
      <c r="O11" s="267">
        <f t="shared" si="22"/>
        <v>0</v>
      </c>
      <c r="P11" s="267">
        <f t="shared" si="22"/>
        <v>0</v>
      </c>
      <c r="Q11" s="267">
        <f t="shared" si="22"/>
        <v>0</v>
      </c>
      <c r="R11" s="267">
        <f t="shared" si="22"/>
        <v>0</v>
      </c>
      <c r="S11" s="267">
        <f t="shared" si="22"/>
        <v>0</v>
      </c>
      <c r="T11" s="267">
        <f t="shared" si="22"/>
        <v>0</v>
      </c>
      <c r="U11" s="267">
        <f t="shared" si="22"/>
        <v>0</v>
      </c>
      <c r="V11" s="267">
        <f t="shared" si="22"/>
        <v>0</v>
      </c>
      <c r="W11" s="267">
        <f t="shared" si="22"/>
        <v>0</v>
      </c>
      <c r="X11" s="267">
        <f t="shared" si="22"/>
        <v>0</v>
      </c>
      <c r="Y11" s="267">
        <f t="shared" si="22"/>
        <v>0</v>
      </c>
      <c r="Z11" s="267">
        <f t="shared" si="22"/>
        <v>0</v>
      </c>
      <c r="AA11" s="267">
        <f t="shared" si="22"/>
        <v>0</v>
      </c>
      <c r="AB11" s="267">
        <f t="shared" si="22"/>
        <v>0</v>
      </c>
      <c r="AC11" s="267">
        <f t="shared" si="22"/>
        <v>0</v>
      </c>
      <c r="AD11" s="267">
        <f t="shared" si="22"/>
        <v>0</v>
      </c>
      <c r="AE11" s="267">
        <f t="shared" si="22"/>
        <v>0</v>
      </c>
      <c r="AF11" s="267">
        <f t="shared" si="22"/>
        <v>0</v>
      </c>
      <c r="AG11" s="267">
        <f t="shared" si="22"/>
        <v>0</v>
      </c>
      <c r="AH11" s="267">
        <f t="shared" si="22"/>
        <v>0</v>
      </c>
      <c r="AI11" s="267">
        <f t="shared" ref="AI11:BN11" si="23">AI12+AI45</f>
        <v>0</v>
      </c>
      <c r="AJ11" s="267">
        <f t="shared" si="23"/>
        <v>0</v>
      </c>
      <c r="AK11" s="267">
        <f t="shared" si="23"/>
        <v>0</v>
      </c>
      <c r="AL11" s="267">
        <f t="shared" si="23"/>
        <v>0</v>
      </c>
      <c r="AM11" s="267">
        <f t="shared" si="23"/>
        <v>0</v>
      </c>
      <c r="AN11" s="267">
        <f t="shared" si="23"/>
        <v>0</v>
      </c>
      <c r="AO11" s="267">
        <f t="shared" si="23"/>
        <v>0</v>
      </c>
      <c r="AP11" s="267">
        <f t="shared" si="23"/>
        <v>0</v>
      </c>
      <c r="AQ11" s="267">
        <f t="shared" si="23"/>
        <v>0</v>
      </c>
      <c r="AR11" s="267">
        <f t="shared" si="23"/>
        <v>0</v>
      </c>
      <c r="AS11" s="267">
        <f t="shared" si="23"/>
        <v>0</v>
      </c>
      <c r="AT11" s="267">
        <f t="shared" si="23"/>
        <v>0</v>
      </c>
      <c r="AU11" s="267">
        <f t="shared" si="23"/>
        <v>0</v>
      </c>
      <c r="AV11" s="267">
        <f t="shared" si="23"/>
        <v>0</v>
      </c>
      <c r="AW11" s="274">
        <f t="shared" si="23"/>
        <v>74343</v>
      </c>
      <c r="AX11" s="274">
        <f t="shared" si="23"/>
        <v>63839</v>
      </c>
      <c r="AY11" s="274">
        <f t="shared" si="23"/>
        <v>0</v>
      </c>
      <c r="AZ11" s="274">
        <f t="shared" si="23"/>
        <v>0</v>
      </c>
      <c r="BA11" s="274">
        <f t="shared" si="23"/>
        <v>266123</v>
      </c>
      <c r="BB11" s="274">
        <f t="shared" si="23"/>
        <v>0</v>
      </c>
      <c r="BC11" s="274">
        <f t="shared" si="23"/>
        <v>-6.0985499724267589E-3</v>
      </c>
      <c r="BD11" s="274">
        <f t="shared" si="23"/>
        <v>-1</v>
      </c>
      <c r="BE11" s="274">
        <f t="shared" si="23"/>
        <v>0</v>
      </c>
      <c r="BF11" s="274">
        <f t="shared" si="23"/>
        <v>0</v>
      </c>
      <c r="BG11" s="274">
        <f t="shared" si="23"/>
        <v>0</v>
      </c>
      <c r="BH11" s="274">
        <f t="shared" si="23"/>
        <v>0</v>
      </c>
      <c r="BI11" s="274">
        <f t="shared" si="23"/>
        <v>0</v>
      </c>
      <c r="BJ11" s="274">
        <f t="shared" si="23"/>
        <v>0</v>
      </c>
      <c r="BK11" s="274">
        <f t="shared" si="23"/>
        <v>1</v>
      </c>
      <c r="BL11" s="274">
        <f t="shared" si="23"/>
        <v>1</v>
      </c>
      <c r="BM11" s="274">
        <f t="shared" si="23"/>
        <v>0</v>
      </c>
      <c r="BN11" s="274">
        <f t="shared" si="23"/>
        <v>0</v>
      </c>
      <c r="BO11" s="274">
        <f t="shared" ref="BO11:CT11" si="24">BO12+BO45</f>
        <v>0</v>
      </c>
      <c r="BP11" s="274">
        <f t="shared" si="24"/>
        <v>0</v>
      </c>
      <c r="BQ11" s="274">
        <f t="shared" si="24"/>
        <v>1</v>
      </c>
      <c r="BR11" s="274">
        <f t="shared" si="24"/>
        <v>1</v>
      </c>
      <c r="BS11" s="274">
        <f t="shared" si="24"/>
        <v>0</v>
      </c>
      <c r="BT11" s="274">
        <f t="shared" si="24"/>
        <v>0</v>
      </c>
      <c r="BU11" s="274">
        <f t="shared" si="24"/>
        <v>0</v>
      </c>
      <c r="BV11" s="274">
        <f t="shared" si="24"/>
        <v>0</v>
      </c>
      <c r="BW11" s="274">
        <f t="shared" si="24"/>
        <v>1</v>
      </c>
      <c r="BX11" s="274">
        <f t="shared" si="24"/>
        <v>1</v>
      </c>
      <c r="BY11" s="274">
        <f t="shared" si="24"/>
        <v>0</v>
      </c>
      <c r="BZ11" s="274">
        <f t="shared" si="24"/>
        <v>0</v>
      </c>
      <c r="CA11" s="274">
        <f t="shared" si="24"/>
        <v>0</v>
      </c>
      <c r="CB11" s="274">
        <f t="shared" si="24"/>
        <v>0</v>
      </c>
      <c r="CC11" s="274">
        <f t="shared" si="24"/>
        <v>1</v>
      </c>
      <c r="CD11" s="274">
        <f t="shared" si="24"/>
        <v>1</v>
      </c>
      <c r="CE11" s="274">
        <f t="shared" si="24"/>
        <v>0</v>
      </c>
      <c r="CF11" s="274">
        <f t="shared" si="24"/>
        <v>0</v>
      </c>
      <c r="CG11" s="274">
        <f t="shared" si="24"/>
        <v>0</v>
      </c>
      <c r="CH11" s="274">
        <f t="shared" si="24"/>
        <v>0</v>
      </c>
      <c r="CI11" s="274">
        <f t="shared" si="24"/>
        <v>1</v>
      </c>
      <c r="CJ11" s="274">
        <f t="shared" si="24"/>
        <v>1</v>
      </c>
      <c r="CK11" s="274">
        <f t="shared" si="24"/>
        <v>0</v>
      </c>
      <c r="CL11" s="274">
        <f t="shared" si="24"/>
        <v>0</v>
      </c>
      <c r="CM11" s="274">
        <f t="shared" si="24"/>
        <v>0</v>
      </c>
      <c r="CN11" s="274">
        <f t="shared" si="24"/>
        <v>0</v>
      </c>
      <c r="CO11" s="274">
        <f t="shared" si="24"/>
        <v>1</v>
      </c>
      <c r="CP11" s="274">
        <f t="shared" si="24"/>
        <v>1</v>
      </c>
      <c r="CQ11" s="274">
        <f t="shared" si="24"/>
        <v>0</v>
      </c>
      <c r="CR11" s="274">
        <f t="shared" si="24"/>
        <v>0</v>
      </c>
      <c r="CS11" s="274">
        <f t="shared" si="24"/>
        <v>0</v>
      </c>
      <c r="CT11" s="274">
        <f t="shared" si="24"/>
        <v>0</v>
      </c>
      <c r="CU11" s="274">
        <f t="shared" ref="CU11:DL11" si="25">CU12+CU45</f>
        <v>1</v>
      </c>
      <c r="CV11" s="274">
        <f t="shared" si="25"/>
        <v>1</v>
      </c>
      <c r="CW11" s="274">
        <f t="shared" si="25"/>
        <v>0</v>
      </c>
      <c r="CX11" s="274">
        <f t="shared" si="25"/>
        <v>0</v>
      </c>
      <c r="CY11" s="274">
        <f t="shared" si="25"/>
        <v>0</v>
      </c>
      <c r="CZ11" s="274">
        <f t="shared" si="25"/>
        <v>0</v>
      </c>
      <c r="DA11" s="274">
        <f t="shared" si="25"/>
        <v>1</v>
      </c>
      <c r="DB11" s="274">
        <f t="shared" si="25"/>
        <v>1</v>
      </c>
      <c r="DC11" s="274">
        <f t="shared" si="25"/>
        <v>0</v>
      </c>
      <c r="DD11" s="274">
        <f t="shared" si="25"/>
        <v>0</v>
      </c>
      <c r="DE11" s="274">
        <f t="shared" si="25"/>
        <v>0</v>
      </c>
      <c r="DF11" s="274">
        <f t="shared" si="25"/>
        <v>0</v>
      </c>
      <c r="DG11" s="274">
        <f t="shared" si="25"/>
        <v>1</v>
      </c>
      <c r="DH11" s="274">
        <f t="shared" si="25"/>
        <v>1</v>
      </c>
      <c r="DI11" s="274">
        <f t="shared" si="25"/>
        <v>0</v>
      </c>
      <c r="DJ11" s="274">
        <f t="shared" si="25"/>
        <v>0</v>
      </c>
      <c r="DK11" s="274">
        <f t="shared" si="25"/>
        <v>80668</v>
      </c>
      <c r="DL11" s="274">
        <f t="shared" si="25"/>
        <v>0</v>
      </c>
      <c r="DM11" s="131">
        <f t="shared" ref="DM11:DM73" si="26">IF(AW11=0,1,DK11/AW11)</f>
        <v>1.0850786220626016</v>
      </c>
      <c r="DN11" s="131">
        <f t="shared" ref="DN11:DN73" si="27">IF(AX11=0,1,DL11/AX11)</f>
        <v>0</v>
      </c>
      <c r="DO11" s="267">
        <f>DO13+DO46</f>
        <v>0</v>
      </c>
      <c r="DP11" s="267">
        <f>DP13+DP46</f>
        <v>0</v>
      </c>
      <c r="DQ11" s="267">
        <f>DQ13+DQ46</f>
        <v>0</v>
      </c>
      <c r="DR11" s="267">
        <f>DR13+DR46</f>
        <v>0</v>
      </c>
      <c r="DS11" s="267">
        <f>DS12+DS45</f>
        <v>247819</v>
      </c>
      <c r="DT11" s="267">
        <f>DT12+DT45</f>
        <v>0</v>
      </c>
      <c r="DU11" s="131">
        <f>IF($BA$10=0,1,DS11/$BA11)</f>
        <v>0.93121977431488445</v>
      </c>
      <c r="DV11" s="131" t="e">
        <f>IF($BA$10=0,1,DT11/$BB11)</f>
        <v>#DIV/0!</v>
      </c>
      <c r="DW11" s="131">
        <f>IF($G11=0,1,DS11/$G11)</f>
        <v>0.85234686963669692</v>
      </c>
      <c r="DX11" s="196">
        <f>IF($G11=0,1,DT11/$H11)</f>
        <v>0</v>
      </c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</row>
    <row r="12" spans="1:268" s="59" customFormat="1" ht="30" customHeight="1">
      <c r="A12" s="380" t="s">
        <v>242</v>
      </c>
      <c r="B12" s="381"/>
      <c r="C12" s="234">
        <f>C13+C16+C17+C18+C20+C23+C24+C25+C26+C32+C33+C37+C41+C43+C38</f>
        <v>176378</v>
      </c>
      <c r="D12" s="234">
        <f>D13+D16+D17+D23+D24+D25+D26+D32+D33+D37+D41+D43+D38</f>
        <v>125524</v>
      </c>
      <c r="E12" s="234">
        <f>E13+E16+E17+E18+E19+E20+E23+E24+E25+E26+E32+E33+E37+E41+E43+E38</f>
        <v>180561</v>
      </c>
      <c r="F12" s="234">
        <f>F13+F16+F17+F18+F19+F20+F23+F24+F25+F26+F32+F33+F37+F41+F43+F38</f>
        <v>129607</v>
      </c>
      <c r="G12" s="234">
        <f>G13+G16+G17+G18+G19+G20+G23+G24+G25+G26+G32+G33+G37+G41+G43+G38+G15</f>
        <v>184962</v>
      </c>
      <c r="H12" s="234">
        <f>H13+H16+H17+H18+H19+H20+H23+H24+H25+H26+H32+H33+H37+H41+H43+H38+H15</f>
        <v>133214</v>
      </c>
      <c r="I12" s="234">
        <f>I13+I16+I17+I18+I20+I23+I24+I25+I26+I32+I33+I37+I41+I43+I38</f>
        <v>0</v>
      </c>
      <c r="J12" s="234">
        <f>J13+J16+J17+J23+J24+J25+J26+J32+J33+J37+J41+J43+J38</f>
        <v>0</v>
      </c>
      <c r="K12" s="234">
        <f>K13+K16+K17+K18+K20+K23+K24+K25+K26+K32+K33+K37+K41+K43+K38</f>
        <v>0</v>
      </c>
      <c r="L12" s="234">
        <f>L13+L16+L17+L23+L24+L25+L26+L32+L33+L37+L41+L43+L38</f>
        <v>0</v>
      </c>
      <c r="M12" s="234">
        <f>M13+M16+M17+M18+M20+M23+M24+M25+M26+M32+M33+M37+M41+M43+M38</f>
        <v>0</v>
      </c>
      <c r="N12" s="234">
        <f>N13+N16+N17+N23+N24+N25+N26+N32+N33+N37+N41+N43+N38</f>
        <v>0</v>
      </c>
      <c r="O12" s="234">
        <f>O13+O16+O17+O18+O20+O23+O24+O25+O26+O32+O33+O37+O41+O43+O38</f>
        <v>0</v>
      </c>
      <c r="P12" s="234">
        <f>P13+P16+P17+P23+P24+P25+P26+P32+P33+P37+P41+P43+P38</f>
        <v>0</v>
      </c>
      <c r="Q12" s="234">
        <f>Q13+Q16+Q17+Q18+Q20+Q23+Q24+Q25+Q26+Q32+Q33+Q37+Q41+Q43+Q38</f>
        <v>0</v>
      </c>
      <c r="R12" s="234">
        <f>R13+R16+R17+R23+R24+R25+R26+R32+R33+R37+R41+R43+R38</f>
        <v>0</v>
      </c>
      <c r="S12" s="234">
        <f>S13+S16+S17+S18+S20+S23+S24+S25+S26+S32+S33+S37+S41+S43+S38</f>
        <v>0</v>
      </c>
      <c r="T12" s="234">
        <f>T13+T16+T17+T23+T24+T25+T26+T32+T33+T37+T41+T43+T38</f>
        <v>0</v>
      </c>
      <c r="U12" s="234">
        <f>U13+U16+U17+U18+U20+U23+U24+U25+U26+U32+U33+U37+U41+U43+U38</f>
        <v>0</v>
      </c>
      <c r="V12" s="234">
        <f>V13+V16+V17+V23+V24+V25+V26+V32+V33+V37+V41+V43+V38</f>
        <v>0</v>
      </c>
      <c r="W12" s="234">
        <f>W13+W16+W17+W18+W20+W23+W24+W25+W26+W32+W33+W37+W41+W43+W38</f>
        <v>0</v>
      </c>
      <c r="X12" s="234">
        <f>X13+X16+X17+X23+X24+X25+X26+X32+X33+X37+X41+X43+X38</f>
        <v>0</v>
      </c>
      <c r="Y12" s="234">
        <f>Y13+Y16+Y17+Y18+Y20+Y23+Y24+Y25+Y26+Y32+Y33+Y37+Y41+Y43+Y38</f>
        <v>0</v>
      </c>
      <c r="Z12" s="234">
        <f>Z13+Z16+Z17+Z23+Z24+Z25+Z26+Z32+Z33+Z37+Z41+Z43+Z38</f>
        <v>0</v>
      </c>
      <c r="AA12" s="234">
        <f>AA13+AA16+AA17+AA18+AA20+AA23+AA24+AA25+AA26+AA32+AA33+AA37+AA41+AA43+AA38</f>
        <v>0</v>
      </c>
      <c r="AB12" s="234">
        <f>AB13+AB16+AB17+AB23+AB24+AB25+AB26+AB32+AB33+AB37+AB41+AB43+AB38</f>
        <v>0</v>
      </c>
      <c r="AC12" s="234">
        <f>AC13+AC16+AC17+AC18+AC20+AC23+AC24+AC25+AC26+AC32+AC33+AC37+AC41+AC43+AC38</f>
        <v>0</v>
      </c>
      <c r="AD12" s="234">
        <f>AD13+AD16+AD17+AD23+AD24+AD25+AD26+AD32+AD33+AD37+AD41+AD43+AD38</f>
        <v>0</v>
      </c>
      <c r="AE12" s="234">
        <f>AE13+AE16+AE17+AE18+AE20+AE23+AE24+AE25+AE26+AE32+AE33+AE37+AE41+AE43+AE38</f>
        <v>0</v>
      </c>
      <c r="AF12" s="234">
        <f>AF13+AF16+AF17+AF23+AF24+AF25+AF26+AF32+AF33+AF37+AF41+AF43+AF38</f>
        <v>0</v>
      </c>
      <c r="AG12" s="234">
        <f>AG13+AG16+AG17+AG18+AG20+AG23+AG24+AG25+AG26+AG32+AG33+AG37+AG41+AG43+AG38</f>
        <v>0</v>
      </c>
      <c r="AH12" s="234">
        <f>AH13+AH16+AH17+AH23+AH24+AH25+AH26+AH32+AH33+AH37+AH41+AH43+AH38</f>
        <v>0</v>
      </c>
      <c r="AI12" s="234">
        <f>AI13+AI16+AI17+AI18+AI20+AI23+AI24+AI25+AI26+AI32+AI33+AI37+AI41+AI43+AI38</f>
        <v>0</v>
      </c>
      <c r="AJ12" s="234">
        <f>AJ13+AJ16+AJ17+AJ23+AJ24+AJ25+AJ26+AJ32+AJ33+AJ37+AJ41+AJ43+AJ38</f>
        <v>0</v>
      </c>
      <c r="AK12" s="234">
        <f>AK13+AK16+AK17+AK18+AK20+AK23+AK24+AK25+AK26+AK32+AK33+AK37+AK41+AK43+AK38</f>
        <v>0</v>
      </c>
      <c r="AL12" s="234">
        <f>AL13+AL16+AL17+AL23+AL24+AL25+AL26+AL32+AL33+AL37+AL41+AL43+AL38</f>
        <v>0</v>
      </c>
      <c r="AM12" s="234">
        <f>AM13+AM16+AM17+AM18+AM20+AM23+AM24+AM25+AM26+AM32+AM33+AM37+AM41+AM43+AM38</f>
        <v>0</v>
      </c>
      <c r="AN12" s="234">
        <f>AN13+AN16+AN17+AN23+AN24+AN25+AN26+AN32+AN33+AN37+AN41+AN43+AN38</f>
        <v>0</v>
      </c>
      <c r="AO12" s="234">
        <f>AO13+AO16+AO17+AO18+AO20+AO23+AO24+AO25+AO26+AO32+AO33+AO37+AO41+AO43+AO38</f>
        <v>0</v>
      </c>
      <c r="AP12" s="234">
        <f>AP13+AP16+AP17+AP23+AP24+AP25+AP26+AP32+AP33+AP37+AP41+AP43+AP38</f>
        <v>0</v>
      </c>
      <c r="AQ12" s="234">
        <f>AQ13+AQ16+AQ17+AQ18+AQ20+AQ23+AQ24+AQ25+AQ26+AQ32+AQ33+AQ37+AQ41+AQ43+AQ38</f>
        <v>0</v>
      </c>
      <c r="AR12" s="234">
        <f>AR13+AR16+AR17+AR23+AR24+AR25+AR26+AR32+AR33+AR37+AR41+AR43+AR38</f>
        <v>0</v>
      </c>
      <c r="AS12" s="234">
        <f>AS13+AS16+AS17+AS18+AS20+AS23+AS24+AS25+AS26+AS32+AS33+AS37+AS41+AS43+AS38</f>
        <v>0</v>
      </c>
      <c r="AT12" s="234">
        <f>AT13+AT16+AT17+AT23+AT24+AT25+AT26+AT32+AT33+AT37+AT41+AT43+AT38</f>
        <v>0</v>
      </c>
      <c r="AU12" s="234">
        <f>AU13+AU16+AU17+AU18+AU20+AU23+AU24+AU25+AU26+AU32+AU33+AU37+AU41+AU43+AU38</f>
        <v>0</v>
      </c>
      <c r="AV12" s="234">
        <f>AV13+AV16+AV17+AV23+AV24+AV25+AV26+AV32+AV33+AV37+AV41+AV43+AV38</f>
        <v>0</v>
      </c>
      <c r="AW12" s="234">
        <f>AW13+AW16+AW17+AW18+AW19+AW20+AW23+AW24+AW25+AW26+AW32+AW33+AW37+AW41+AW43+AW38+AW15</f>
        <v>40506</v>
      </c>
      <c r="AX12" s="234">
        <f>AX13+AX16+AX17+AX18+AX19+AX20+AX23+AX24+AX25+AX26+AX32+AX33+AX37+AX41+AX43+AX38+AX15</f>
        <v>29744</v>
      </c>
      <c r="AY12" s="234">
        <f>AY13+AY16+AY17+AY18+AY20+AY23+AY24+AY25+AY26+AY32+AY33+AY37+AY41+AY43+AY38</f>
        <v>0</v>
      </c>
      <c r="AZ12" s="234">
        <f>AZ13+AZ16+AZ17+AZ23+AZ24+AZ25+AZ26+AZ32+AZ33+AZ37+AZ41+AZ43+AZ38</f>
        <v>0</v>
      </c>
      <c r="BA12" s="234">
        <f>BA13+BA16+BA17+BA18+BA19+BA20+BA23+BA24+BA25+BA26+BA32+BA33+BA37+BA41+BA43+BA38+BA15</f>
        <v>183834</v>
      </c>
      <c r="BB12" s="234">
        <f>BB13+BB16+BB17+BB18+BB19+BB20+BB23+BB24+BB25+BB26+BB32+BB33+BB37+BB41+BB43+BB38+BB15</f>
        <v>0</v>
      </c>
      <c r="BC12" s="131">
        <f>IF(G12=0,1,BA12/G12-1)</f>
        <v>-6.0985499724267589E-3</v>
      </c>
      <c r="BD12" s="131">
        <f>IF(H12=0,1,BB12/H12-1)</f>
        <v>-1</v>
      </c>
      <c r="BE12" s="234">
        <f>BE13+BE16+BE17+BE18+BE20+BE23+BE24+BE25+BE26+BE32+BE33+BE37+BE41+BE43+BE38</f>
        <v>0</v>
      </c>
      <c r="BF12" s="234">
        <f>BF13+BF16+BF17+BF23+BF24+BF25+BF26+BF32+BF33+BF37+BF41+BF43+BF38</f>
        <v>0</v>
      </c>
      <c r="BG12" s="234">
        <f>BG13+BG16+BG17+BG18+BG20+BG23+BG24+BG25+BG26+BG32+BG33+BG37+BG41+BG43+BG38</f>
        <v>0</v>
      </c>
      <c r="BH12" s="234">
        <f>BH13+BH16+BH17+BH23+BH24+BH25+BH26+BH32+BH33+BH37+BH41+BH43+BH38</f>
        <v>0</v>
      </c>
      <c r="BI12" s="234">
        <f>BI13+BI16+BI17+BI18+BI20+BI23+BI24+BI25+BI26+BI32+BI33+BI37+BI41+BI43+BI38</f>
        <v>0</v>
      </c>
      <c r="BJ12" s="234">
        <f>BJ13+BJ16+BJ17+BJ23+BJ24+BJ25+BJ26+BJ32+BJ33+BJ37+BJ41+BJ43+BJ38</f>
        <v>0</v>
      </c>
      <c r="BK12" s="131">
        <f>IF(M12=0,1,BI12/M12-1)</f>
        <v>1</v>
      </c>
      <c r="BL12" s="131">
        <f>IF(N12=0,1,BJ12/N12-1)</f>
        <v>1</v>
      </c>
      <c r="BM12" s="234">
        <f>BM13+BM16+BM17+BM18+BM20+BM23+BM24+BM25+BM26+BM32+BM33+BM37+BM41+BM43+BM38</f>
        <v>0</v>
      </c>
      <c r="BN12" s="234">
        <f>BN13+BN16+BN17+BN23+BN24+BN25+BN26+BN32+BN33+BN37+BN41+BN43+BN38</f>
        <v>0</v>
      </c>
      <c r="BO12" s="234">
        <f>BO13+BO16+BO17+BO18+BO20+BO23+BO24+BO25+BO26+BO32+BO33+BO37+BO41+BO43+BO38</f>
        <v>0</v>
      </c>
      <c r="BP12" s="234">
        <f>BP13+BP16+BP17+BP23+BP24+BP25+BP26+BP32+BP33+BP37+BP41+BP43+BP38</f>
        <v>0</v>
      </c>
      <c r="BQ12" s="131">
        <f t="shared" si="5"/>
        <v>1</v>
      </c>
      <c r="BR12" s="131">
        <f t="shared" si="6"/>
        <v>1</v>
      </c>
      <c r="BS12" s="234">
        <f>BS13+BS16+BS17+BS18+BS20+BS23+BS24+BS25+BS26+BS32+BS33+BS37+BS41+BS43+BS38</f>
        <v>0</v>
      </c>
      <c r="BT12" s="234">
        <f>BT13+BT16+BT17+BT23+BT24+BT25+BT26+BT32+BT33+BT37+BT41+BT43+BT38</f>
        <v>0</v>
      </c>
      <c r="BU12" s="234">
        <f>BU13+BU16+BU17+BU18+BU20+BU23+BU24+BU25+BU26+BU32+BU33+BU37+BU41+BU43+BU38</f>
        <v>0</v>
      </c>
      <c r="BV12" s="234">
        <f>BV13+BV16+BV17+BV23+BV24+BV25+BV26+BV32+BV33+BV37+BV41+BV43+BV38</f>
        <v>0</v>
      </c>
      <c r="BW12" s="131">
        <f t="shared" si="7"/>
        <v>1</v>
      </c>
      <c r="BX12" s="131">
        <f t="shared" si="8"/>
        <v>1</v>
      </c>
      <c r="BY12" s="234">
        <f>BY13+BY16+BY17+BY18+BY20+BY23+BY24+BY25+BY26+BY32+BY33+BY37+BY41+BY43+BY38</f>
        <v>0</v>
      </c>
      <c r="BZ12" s="234">
        <f>BZ13+BZ16+BZ17+BZ23+BZ24+BZ25+BZ26+BZ32+BZ33+BZ37+BZ41+BZ43+BZ38</f>
        <v>0</v>
      </c>
      <c r="CA12" s="234">
        <f>CA13+CA16+CA17+CA18+CA20+CA23+CA24+CA25+CA26+CA32+CA33+CA37+CA41+CA43+CA38</f>
        <v>0</v>
      </c>
      <c r="CB12" s="234">
        <f>CB13+CB16+CB17+CB23+CB24+CB25+CB26+CB32+CB33+CB37+CB41+CB43+CB38</f>
        <v>0</v>
      </c>
      <c r="CC12" s="131">
        <f t="shared" si="9"/>
        <v>1</v>
      </c>
      <c r="CD12" s="131">
        <f t="shared" si="10"/>
        <v>1</v>
      </c>
      <c r="CE12" s="234">
        <f>CE13+CE16+CE17+CE18+CE20+CE23+CE24+CE25+CE26+CE32+CE33+CE37+CE41+CE43+CE38</f>
        <v>0</v>
      </c>
      <c r="CF12" s="234">
        <f>CF13+CF16+CF17+CF23+CF24+CF25+CF26+CF32+CF33+CF37+CF41+CF43+CF38</f>
        <v>0</v>
      </c>
      <c r="CG12" s="234">
        <f>CG13+CG16+CG17+CG18+CG20+CG23+CG24+CG25+CG26+CG32+CG33+CG37+CG41+CG43+CG38</f>
        <v>0</v>
      </c>
      <c r="CH12" s="234">
        <f>CH13+CH16+CH17+CH23+CH24+CH25+CH26+CH32+CH33+CH37+CH41+CH43+CH38</f>
        <v>0</v>
      </c>
      <c r="CI12" s="131">
        <f t="shared" si="11"/>
        <v>1</v>
      </c>
      <c r="CJ12" s="131">
        <f>IF(AD12=0,1,CH12/AD12-1)</f>
        <v>1</v>
      </c>
      <c r="CK12" s="234">
        <f>CK13+CK16+CK17+CK18+CK20+CK23+CK24+CK25+CK26+CK32+CK33+CK37+CK41+CK43+CK38</f>
        <v>0</v>
      </c>
      <c r="CL12" s="234">
        <f>CL13+CL16+CL17+CL23+CL24+CL25+CL26+CL32+CL33+CL37+CL41+CL43+CL38</f>
        <v>0</v>
      </c>
      <c r="CM12" s="234">
        <f>CM13+CM16+CM17+CM18+CM20+CM23+CM24+CM25+CM26+CM32+CM33+CM37+CM41+CM43+CM38</f>
        <v>0</v>
      </c>
      <c r="CN12" s="234">
        <f>CN13+CN16+CN17+CN23+CN24+CN25+CN26+CN32+CN33+CN37+CN41+CN43+CN38</f>
        <v>0</v>
      </c>
      <c r="CO12" s="131">
        <f t="shared" si="13"/>
        <v>1</v>
      </c>
      <c r="CP12" s="131">
        <f t="shared" si="14"/>
        <v>1</v>
      </c>
      <c r="CQ12" s="234">
        <f>CQ13+CQ16+CQ17+CQ18+CQ20+CQ23+CQ24+CQ25+CQ26+CQ32+CQ33+CQ37+CQ41+CQ43+CQ38</f>
        <v>0</v>
      </c>
      <c r="CR12" s="234">
        <f>CR13+CR16+CR17+CR23+CR24+CR25+CR26+CR32+CR33+CR37+CR41+CR43+CR38</f>
        <v>0</v>
      </c>
      <c r="CS12" s="234">
        <f>CS13+CS16+CS17+CS18+CS20+CS23+CS24+CS25+CS26+CS32+CS33+CS37+CS41+CS43+CS38</f>
        <v>0</v>
      </c>
      <c r="CT12" s="234">
        <f>CT13+CT16+CT17+CT23+CT24+CT25+CT26+CT32+CT33+CT37+CT41+CT43+CT38</f>
        <v>0</v>
      </c>
      <c r="CU12" s="131">
        <f t="shared" si="15"/>
        <v>1</v>
      </c>
      <c r="CV12" s="131">
        <f t="shared" si="16"/>
        <v>1</v>
      </c>
      <c r="CW12" s="234">
        <f>CW13+CW16+CW17+CW18+CW20+CW23+CW24+CW25+CW26+CW32+CW33+CW37+CW41+CW43+CW38</f>
        <v>0</v>
      </c>
      <c r="CX12" s="234">
        <f>CX13+CX16+CX17+CX23+CX24+CX25+CX26+CX32+CX33+CX37+CX41+CX43+CX38</f>
        <v>0</v>
      </c>
      <c r="CY12" s="234">
        <f>CY13+CY16+CY17+CY18+CY20+CY23+CY24+CY25+CY26+CY32+CY33+CY37+CY41+CY43+CY38</f>
        <v>0</v>
      </c>
      <c r="CZ12" s="234">
        <f>CZ13+CZ16+CZ17+CZ23+CZ24+CZ25+CZ26+CZ32+CZ33+CZ37+CZ41+CZ43+CZ38</f>
        <v>0</v>
      </c>
      <c r="DA12" s="131">
        <f t="shared" si="17"/>
        <v>1</v>
      </c>
      <c r="DB12" s="131">
        <f t="shared" si="18"/>
        <v>1</v>
      </c>
      <c r="DC12" s="234">
        <f>DC13+DC16+DC17+DC18+DC20+DC23+DC24+DC25+DC26+DC32+DC33+DC37+DC41+DC43+DC38</f>
        <v>0</v>
      </c>
      <c r="DD12" s="234">
        <f>DD13+DD16+DD17+DD23+DD24+DD25+DD26+DD32+DD33+DD37+DD41+DD43+DD38</f>
        <v>0</v>
      </c>
      <c r="DE12" s="234">
        <f>DE13+DE16+DE17+DE18+DE20+DE23+DE24+DE25+DE26+DE32+DE33+DE37+DE41+DE43+DE38</f>
        <v>0</v>
      </c>
      <c r="DF12" s="234">
        <f>DF13+DF16+DF17+DF23+DF24+DF25+DF26+DF32+DF33+DF37+DF41+DF43+DF38</f>
        <v>0</v>
      </c>
      <c r="DG12" s="131">
        <f t="shared" si="19"/>
        <v>1</v>
      </c>
      <c r="DH12" s="131">
        <f t="shared" si="20"/>
        <v>1</v>
      </c>
      <c r="DI12" s="234">
        <f>DI13+DI16+DI17+DI18+DI20+DI23+DI24+DI25+DI26+DI32+DI33+DI37+DI41+DI43+DI38</f>
        <v>0</v>
      </c>
      <c r="DJ12" s="234">
        <f>DJ13+DJ16+DJ17+DJ23+DJ24+DJ25+DJ26+DJ32+DJ33+DJ37+DJ41+DJ43+DJ38</f>
        <v>0</v>
      </c>
      <c r="DK12" s="234">
        <f>DK13+DK16+DK17+DK18+DK19+DK20+DK23+DK24+DK25+DK26+DK32+DK33+DK37+DK41+DK43+DK38+DK15</f>
        <v>40022</v>
      </c>
      <c r="DL12" s="234">
        <f>DL13+DL16+DL17+DL18+DL19+DL20+DL23+DL24+DL25+DL26+DL32+DL33+DL37+DL41+DL43+DL38+DL15</f>
        <v>0</v>
      </c>
      <c r="DM12" s="131">
        <f>IF(AW12=0,1,DK12/AW12)</f>
        <v>0.9880511529156174</v>
      </c>
      <c r="DN12" s="131">
        <f t="shared" si="27"/>
        <v>0</v>
      </c>
      <c r="DO12" s="234">
        <f>DO13+DO16+DO17+DO18+DO20+DO23+DO24+DO25+DO26+DO32+DO33+DO37+DO41+DO43+DO38</f>
        <v>0</v>
      </c>
      <c r="DP12" s="234">
        <f>DP13+DP16+DP17+DP23+DP24+DP25+DP26+DP32+DP33+DP37+DP41+DP43+DP38</f>
        <v>0</v>
      </c>
      <c r="DQ12" s="234">
        <f>DQ13+DQ16+DQ17+DQ18+DQ20+DQ23+DQ24+DQ25+DQ26+DQ32+DQ33+DQ37+DQ41+DQ43+DQ38</f>
        <v>0</v>
      </c>
      <c r="DR12" s="234">
        <f>DR13+DR16+DR17+DR23+DR24+DR25+DR26+DR32+DR33+DR37+DR41+DR43+DR38</f>
        <v>0</v>
      </c>
      <c r="DS12" s="234">
        <f>DS13+DS16+DS17+DS18+DS19+DS20+DS23+DS24+DS25+DS26+DS32+DS33+DS37+DS41+DS43+DS38+DS15</f>
        <v>165530</v>
      </c>
      <c r="DT12" s="234">
        <f>DT13+DT16+DT17+DT18+DT19+DT20+DT23+DT24+DT25+DT26+DT32+DT33+DT37+DT41+DT43+DT38+DT15</f>
        <v>0</v>
      </c>
      <c r="DU12" s="131">
        <f>IF($BA$10=0,1,DS12/$BA12)</f>
        <v>0.90043191139832679</v>
      </c>
      <c r="DV12" s="131" t="e">
        <f>IF($BA$10=0,1,DT12/$BB12)</f>
        <v>#DIV/0!</v>
      </c>
      <c r="DW12" s="131">
        <f>IF($G12=0,1,DS12/$G12)</f>
        <v>0.89494058238989627</v>
      </c>
      <c r="DX12" s="196">
        <f>IF($G12=0,1,DT12/$H12)</f>
        <v>0</v>
      </c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  <c r="IW12" s="58"/>
      <c r="IX12" s="58"/>
      <c r="IY12" s="58"/>
      <c r="IZ12" s="58"/>
      <c r="JA12" s="58"/>
      <c r="JB12" s="58"/>
      <c r="JC12" s="58"/>
      <c r="JD12" s="58"/>
      <c r="JE12" s="58"/>
      <c r="JF12" s="58"/>
      <c r="JG12" s="58"/>
      <c r="JH12" s="58"/>
    </row>
    <row r="13" spans="1:268" s="62" customFormat="1" ht="18" customHeight="1">
      <c r="A13" s="364" t="s">
        <v>31</v>
      </c>
      <c r="B13" s="313"/>
      <c r="C13" s="134">
        <v>116179</v>
      </c>
      <c r="D13" s="134">
        <v>93944</v>
      </c>
      <c r="E13" s="134">
        <v>123339</v>
      </c>
      <c r="F13" s="134">
        <v>100132</v>
      </c>
      <c r="G13" s="134">
        <v>128505</v>
      </c>
      <c r="H13" s="134">
        <v>104637</v>
      </c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>
        <v>28145</v>
      </c>
      <c r="AX13" s="134">
        <v>22723</v>
      </c>
      <c r="AY13" s="134"/>
      <c r="AZ13" s="134"/>
      <c r="BA13" s="134">
        <v>131974</v>
      </c>
      <c r="BB13" s="134"/>
      <c r="BC13" s="135"/>
      <c r="BD13" s="135"/>
      <c r="BE13" s="134"/>
      <c r="BF13" s="134"/>
      <c r="BG13" s="134"/>
      <c r="BH13" s="134"/>
      <c r="BI13" s="134"/>
      <c r="BJ13" s="134"/>
      <c r="BK13" s="135"/>
      <c r="BL13" s="135"/>
      <c r="BM13" s="134"/>
      <c r="BN13" s="134"/>
      <c r="BO13" s="134"/>
      <c r="BP13" s="134"/>
      <c r="BQ13" s="135"/>
      <c r="BR13" s="135"/>
      <c r="BS13" s="134"/>
      <c r="BT13" s="134"/>
      <c r="BU13" s="134"/>
      <c r="BV13" s="134"/>
      <c r="BW13" s="135"/>
      <c r="BX13" s="135"/>
      <c r="BY13" s="134"/>
      <c r="BZ13" s="134"/>
      <c r="CA13" s="134"/>
      <c r="CB13" s="134"/>
      <c r="CC13" s="135"/>
      <c r="CD13" s="135"/>
      <c r="CE13" s="134"/>
      <c r="CF13" s="134"/>
      <c r="CG13" s="134"/>
      <c r="CH13" s="134"/>
      <c r="CI13" s="135"/>
      <c r="CJ13" s="135"/>
      <c r="CK13" s="134"/>
      <c r="CL13" s="134"/>
      <c r="CM13" s="134"/>
      <c r="CN13" s="134"/>
      <c r="CO13" s="135"/>
      <c r="CP13" s="135"/>
      <c r="CQ13" s="134"/>
      <c r="CR13" s="134"/>
      <c r="CS13" s="134"/>
      <c r="CT13" s="134"/>
      <c r="CU13" s="135"/>
      <c r="CV13" s="135"/>
      <c r="CW13" s="134"/>
      <c r="CX13" s="134"/>
      <c r="CY13" s="134"/>
      <c r="CZ13" s="134"/>
      <c r="DA13" s="135"/>
      <c r="DB13" s="135"/>
      <c r="DC13" s="134"/>
      <c r="DD13" s="134"/>
      <c r="DE13" s="134"/>
      <c r="DF13" s="134"/>
      <c r="DG13" s="135"/>
      <c r="DH13" s="135"/>
      <c r="DI13" s="134"/>
      <c r="DJ13" s="134"/>
      <c r="DK13" s="134">
        <v>29560</v>
      </c>
      <c r="DL13" s="134">
        <v>0</v>
      </c>
      <c r="DM13" s="135">
        <f t="shared" si="26"/>
        <v>1.0502753597441818</v>
      </c>
      <c r="DN13" s="135">
        <f t="shared" si="27"/>
        <v>0</v>
      </c>
      <c r="DO13" s="134">
        <f>'бюджет округа (района)'!BH11+'бюджеты поселений'!BH11</f>
        <v>0</v>
      </c>
      <c r="DP13" s="134">
        <f>'бюджет округа (района)'!BH11</f>
        <v>0</v>
      </c>
      <c r="DQ13" s="134">
        <f>'бюджет округа (района)'!BI11+'бюджеты поселений'!BI11</f>
        <v>0</v>
      </c>
      <c r="DR13" s="134">
        <f>'бюджет округа (района)'!BI11</f>
        <v>0</v>
      </c>
      <c r="DS13" s="134">
        <v>113857</v>
      </c>
      <c r="DT13" s="134"/>
      <c r="DU13" s="135">
        <f>IF($BA$10=0,1,DS13/$BA13)</f>
        <v>0.86272296058314513</v>
      </c>
      <c r="DV13" s="135" t="e">
        <f>IF($BA$10=0,1,DT13/$BB13)</f>
        <v>#DIV/0!</v>
      </c>
      <c r="DW13" s="135">
        <f>IF($G13=0,1,DS13/$G13)</f>
        <v>0.8860122174234466</v>
      </c>
      <c r="DX13" s="197">
        <f>IF($G13=0,1,DT13/$H13)</f>
        <v>0</v>
      </c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</row>
    <row r="14" spans="1:268" s="219" customFormat="1" ht="18" customHeight="1">
      <c r="A14" s="213" t="s">
        <v>225</v>
      </c>
      <c r="B14" s="214">
        <f>'бюджет округа (района)'!B12</f>
        <v>0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55"/>
      <c r="BB14" s="215"/>
      <c r="BC14" s="216">
        <f t="shared" ref="BC14:BC38" si="28">IF(G14=0,1,BA14/G14-1)</f>
        <v>1</v>
      </c>
      <c r="BD14" s="216">
        <f t="shared" ref="BD14:BD38" si="29">IF(H14=0,1,BB14/H14-1)</f>
        <v>1</v>
      </c>
      <c r="BE14" s="255"/>
      <c r="BF14" s="215"/>
      <c r="BG14" s="255">
        <f>BG13*$B$14/(43+$B$14)</f>
        <v>0</v>
      </c>
      <c r="BH14" s="215">
        <f>BG14</f>
        <v>0</v>
      </c>
      <c r="BI14" s="215">
        <f t="shared" ref="BI14:BI43" si="30">BE14+BG14</f>
        <v>0</v>
      </c>
      <c r="BJ14" s="215">
        <f t="shared" ref="BJ14:BJ17" si="31">BF14+BH14</f>
        <v>0</v>
      </c>
      <c r="BK14" s="216">
        <f t="shared" si="3"/>
        <v>1</v>
      </c>
      <c r="BL14" s="216">
        <f t="shared" si="4"/>
        <v>1</v>
      </c>
      <c r="BM14" s="255">
        <f>BM13*$B$14/(43+$B$14)</f>
        <v>0</v>
      </c>
      <c r="BN14" s="215">
        <f>BM14</f>
        <v>0</v>
      </c>
      <c r="BO14" s="215">
        <f t="shared" ref="BO14:BO43" si="32">BI14+BM14</f>
        <v>0</v>
      </c>
      <c r="BP14" s="215">
        <f t="shared" ref="BP14:BP17" si="33">BJ14+BN14</f>
        <v>0</v>
      </c>
      <c r="BQ14" s="216">
        <f t="shared" si="5"/>
        <v>1</v>
      </c>
      <c r="BR14" s="216">
        <f t="shared" si="6"/>
        <v>1</v>
      </c>
      <c r="BS14" s="255">
        <f>BS13*$B$14/(43+$B$14)</f>
        <v>0</v>
      </c>
      <c r="BT14" s="215">
        <f>BS14</f>
        <v>0</v>
      </c>
      <c r="BU14" s="215">
        <f t="shared" ref="BU14:BU43" si="34">BO14+BS14</f>
        <v>0</v>
      </c>
      <c r="BV14" s="215">
        <f t="shared" ref="BV14:BV17" si="35">BP14+BT14</f>
        <v>0</v>
      </c>
      <c r="BW14" s="216">
        <f t="shared" si="7"/>
        <v>1</v>
      </c>
      <c r="BX14" s="216">
        <f t="shared" si="8"/>
        <v>1</v>
      </c>
      <c r="BY14" s="255">
        <f>BY13*$B$14/(43+$B$14)</f>
        <v>0</v>
      </c>
      <c r="BZ14" s="215">
        <f>BY14</f>
        <v>0</v>
      </c>
      <c r="CA14" s="215">
        <f t="shared" ref="CA14:CA43" si="36">BU14+BY14</f>
        <v>0</v>
      </c>
      <c r="CB14" s="215">
        <f t="shared" ref="CB14:CB17" si="37">BV14+BZ14</f>
        <v>0</v>
      </c>
      <c r="CC14" s="216">
        <f t="shared" si="9"/>
        <v>1</v>
      </c>
      <c r="CD14" s="216">
        <f t="shared" si="10"/>
        <v>1</v>
      </c>
      <c r="CE14" s="255">
        <f>CE13*$B$14/(43+$B$14)</f>
        <v>0</v>
      </c>
      <c r="CF14" s="215">
        <f>CE14</f>
        <v>0</v>
      </c>
      <c r="CG14" s="215">
        <f t="shared" ref="CG14:CG43" si="38">CA14+CE14</f>
        <v>0</v>
      </c>
      <c r="CH14" s="215">
        <f t="shared" ref="CH14:CH17" si="39">CB14+CF14</f>
        <v>0</v>
      </c>
      <c r="CI14" s="216">
        <f t="shared" si="11"/>
        <v>1</v>
      </c>
      <c r="CJ14" s="216">
        <f t="shared" si="12"/>
        <v>1</v>
      </c>
      <c r="CK14" s="255">
        <f>CK13*$B$14/(43+$B$14)</f>
        <v>0</v>
      </c>
      <c r="CL14" s="215">
        <f>CK14</f>
        <v>0</v>
      </c>
      <c r="CM14" s="215">
        <f t="shared" ref="CM14:CM43" si="40">CG14+CK14</f>
        <v>0</v>
      </c>
      <c r="CN14" s="215">
        <f t="shared" ref="CN14:CN17" si="41">CH14+CL14</f>
        <v>0</v>
      </c>
      <c r="CO14" s="216">
        <f t="shared" si="13"/>
        <v>1</v>
      </c>
      <c r="CP14" s="216">
        <f t="shared" si="14"/>
        <v>1</v>
      </c>
      <c r="CQ14" s="255">
        <f>CQ13*$B$14/(43+$B$14)</f>
        <v>0</v>
      </c>
      <c r="CR14" s="215">
        <f>CQ14</f>
        <v>0</v>
      </c>
      <c r="CS14" s="215">
        <f t="shared" ref="CS14:CS43" si="42">CM14+CQ14</f>
        <v>0</v>
      </c>
      <c r="CT14" s="215">
        <f t="shared" ref="CT14:CT17" si="43">CN14+CR14</f>
        <v>0</v>
      </c>
      <c r="CU14" s="216">
        <f t="shared" si="15"/>
        <v>1</v>
      </c>
      <c r="CV14" s="216">
        <f t="shared" si="16"/>
        <v>1</v>
      </c>
      <c r="CW14" s="255">
        <f>CW13*$B$14/(43+$B$14)</f>
        <v>0</v>
      </c>
      <c r="CX14" s="215">
        <f>CW14</f>
        <v>0</v>
      </c>
      <c r="CY14" s="215">
        <f t="shared" ref="CY14:CY43" si="44">CS14+CW14</f>
        <v>0</v>
      </c>
      <c r="CZ14" s="215">
        <f t="shared" ref="CZ14:CZ17" si="45">CT14+CX14</f>
        <v>0</v>
      </c>
      <c r="DA14" s="216">
        <f t="shared" si="17"/>
        <v>1</v>
      </c>
      <c r="DB14" s="216">
        <f t="shared" si="18"/>
        <v>1</v>
      </c>
      <c r="DC14" s="255">
        <f>DC13*$B$14/(43+$B$14)</f>
        <v>0</v>
      </c>
      <c r="DD14" s="215">
        <f>DC14</f>
        <v>0</v>
      </c>
      <c r="DE14" s="215">
        <f t="shared" ref="DE14:DE43" si="46">CY14+DC14</f>
        <v>0</v>
      </c>
      <c r="DF14" s="215">
        <f t="shared" ref="DF14:DF17" si="47">CZ14+DD14</f>
        <v>0</v>
      </c>
      <c r="DG14" s="216">
        <f t="shared" si="19"/>
        <v>1</v>
      </c>
      <c r="DH14" s="216">
        <f t="shared" si="20"/>
        <v>1</v>
      </c>
      <c r="DI14" s="255">
        <f>DI13*$B$14/(43+$B$14)</f>
        <v>0</v>
      </c>
      <c r="DJ14" s="215">
        <f>DI14</f>
        <v>0</v>
      </c>
      <c r="DK14" s="215"/>
      <c r="DL14" s="215"/>
      <c r="DM14" s="216">
        <f t="shared" si="26"/>
        <v>1</v>
      </c>
      <c r="DN14" s="216">
        <f t="shared" si="27"/>
        <v>1</v>
      </c>
      <c r="DO14" s="255">
        <f>DO13*$B$14/(43+$B$14)</f>
        <v>0</v>
      </c>
      <c r="DP14" s="215">
        <f>DO14</f>
        <v>0</v>
      </c>
      <c r="DQ14" s="255">
        <f>DQ13*$B$14/(43+$B$14)</f>
        <v>0</v>
      </c>
      <c r="DR14" s="215">
        <f>DQ14</f>
        <v>0</v>
      </c>
      <c r="DS14" s="255"/>
      <c r="DT14" s="215"/>
      <c r="DU14" s="216">
        <f t="shared" ref="DU14" si="48">IF($BA$10=0,1,DS14/$BA$10)</f>
        <v>0</v>
      </c>
      <c r="DV14" s="216">
        <f t="shared" ref="DV14" si="49">IF($BA$10=0,1,DT14/$BA$10)</f>
        <v>0</v>
      </c>
      <c r="DW14" s="216">
        <f t="shared" ref="DW14:DW15" si="50">IF($G14=0,1,DS14/$G14)</f>
        <v>1</v>
      </c>
      <c r="DX14" s="243">
        <f t="shared" ref="DX14" si="51">IF($G14=0,1,DT14/$G14)</f>
        <v>1</v>
      </c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  <c r="FL14" s="218"/>
      <c r="FM14" s="218"/>
      <c r="FN14" s="218"/>
      <c r="FO14" s="218"/>
      <c r="FP14" s="218"/>
      <c r="FQ14" s="218"/>
      <c r="FR14" s="218"/>
      <c r="FS14" s="218"/>
      <c r="FT14" s="218"/>
      <c r="FU14" s="218"/>
      <c r="FV14" s="218"/>
      <c r="FW14" s="218"/>
      <c r="FX14" s="218"/>
      <c r="FY14" s="218"/>
      <c r="FZ14" s="218"/>
      <c r="GA14" s="218"/>
      <c r="GB14" s="218"/>
      <c r="GC14" s="218"/>
      <c r="GD14" s="218"/>
      <c r="GE14" s="218"/>
      <c r="GF14" s="218"/>
      <c r="GG14" s="218"/>
      <c r="GH14" s="218"/>
      <c r="GI14" s="218"/>
      <c r="GJ14" s="218"/>
      <c r="GK14" s="218"/>
      <c r="GL14" s="218"/>
      <c r="GM14" s="218"/>
      <c r="GN14" s="218"/>
      <c r="GO14" s="218"/>
      <c r="GP14" s="218"/>
      <c r="GQ14" s="218"/>
      <c r="GR14" s="218"/>
      <c r="GS14" s="218"/>
      <c r="GT14" s="218"/>
      <c r="GU14" s="218"/>
      <c r="GV14" s="218"/>
      <c r="GW14" s="218"/>
      <c r="GX14" s="218"/>
      <c r="GY14" s="218"/>
      <c r="GZ14" s="218"/>
      <c r="HA14" s="218"/>
      <c r="HB14" s="218"/>
      <c r="HC14" s="218"/>
      <c r="HD14" s="218"/>
      <c r="HE14" s="218"/>
      <c r="HF14" s="218"/>
      <c r="HG14" s="218"/>
      <c r="HH14" s="218"/>
      <c r="HI14" s="218"/>
      <c r="HJ14" s="218"/>
      <c r="HK14" s="218"/>
      <c r="HL14" s="218"/>
      <c r="HM14" s="218"/>
      <c r="HN14" s="218"/>
      <c r="HO14" s="218"/>
      <c r="HP14" s="218"/>
      <c r="HQ14" s="218"/>
      <c r="HR14" s="218"/>
      <c r="HS14" s="218"/>
      <c r="HT14" s="218"/>
      <c r="HU14" s="218"/>
      <c r="HV14" s="218"/>
      <c r="HW14" s="218"/>
      <c r="HX14" s="218"/>
      <c r="HY14" s="218"/>
      <c r="HZ14" s="218"/>
      <c r="IA14" s="218"/>
      <c r="IB14" s="218"/>
      <c r="IC14" s="218"/>
      <c r="ID14" s="218"/>
      <c r="IE14" s="218"/>
      <c r="IF14" s="218"/>
      <c r="IG14" s="218"/>
      <c r="IH14" s="218"/>
      <c r="II14" s="218"/>
      <c r="IJ14" s="218"/>
      <c r="IK14" s="218"/>
      <c r="IL14" s="218"/>
      <c r="IM14" s="218"/>
      <c r="IN14" s="218"/>
      <c r="IO14" s="218"/>
      <c r="IP14" s="218"/>
      <c r="IQ14" s="218"/>
      <c r="IR14" s="218"/>
      <c r="IS14" s="218"/>
      <c r="IT14" s="218"/>
      <c r="IU14" s="218"/>
      <c r="IV14" s="218"/>
      <c r="IW14" s="218"/>
      <c r="IX14" s="218"/>
      <c r="IY14" s="218"/>
      <c r="IZ14" s="218"/>
      <c r="JA14" s="218"/>
      <c r="JB14" s="218"/>
      <c r="JC14" s="218"/>
      <c r="JD14" s="218"/>
      <c r="JE14" s="218"/>
      <c r="JF14" s="218"/>
      <c r="JG14" s="218"/>
      <c r="JH14" s="218"/>
    </row>
    <row r="15" spans="1:268" s="219" customFormat="1" ht="47.25" customHeight="1">
      <c r="A15" s="364" t="s">
        <v>246</v>
      </c>
      <c r="B15" s="313"/>
      <c r="C15" s="215">
        <v>0</v>
      </c>
      <c r="D15" s="215">
        <v>0</v>
      </c>
      <c r="E15" s="215">
        <v>0</v>
      </c>
      <c r="F15" s="215">
        <v>0</v>
      </c>
      <c r="G15" s="215">
        <v>775</v>
      </c>
      <c r="H15" s="215">
        <v>775</v>
      </c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>
        <v>177</v>
      </c>
      <c r="AX15" s="215">
        <v>177</v>
      </c>
      <c r="AY15" s="215"/>
      <c r="AZ15" s="215"/>
      <c r="BA15" s="255">
        <v>910</v>
      </c>
      <c r="BB15" s="215">
        <v>0</v>
      </c>
      <c r="BC15" s="216"/>
      <c r="BD15" s="216"/>
      <c r="BE15" s="255"/>
      <c r="BF15" s="215"/>
      <c r="BG15" s="255"/>
      <c r="BH15" s="215"/>
      <c r="BI15" s="215"/>
      <c r="BJ15" s="215"/>
      <c r="BK15" s="216"/>
      <c r="BL15" s="216"/>
      <c r="BM15" s="255"/>
      <c r="BN15" s="215"/>
      <c r="BO15" s="215"/>
      <c r="BP15" s="215"/>
      <c r="BQ15" s="216"/>
      <c r="BR15" s="216"/>
      <c r="BS15" s="255"/>
      <c r="BT15" s="215"/>
      <c r="BU15" s="215"/>
      <c r="BV15" s="215"/>
      <c r="BW15" s="216"/>
      <c r="BX15" s="216"/>
      <c r="BY15" s="255"/>
      <c r="BZ15" s="215"/>
      <c r="CA15" s="215"/>
      <c r="CB15" s="215"/>
      <c r="CC15" s="216"/>
      <c r="CD15" s="216"/>
      <c r="CE15" s="255"/>
      <c r="CF15" s="215"/>
      <c r="CG15" s="215"/>
      <c r="CH15" s="215"/>
      <c r="CI15" s="216"/>
      <c r="CJ15" s="216"/>
      <c r="CK15" s="255"/>
      <c r="CL15" s="215"/>
      <c r="CM15" s="215"/>
      <c r="CN15" s="215"/>
      <c r="CO15" s="216"/>
      <c r="CP15" s="216"/>
      <c r="CQ15" s="255"/>
      <c r="CR15" s="215"/>
      <c r="CS15" s="215"/>
      <c r="CT15" s="215"/>
      <c r="CU15" s="216"/>
      <c r="CV15" s="216"/>
      <c r="CW15" s="255"/>
      <c r="CX15" s="215"/>
      <c r="CY15" s="215"/>
      <c r="CZ15" s="215"/>
      <c r="DA15" s="216"/>
      <c r="DB15" s="216"/>
      <c r="DC15" s="255"/>
      <c r="DD15" s="215"/>
      <c r="DE15" s="215"/>
      <c r="DF15" s="215"/>
      <c r="DG15" s="216"/>
      <c r="DH15" s="216"/>
      <c r="DI15" s="255"/>
      <c r="DJ15" s="215"/>
      <c r="DK15" s="215">
        <v>179</v>
      </c>
      <c r="DL15" s="215">
        <v>0</v>
      </c>
      <c r="DM15" s="135">
        <f>IF(AW15=0,1,DK15/AW15)</f>
        <v>1.0112994350282485</v>
      </c>
      <c r="DN15" s="135">
        <f t="shared" ref="DN15" si="52">IF(AX15=0,1,DL15/AX15)</f>
        <v>0</v>
      </c>
      <c r="DO15" s="134">
        <f>'бюджет округа (района)'!BH12+'бюджеты поселений'!BH12</f>
        <v>0</v>
      </c>
      <c r="DP15" s="134">
        <f>'бюджет округа (района)'!BH12</f>
        <v>0</v>
      </c>
      <c r="DQ15" s="134">
        <f>'бюджет округа (района)'!BI12+'бюджеты поселений'!BI12</f>
        <v>0</v>
      </c>
      <c r="DR15" s="134">
        <f>'бюджет округа (района)'!BI12</f>
        <v>0</v>
      </c>
      <c r="DS15" s="255">
        <v>910</v>
      </c>
      <c r="DT15" s="215">
        <v>0</v>
      </c>
      <c r="DU15" s="135">
        <f t="shared" ref="DU15" si="53">IF($BA$10=0,1,DS15/$BA15)</f>
        <v>1</v>
      </c>
      <c r="DV15" s="135" t="e">
        <f>IF($BA$10=0,1,DT15/$BB15)</f>
        <v>#DIV/0!</v>
      </c>
      <c r="DW15" s="135">
        <f t="shared" si="50"/>
        <v>1.1741935483870967</v>
      </c>
      <c r="DX15" s="197">
        <f>IF($G15=0,1,DT15/$H15)</f>
        <v>0</v>
      </c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  <c r="FL15" s="218"/>
      <c r="FM15" s="218"/>
      <c r="FN15" s="218"/>
      <c r="FO15" s="218"/>
      <c r="FP15" s="218"/>
      <c r="FQ15" s="218"/>
      <c r="FR15" s="218"/>
      <c r="FS15" s="218"/>
      <c r="FT15" s="218"/>
      <c r="FU15" s="218"/>
      <c r="FV15" s="218"/>
      <c r="FW15" s="218"/>
      <c r="FX15" s="218"/>
      <c r="FY15" s="218"/>
      <c r="FZ15" s="218"/>
      <c r="GA15" s="218"/>
      <c r="GB15" s="218"/>
      <c r="GC15" s="218"/>
      <c r="GD15" s="218"/>
      <c r="GE15" s="218"/>
      <c r="GF15" s="218"/>
      <c r="GG15" s="218"/>
      <c r="GH15" s="218"/>
      <c r="GI15" s="218"/>
      <c r="GJ15" s="218"/>
      <c r="GK15" s="218"/>
      <c r="GL15" s="218"/>
      <c r="GM15" s="218"/>
      <c r="GN15" s="218"/>
      <c r="GO15" s="218"/>
      <c r="GP15" s="218"/>
      <c r="GQ15" s="218"/>
      <c r="GR15" s="218"/>
      <c r="GS15" s="218"/>
      <c r="GT15" s="218"/>
      <c r="GU15" s="218"/>
      <c r="GV15" s="218"/>
      <c r="GW15" s="218"/>
      <c r="GX15" s="218"/>
      <c r="GY15" s="218"/>
      <c r="GZ15" s="218"/>
      <c r="HA15" s="218"/>
      <c r="HB15" s="218"/>
      <c r="HC15" s="218"/>
      <c r="HD15" s="218"/>
      <c r="HE15" s="218"/>
      <c r="HF15" s="218"/>
      <c r="HG15" s="218"/>
      <c r="HH15" s="218"/>
      <c r="HI15" s="218"/>
      <c r="HJ15" s="218"/>
      <c r="HK15" s="218"/>
      <c r="HL15" s="218"/>
      <c r="HM15" s="218"/>
      <c r="HN15" s="218"/>
      <c r="HO15" s="218"/>
      <c r="HP15" s="218"/>
      <c r="HQ15" s="218"/>
      <c r="HR15" s="218"/>
      <c r="HS15" s="218"/>
      <c r="HT15" s="218"/>
      <c r="HU15" s="218"/>
      <c r="HV15" s="218"/>
      <c r="HW15" s="218"/>
      <c r="HX15" s="218"/>
      <c r="HY15" s="218"/>
      <c r="HZ15" s="218"/>
      <c r="IA15" s="218"/>
      <c r="IB15" s="218"/>
      <c r="IC15" s="218"/>
      <c r="ID15" s="218"/>
      <c r="IE15" s="218"/>
      <c r="IF15" s="218"/>
      <c r="IG15" s="218"/>
      <c r="IH15" s="218"/>
      <c r="II15" s="218"/>
      <c r="IJ15" s="218"/>
      <c r="IK15" s="218"/>
      <c r="IL15" s="218"/>
      <c r="IM15" s="218"/>
      <c r="IN15" s="218"/>
      <c r="IO15" s="218"/>
      <c r="IP15" s="218"/>
      <c r="IQ15" s="218"/>
      <c r="IR15" s="218"/>
      <c r="IS15" s="218"/>
      <c r="IT15" s="218"/>
      <c r="IU15" s="218"/>
      <c r="IV15" s="218"/>
      <c r="IW15" s="218"/>
      <c r="IX15" s="218"/>
      <c r="IY15" s="218"/>
      <c r="IZ15" s="218"/>
      <c r="JA15" s="218"/>
      <c r="JB15" s="218"/>
      <c r="JC15" s="218"/>
      <c r="JD15" s="218"/>
      <c r="JE15" s="218"/>
      <c r="JF15" s="218"/>
      <c r="JG15" s="218"/>
      <c r="JH15" s="218"/>
    </row>
    <row r="16" spans="1:268" s="62" customFormat="1" ht="27.75" customHeight="1">
      <c r="A16" s="364" t="s">
        <v>32</v>
      </c>
      <c r="B16" s="313"/>
      <c r="C16" s="134">
        <v>4489</v>
      </c>
      <c r="D16" s="134">
        <v>4489</v>
      </c>
      <c r="E16" s="134">
        <v>1160</v>
      </c>
      <c r="F16" s="134">
        <v>1160</v>
      </c>
      <c r="G16" s="134">
        <v>17</v>
      </c>
      <c r="H16" s="134">
        <v>17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>
        <v>28</v>
      </c>
      <c r="AX16" s="134">
        <v>28</v>
      </c>
      <c r="AY16" s="134"/>
      <c r="AZ16" s="134"/>
      <c r="BA16" s="134">
        <v>0</v>
      </c>
      <c r="BB16" s="134"/>
      <c r="BC16" s="135">
        <f t="shared" si="28"/>
        <v>-1</v>
      </c>
      <c r="BD16" s="135">
        <f t="shared" si="29"/>
        <v>-1</v>
      </c>
      <c r="BE16" s="134"/>
      <c r="BF16" s="134"/>
      <c r="BG16" s="134">
        <f>'бюджет округа (района)'!AD13+'бюджеты поселений'!AD13</f>
        <v>0</v>
      </c>
      <c r="BH16" s="134">
        <f>'бюджет округа (района)'!AD13</f>
        <v>0</v>
      </c>
      <c r="BI16" s="134">
        <f t="shared" si="30"/>
        <v>0</v>
      </c>
      <c r="BJ16" s="134">
        <f t="shared" si="31"/>
        <v>0</v>
      </c>
      <c r="BK16" s="135">
        <f t="shared" si="3"/>
        <v>1</v>
      </c>
      <c r="BL16" s="135">
        <f t="shared" si="4"/>
        <v>1</v>
      </c>
      <c r="BM16" s="134">
        <f>'бюджет округа (района)'!AG13+'бюджеты поселений'!AG13</f>
        <v>0</v>
      </c>
      <c r="BN16" s="134">
        <f>'бюджет округа (района)'!AG13</f>
        <v>0</v>
      </c>
      <c r="BO16" s="134">
        <f t="shared" si="32"/>
        <v>0</v>
      </c>
      <c r="BP16" s="134">
        <f t="shared" si="33"/>
        <v>0</v>
      </c>
      <c r="BQ16" s="135">
        <f t="shared" si="5"/>
        <v>1</v>
      </c>
      <c r="BR16" s="135">
        <f t="shared" si="6"/>
        <v>1</v>
      </c>
      <c r="BS16" s="134">
        <f>'бюджет округа (района)'!AJ13+'бюджеты поселений'!AJ13</f>
        <v>0</v>
      </c>
      <c r="BT16" s="134">
        <f>'бюджет округа (района)'!AJ13</f>
        <v>0</v>
      </c>
      <c r="BU16" s="134">
        <f t="shared" si="34"/>
        <v>0</v>
      </c>
      <c r="BV16" s="134">
        <f t="shared" si="35"/>
        <v>0</v>
      </c>
      <c r="BW16" s="135">
        <f t="shared" si="7"/>
        <v>1</v>
      </c>
      <c r="BX16" s="135">
        <f t="shared" si="8"/>
        <v>1</v>
      </c>
      <c r="BY16" s="134">
        <f>'бюджет округа (района)'!AM13+'бюджеты поселений'!AM13</f>
        <v>0</v>
      </c>
      <c r="BZ16" s="134">
        <f>'бюджет округа (района)'!AM13</f>
        <v>0</v>
      </c>
      <c r="CA16" s="134">
        <f t="shared" si="36"/>
        <v>0</v>
      </c>
      <c r="CB16" s="134">
        <f t="shared" si="37"/>
        <v>0</v>
      </c>
      <c r="CC16" s="135">
        <f t="shared" si="9"/>
        <v>1</v>
      </c>
      <c r="CD16" s="135">
        <f t="shared" si="10"/>
        <v>1</v>
      </c>
      <c r="CE16" s="134">
        <f>'бюджет округа (района)'!AP13+'бюджеты поселений'!AP13</f>
        <v>0</v>
      </c>
      <c r="CF16" s="134">
        <f>'бюджет округа (района)'!AP13</f>
        <v>0</v>
      </c>
      <c r="CG16" s="134">
        <f t="shared" si="38"/>
        <v>0</v>
      </c>
      <c r="CH16" s="134">
        <f t="shared" si="39"/>
        <v>0</v>
      </c>
      <c r="CI16" s="135">
        <f t="shared" si="11"/>
        <v>1</v>
      </c>
      <c r="CJ16" s="135">
        <f t="shared" si="12"/>
        <v>1</v>
      </c>
      <c r="CK16" s="134">
        <f>'бюджет округа (района)'!AS13+'бюджеты поселений'!AS13</f>
        <v>0</v>
      </c>
      <c r="CL16" s="134">
        <f>'бюджет округа (района)'!AS13</f>
        <v>0</v>
      </c>
      <c r="CM16" s="134">
        <f t="shared" si="40"/>
        <v>0</v>
      </c>
      <c r="CN16" s="134">
        <f t="shared" si="41"/>
        <v>0</v>
      </c>
      <c r="CO16" s="135">
        <f t="shared" si="13"/>
        <v>1</v>
      </c>
      <c r="CP16" s="135">
        <f t="shared" si="14"/>
        <v>1</v>
      </c>
      <c r="CQ16" s="134">
        <f>'бюджет округа (района)'!AV13+'бюджеты поселений'!AV13</f>
        <v>0</v>
      </c>
      <c r="CR16" s="134">
        <f>'бюджет округа (района)'!AV13</f>
        <v>0</v>
      </c>
      <c r="CS16" s="134">
        <f t="shared" si="42"/>
        <v>0</v>
      </c>
      <c r="CT16" s="134">
        <f t="shared" si="43"/>
        <v>0</v>
      </c>
      <c r="CU16" s="135">
        <f t="shared" si="15"/>
        <v>1</v>
      </c>
      <c r="CV16" s="135">
        <f t="shared" si="16"/>
        <v>1</v>
      </c>
      <c r="CW16" s="134">
        <f>'бюджет округа (района)'!AY13+'бюджеты поселений'!AY13</f>
        <v>0</v>
      </c>
      <c r="CX16" s="134">
        <f>'бюджет округа (района)'!AY13</f>
        <v>0</v>
      </c>
      <c r="CY16" s="134">
        <f t="shared" si="44"/>
        <v>0</v>
      </c>
      <c r="CZ16" s="134">
        <f t="shared" si="45"/>
        <v>0</v>
      </c>
      <c r="DA16" s="135">
        <f t="shared" si="17"/>
        <v>1</v>
      </c>
      <c r="DB16" s="135">
        <f t="shared" si="18"/>
        <v>1</v>
      </c>
      <c r="DC16" s="134">
        <f>'бюджет округа (района)'!BB13+'бюджеты поселений'!BB13</f>
        <v>0</v>
      </c>
      <c r="DD16" s="134">
        <f>'бюджет округа (района)'!BB13</f>
        <v>0</v>
      </c>
      <c r="DE16" s="134">
        <f t="shared" si="46"/>
        <v>0</v>
      </c>
      <c r="DF16" s="134">
        <f t="shared" si="47"/>
        <v>0</v>
      </c>
      <c r="DG16" s="135">
        <f t="shared" si="19"/>
        <v>1</v>
      </c>
      <c r="DH16" s="135">
        <f t="shared" si="20"/>
        <v>1</v>
      </c>
      <c r="DI16" s="134">
        <f>'бюджет округа (района)'!BE13+'бюджеты поселений'!BE13</f>
        <v>0</v>
      </c>
      <c r="DJ16" s="134">
        <f>'бюджет округа (района)'!BE13</f>
        <v>0</v>
      </c>
      <c r="DK16" s="134">
        <v>-49</v>
      </c>
      <c r="DL16" s="134"/>
      <c r="DM16" s="135">
        <f t="shared" si="26"/>
        <v>-1.75</v>
      </c>
      <c r="DN16" s="135">
        <f t="shared" si="27"/>
        <v>0</v>
      </c>
      <c r="DO16" s="134">
        <f>'бюджет округа (района)'!BH13+'бюджеты поселений'!BH13</f>
        <v>0</v>
      </c>
      <c r="DP16" s="134">
        <f>'бюджет округа (района)'!BH13</f>
        <v>0</v>
      </c>
      <c r="DQ16" s="134">
        <f>'бюджет округа (района)'!BI13+'бюджеты поселений'!BI13</f>
        <v>0</v>
      </c>
      <c r="DR16" s="134">
        <f>'бюджет округа (района)'!BI13</f>
        <v>0</v>
      </c>
      <c r="DS16" s="134">
        <v>-48</v>
      </c>
      <c r="DT16" s="134"/>
      <c r="DU16" s="135" t="e">
        <f t="shared" ref="DU16:DU39" si="54">IF($BA$10=0,1,DS16/$BA16)</f>
        <v>#DIV/0!</v>
      </c>
      <c r="DV16" s="135" t="e">
        <f>IF($BA$10=0,1,DT16/$BB16)</f>
        <v>#DIV/0!</v>
      </c>
      <c r="DW16" s="135">
        <f t="shared" ref="DW16:DW23" si="55">IF($G16=0,1,DS16/$G16)</f>
        <v>-2.8235294117647061</v>
      </c>
      <c r="DX16" s="197">
        <f>IF($G16=0,1,DT16/$H16)</f>
        <v>0</v>
      </c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</row>
    <row r="17" spans="1:268" s="62" customFormat="1" ht="28.5" customHeight="1">
      <c r="A17" s="364" t="s">
        <v>80</v>
      </c>
      <c r="B17" s="313"/>
      <c r="C17" s="134">
        <v>73</v>
      </c>
      <c r="D17" s="134">
        <v>51</v>
      </c>
      <c r="E17" s="134">
        <v>96</v>
      </c>
      <c r="F17" s="134">
        <v>51</v>
      </c>
      <c r="G17" s="134">
        <v>49</v>
      </c>
      <c r="H17" s="134">
        <v>29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>
        <v>45</v>
      </c>
      <c r="AX17" s="134">
        <v>25</v>
      </c>
      <c r="AY17" s="134"/>
      <c r="AZ17" s="134"/>
      <c r="BA17" s="134">
        <v>50</v>
      </c>
      <c r="BB17" s="134"/>
      <c r="BC17" s="135">
        <f t="shared" si="28"/>
        <v>2.0408163265306145E-2</v>
      </c>
      <c r="BD17" s="135">
        <f t="shared" si="29"/>
        <v>-1</v>
      </c>
      <c r="BE17" s="134"/>
      <c r="BF17" s="134"/>
      <c r="BG17" s="134">
        <f>'бюджет округа (района)'!AD14+'бюджеты поселений'!AD14</f>
        <v>0</v>
      </c>
      <c r="BH17" s="134">
        <f>'бюджет округа (района)'!AD14</f>
        <v>0</v>
      </c>
      <c r="BI17" s="134">
        <f t="shared" si="30"/>
        <v>0</v>
      </c>
      <c r="BJ17" s="134">
        <f t="shared" si="31"/>
        <v>0</v>
      </c>
      <c r="BK17" s="135">
        <f t="shared" si="3"/>
        <v>1</v>
      </c>
      <c r="BL17" s="135">
        <f t="shared" si="4"/>
        <v>1</v>
      </c>
      <c r="BM17" s="134">
        <f>'бюджет округа (района)'!AG14+'бюджеты поселений'!AG14</f>
        <v>0</v>
      </c>
      <c r="BN17" s="134">
        <f>'бюджет округа (района)'!AG14</f>
        <v>0</v>
      </c>
      <c r="BO17" s="134">
        <f t="shared" si="32"/>
        <v>0</v>
      </c>
      <c r="BP17" s="134">
        <f t="shared" si="33"/>
        <v>0</v>
      </c>
      <c r="BQ17" s="135">
        <f t="shared" si="5"/>
        <v>1</v>
      </c>
      <c r="BR17" s="135">
        <f t="shared" si="6"/>
        <v>1</v>
      </c>
      <c r="BS17" s="134">
        <f>'бюджет округа (района)'!AJ14+'бюджеты поселений'!AJ14</f>
        <v>0</v>
      </c>
      <c r="BT17" s="134">
        <f>'бюджет округа (района)'!AJ14</f>
        <v>0</v>
      </c>
      <c r="BU17" s="134">
        <f t="shared" si="34"/>
        <v>0</v>
      </c>
      <c r="BV17" s="134">
        <f t="shared" si="35"/>
        <v>0</v>
      </c>
      <c r="BW17" s="135">
        <f t="shared" si="7"/>
        <v>1</v>
      </c>
      <c r="BX17" s="135">
        <f t="shared" si="8"/>
        <v>1</v>
      </c>
      <c r="BY17" s="134">
        <f>'бюджет округа (района)'!AM14+'бюджеты поселений'!AM14</f>
        <v>0</v>
      </c>
      <c r="BZ17" s="134">
        <f>'бюджет округа (района)'!AM14</f>
        <v>0</v>
      </c>
      <c r="CA17" s="134">
        <f t="shared" si="36"/>
        <v>0</v>
      </c>
      <c r="CB17" s="134">
        <f t="shared" si="37"/>
        <v>0</v>
      </c>
      <c r="CC17" s="135">
        <f t="shared" si="9"/>
        <v>1</v>
      </c>
      <c r="CD17" s="135">
        <f t="shared" si="10"/>
        <v>1</v>
      </c>
      <c r="CE17" s="134">
        <f>'бюджет округа (района)'!AP14+'бюджеты поселений'!AP14</f>
        <v>0</v>
      </c>
      <c r="CF17" s="134">
        <f>'бюджет округа (района)'!AP14</f>
        <v>0</v>
      </c>
      <c r="CG17" s="134">
        <f t="shared" si="38"/>
        <v>0</v>
      </c>
      <c r="CH17" s="134">
        <f t="shared" si="39"/>
        <v>0</v>
      </c>
      <c r="CI17" s="135">
        <f t="shared" si="11"/>
        <v>1</v>
      </c>
      <c r="CJ17" s="135">
        <f t="shared" si="12"/>
        <v>1</v>
      </c>
      <c r="CK17" s="134">
        <f>'бюджет округа (района)'!AS14+'бюджеты поселений'!AS14</f>
        <v>0</v>
      </c>
      <c r="CL17" s="134">
        <f>'бюджет округа (района)'!AS14</f>
        <v>0</v>
      </c>
      <c r="CM17" s="134">
        <f t="shared" si="40"/>
        <v>0</v>
      </c>
      <c r="CN17" s="134">
        <f t="shared" si="41"/>
        <v>0</v>
      </c>
      <c r="CO17" s="135">
        <f t="shared" si="13"/>
        <v>1</v>
      </c>
      <c r="CP17" s="135">
        <f t="shared" si="14"/>
        <v>1</v>
      </c>
      <c r="CQ17" s="134">
        <f>'бюджет округа (района)'!AV14+'бюджеты поселений'!AV14</f>
        <v>0</v>
      </c>
      <c r="CR17" s="134">
        <f>'бюджет округа (района)'!AV14</f>
        <v>0</v>
      </c>
      <c r="CS17" s="134">
        <f t="shared" si="42"/>
        <v>0</v>
      </c>
      <c r="CT17" s="134">
        <f t="shared" si="43"/>
        <v>0</v>
      </c>
      <c r="CU17" s="135">
        <f t="shared" si="15"/>
        <v>1</v>
      </c>
      <c r="CV17" s="135">
        <f t="shared" si="16"/>
        <v>1</v>
      </c>
      <c r="CW17" s="134">
        <f>'бюджет округа (района)'!AY14+'бюджеты поселений'!AY14</f>
        <v>0</v>
      </c>
      <c r="CX17" s="134">
        <f>'бюджет округа (района)'!AY14</f>
        <v>0</v>
      </c>
      <c r="CY17" s="134">
        <f t="shared" si="44"/>
        <v>0</v>
      </c>
      <c r="CZ17" s="134">
        <f t="shared" si="45"/>
        <v>0</v>
      </c>
      <c r="DA17" s="135">
        <f t="shared" si="17"/>
        <v>1</v>
      </c>
      <c r="DB17" s="135">
        <f t="shared" si="18"/>
        <v>1</v>
      </c>
      <c r="DC17" s="134">
        <f>'бюджет округа (района)'!BB14+'бюджеты поселений'!BB14</f>
        <v>0</v>
      </c>
      <c r="DD17" s="134">
        <f>'бюджет округа (района)'!BB14</f>
        <v>0</v>
      </c>
      <c r="DE17" s="134">
        <f t="shared" si="46"/>
        <v>0</v>
      </c>
      <c r="DF17" s="134">
        <f t="shared" si="47"/>
        <v>0</v>
      </c>
      <c r="DG17" s="135">
        <f t="shared" si="19"/>
        <v>1</v>
      </c>
      <c r="DH17" s="135">
        <f t="shared" si="20"/>
        <v>1</v>
      </c>
      <c r="DI17" s="134">
        <f>'бюджет округа (района)'!BE14+'бюджеты поселений'!BE14</f>
        <v>0</v>
      </c>
      <c r="DJ17" s="134">
        <f>'бюджет округа (района)'!BE14</f>
        <v>0</v>
      </c>
      <c r="DK17" s="134">
        <v>0</v>
      </c>
      <c r="DL17" s="134"/>
      <c r="DM17" s="135">
        <f t="shared" si="26"/>
        <v>0</v>
      </c>
      <c r="DN17" s="135">
        <f t="shared" si="27"/>
        <v>0</v>
      </c>
      <c r="DO17" s="134">
        <f>'бюджет округа (района)'!BH14+'бюджеты поселений'!BH14</f>
        <v>0</v>
      </c>
      <c r="DP17" s="134">
        <f>'бюджет округа (района)'!BH14</f>
        <v>0</v>
      </c>
      <c r="DQ17" s="134">
        <f>'бюджет округа (района)'!BI14+'бюджеты поселений'!BI14</f>
        <v>0</v>
      </c>
      <c r="DR17" s="134">
        <f>'бюджет округа (района)'!BI14</f>
        <v>0</v>
      </c>
      <c r="DS17" s="134">
        <v>50</v>
      </c>
      <c r="DT17" s="134"/>
      <c r="DU17" s="135">
        <f t="shared" si="54"/>
        <v>1</v>
      </c>
      <c r="DV17" s="135" t="e">
        <f>IF($BA$10=0,1,DT17/$BB17)</f>
        <v>#DIV/0!</v>
      </c>
      <c r="DW17" s="135">
        <f t="shared" si="55"/>
        <v>1.0204081632653061</v>
      </c>
      <c r="DX17" s="197">
        <f>IF($G17=0,1,DT17/$H17)</f>
        <v>0</v>
      </c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</row>
    <row r="18" spans="1:268" s="62" customFormat="1" ht="30.75" customHeight="1">
      <c r="A18" s="364" t="s">
        <v>33</v>
      </c>
      <c r="B18" s="313"/>
      <c r="C18" s="134">
        <v>2718</v>
      </c>
      <c r="D18" s="134">
        <v>0</v>
      </c>
      <c r="E18" s="134">
        <v>2823</v>
      </c>
      <c r="F18" s="134">
        <v>0</v>
      </c>
      <c r="G18" s="134">
        <v>3161</v>
      </c>
      <c r="H18" s="134">
        <v>0</v>
      </c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>
        <v>-134</v>
      </c>
      <c r="AX18" s="134">
        <v>0</v>
      </c>
      <c r="AY18" s="134"/>
      <c r="AZ18" s="134"/>
      <c r="BA18" s="134">
        <v>3161</v>
      </c>
      <c r="BB18" s="134">
        <v>0</v>
      </c>
      <c r="BC18" s="135">
        <f t="shared" si="28"/>
        <v>0</v>
      </c>
      <c r="BD18" s="135" t="s">
        <v>34</v>
      </c>
      <c r="BE18" s="134"/>
      <c r="BF18" s="134"/>
      <c r="BG18" s="134">
        <f>'бюджеты поселений'!AD15</f>
        <v>0</v>
      </c>
      <c r="BH18" s="134" t="s">
        <v>34</v>
      </c>
      <c r="BI18" s="134">
        <f t="shared" si="30"/>
        <v>0</v>
      </c>
      <c r="BJ18" s="134" t="s">
        <v>34</v>
      </c>
      <c r="BK18" s="135">
        <f t="shared" si="3"/>
        <v>1</v>
      </c>
      <c r="BL18" s="135" t="s">
        <v>34</v>
      </c>
      <c r="BM18" s="134">
        <f>'бюджеты поселений'!AG15</f>
        <v>0</v>
      </c>
      <c r="BN18" s="134" t="s">
        <v>34</v>
      </c>
      <c r="BO18" s="134">
        <f t="shared" si="32"/>
        <v>0</v>
      </c>
      <c r="BP18" s="134" t="s">
        <v>34</v>
      </c>
      <c r="BQ18" s="135">
        <f t="shared" si="5"/>
        <v>1</v>
      </c>
      <c r="BR18" s="135" t="s">
        <v>34</v>
      </c>
      <c r="BS18" s="134">
        <f>'бюджеты поселений'!AJ15</f>
        <v>0</v>
      </c>
      <c r="BT18" s="134" t="s">
        <v>34</v>
      </c>
      <c r="BU18" s="134">
        <f t="shared" si="34"/>
        <v>0</v>
      </c>
      <c r="BV18" s="134" t="s">
        <v>34</v>
      </c>
      <c r="BW18" s="135">
        <f t="shared" si="7"/>
        <v>1</v>
      </c>
      <c r="BX18" s="134" t="s">
        <v>34</v>
      </c>
      <c r="BY18" s="134">
        <f>'бюджеты поселений'!AM15</f>
        <v>0</v>
      </c>
      <c r="BZ18" s="134" t="s">
        <v>34</v>
      </c>
      <c r="CA18" s="134">
        <f t="shared" si="36"/>
        <v>0</v>
      </c>
      <c r="CB18" s="134" t="s">
        <v>34</v>
      </c>
      <c r="CC18" s="135">
        <f t="shared" si="9"/>
        <v>1</v>
      </c>
      <c r="CD18" s="134" t="s">
        <v>34</v>
      </c>
      <c r="CE18" s="134">
        <f>'бюджеты поселений'!AP15</f>
        <v>0</v>
      </c>
      <c r="CF18" s="134" t="s">
        <v>34</v>
      </c>
      <c r="CG18" s="134">
        <f t="shared" si="38"/>
        <v>0</v>
      </c>
      <c r="CH18" s="134" t="s">
        <v>34</v>
      </c>
      <c r="CI18" s="135">
        <f t="shared" si="11"/>
        <v>1</v>
      </c>
      <c r="CJ18" s="134" t="s">
        <v>34</v>
      </c>
      <c r="CK18" s="134">
        <f>'бюджеты поселений'!AS15</f>
        <v>0</v>
      </c>
      <c r="CL18" s="134" t="s">
        <v>34</v>
      </c>
      <c r="CM18" s="134">
        <f t="shared" si="40"/>
        <v>0</v>
      </c>
      <c r="CN18" s="134" t="s">
        <v>34</v>
      </c>
      <c r="CO18" s="135">
        <f t="shared" si="13"/>
        <v>1</v>
      </c>
      <c r="CP18" s="134" t="s">
        <v>34</v>
      </c>
      <c r="CQ18" s="134">
        <f>'бюджеты поселений'!AV15</f>
        <v>0</v>
      </c>
      <c r="CR18" s="134" t="s">
        <v>34</v>
      </c>
      <c r="CS18" s="134">
        <f t="shared" si="42"/>
        <v>0</v>
      </c>
      <c r="CT18" s="134" t="s">
        <v>34</v>
      </c>
      <c r="CU18" s="135">
        <f t="shared" si="15"/>
        <v>1</v>
      </c>
      <c r="CV18" s="134" t="s">
        <v>34</v>
      </c>
      <c r="CW18" s="134">
        <f>'бюджеты поселений'!AY15</f>
        <v>0</v>
      </c>
      <c r="CX18" s="134" t="s">
        <v>34</v>
      </c>
      <c r="CY18" s="134">
        <f t="shared" si="44"/>
        <v>0</v>
      </c>
      <c r="CZ18" s="134" t="s">
        <v>34</v>
      </c>
      <c r="DA18" s="135">
        <f t="shared" si="17"/>
        <v>1</v>
      </c>
      <c r="DB18" s="134" t="s">
        <v>34</v>
      </c>
      <c r="DC18" s="134">
        <f>'бюджеты поселений'!BB15</f>
        <v>0</v>
      </c>
      <c r="DD18" s="134" t="s">
        <v>34</v>
      </c>
      <c r="DE18" s="134">
        <f t="shared" si="46"/>
        <v>0</v>
      </c>
      <c r="DF18" s="134" t="s">
        <v>34</v>
      </c>
      <c r="DG18" s="135">
        <f t="shared" si="19"/>
        <v>1</v>
      </c>
      <c r="DH18" s="134" t="s">
        <v>34</v>
      </c>
      <c r="DI18" s="134">
        <f>'бюджеты поселений'!BE15</f>
        <v>0</v>
      </c>
      <c r="DJ18" s="134" t="s">
        <v>34</v>
      </c>
      <c r="DK18" s="134">
        <v>130</v>
      </c>
      <c r="DL18" s="134">
        <v>0</v>
      </c>
      <c r="DM18" s="135">
        <f t="shared" si="26"/>
        <v>-0.97014925373134331</v>
      </c>
      <c r="DN18" s="135">
        <f t="shared" si="27"/>
        <v>1</v>
      </c>
      <c r="DO18" s="134">
        <f>'бюджеты поселений'!BH15</f>
        <v>0</v>
      </c>
      <c r="DP18" s="134" t="s">
        <v>34</v>
      </c>
      <c r="DQ18" s="134">
        <f>'бюджеты поселений'!BI15</f>
        <v>0</v>
      </c>
      <c r="DR18" s="134" t="s">
        <v>34</v>
      </c>
      <c r="DS18" s="134">
        <v>3161</v>
      </c>
      <c r="DT18" s="134">
        <v>0</v>
      </c>
      <c r="DU18" s="135">
        <f t="shared" si="54"/>
        <v>1</v>
      </c>
      <c r="DV18" s="229" t="s">
        <v>34</v>
      </c>
      <c r="DW18" s="135">
        <f t="shared" si="55"/>
        <v>1</v>
      </c>
      <c r="DX18" s="244" t="s">
        <v>34</v>
      </c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</row>
    <row r="19" spans="1:268" s="62" customFormat="1" ht="53.25" customHeight="1">
      <c r="A19" s="364" t="s">
        <v>244</v>
      </c>
      <c r="B19" s="313"/>
      <c r="C19" s="134">
        <v>0</v>
      </c>
      <c r="D19" s="134">
        <v>0</v>
      </c>
      <c r="E19" s="134">
        <v>-2</v>
      </c>
      <c r="F19" s="134">
        <v>0</v>
      </c>
      <c r="G19" s="134">
        <v>0</v>
      </c>
      <c r="H19" s="134">
        <v>0</v>
      </c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>
        <v>0</v>
      </c>
      <c r="AX19" s="134">
        <v>0</v>
      </c>
      <c r="AY19" s="134"/>
      <c r="AZ19" s="134"/>
      <c r="BA19" s="134">
        <v>0</v>
      </c>
      <c r="BB19" s="134">
        <v>0</v>
      </c>
      <c r="BC19" s="135">
        <f t="shared" si="28"/>
        <v>1</v>
      </c>
      <c r="BD19" s="135"/>
      <c r="BE19" s="134"/>
      <c r="BF19" s="134"/>
      <c r="BG19" s="134"/>
      <c r="BH19" s="134"/>
      <c r="BI19" s="134"/>
      <c r="BJ19" s="134"/>
      <c r="BK19" s="135"/>
      <c r="BL19" s="135"/>
      <c r="BM19" s="134"/>
      <c r="BN19" s="134"/>
      <c r="BO19" s="134"/>
      <c r="BP19" s="134"/>
      <c r="BQ19" s="135"/>
      <c r="BR19" s="135"/>
      <c r="BS19" s="134"/>
      <c r="BT19" s="134"/>
      <c r="BU19" s="134"/>
      <c r="BV19" s="134"/>
      <c r="BW19" s="135"/>
      <c r="BX19" s="134"/>
      <c r="BY19" s="134"/>
      <c r="BZ19" s="134"/>
      <c r="CA19" s="134"/>
      <c r="CB19" s="134"/>
      <c r="CC19" s="135"/>
      <c r="CD19" s="134"/>
      <c r="CE19" s="134"/>
      <c r="CF19" s="134"/>
      <c r="CG19" s="134"/>
      <c r="CH19" s="134"/>
      <c r="CI19" s="135"/>
      <c r="CJ19" s="134"/>
      <c r="CK19" s="134"/>
      <c r="CL19" s="134"/>
      <c r="CM19" s="134"/>
      <c r="CN19" s="134"/>
      <c r="CO19" s="135"/>
      <c r="CP19" s="134"/>
      <c r="CQ19" s="134"/>
      <c r="CR19" s="134"/>
      <c r="CS19" s="134"/>
      <c r="CT19" s="134"/>
      <c r="CU19" s="135"/>
      <c r="CV19" s="134"/>
      <c r="CW19" s="134"/>
      <c r="CX19" s="134"/>
      <c r="CY19" s="134"/>
      <c r="CZ19" s="134"/>
      <c r="DA19" s="135"/>
      <c r="DB19" s="134"/>
      <c r="DC19" s="134"/>
      <c r="DD19" s="134"/>
      <c r="DE19" s="134"/>
      <c r="DF19" s="134"/>
      <c r="DG19" s="135"/>
      <c r="DH19" s="134"/>
      <c r="DI19" s="134"/>
      <c r="DJ19" s="134"/>
      <c r="DK19" s="134">
        <v>0</v>
      </c>
      <c r="DL19" s="134">
        <v>0</v>
      </c>
      <c r="DM19" s="135">
        <f t="shared" si="26"/>
        <v>1</v>
      </c>
      <c r="DN19" s="135">
        <f t="shared" si="27"/>
        <v>1</v>
      </c>
      <c r="DO19" s="134"/>
      <c r="DP19" s="134"/>
      <c r="DQ19" s="134"/>
      <c r="DR19" s="134"/>
      <c r="DS19" s="134">
        <v>0</v>
      </c>
      <c r="DT19" s="134">
        <v>0</v>
      </c>
      <c r="DU19" s="135" t="e">
        <f t="shared" si="54"/>
        <v>#DIV/0!</v>
      </c>
      <c r="DV19" s="135"/>
      <c r="DW19" s="135">
        <f t="shared" si="55"/>
        <v>1</v>
      </c>
      <c r="DX19" s="244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</row>
    <row r="20" spans="1:268" s="62" customFormat="1" ht="18" customHeight="1">
      <c r="A20" s="362" t="s">
        <v>219</v>
      </c>
      <c r="B20" s="363"/>
      <c r="C20" s="235">
        <f t="shared" ref="C20:H20" si="56">SUM(C21+C22)</f>
        <v>10057</v>
      </c>
      <c r="D20" s="235">
        <f t="shared" si="56"/>
        <v>0</v>
      </c>
      <c r="E20" s="235">
        <f t="shared" si="56"/>
        <v>8434</v>
      </c>
      <c r="F20" s="235">
        <f t="shared" si="56"/>
        <v>0</v>
      </c>
      <c r="G20" s="235">
        <f t="shared" si="56"/>
        <v>6754</v>
      </c>
      <c r="H20" s="235">
        <f t="shared" si="56"/>
        <v>0</v>
      </c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>
        <f>SUM(AW21+AW22)</f>
        <v>1406</v>
      </c>
      <c r="AX20" s="235">
        <f>SUM(AX21+AX22)</f>
        <v>0</v>
      </c>
      <c r="AY20" s="235"/>
      <c r="AZ20" s="235"/>
      <c r="BA20" s="235">
        <f>SUM(BA21+BA22)</f>
        <v>6914</v>
      </c>
      <c r="BB20" s="235">
        <f>SUM(BB21+BB22)</f>
        <v>0</v>
      </c>
      <c r="BC20" s="230">
        <f t="shared" si="28"/>
        <v>2.3689665383476388E-2</v>
      </c>
      <c r="BD20" s="230" t="s">
        <v>34</v>
      </c>
      <c r="BE20" s="235"/>
      <c r="BF20" s="235"/>
      <c r="BG20" s="235">
        <f>'бюджеты поселений'!AD16</f>
        <v>0</v>
      </c>
      <c r="BH20" s="235" t="s">
        <v>34</v>
      </c>
      <c r="BI20" s="235">
        <f t="shared" si="30"/>
        <v>0</v>
      </c>
      <c r="BJ20" s="235" t="s">
        <v>34</v>
      </c>
      <c r="BK20" s="230">
        <f t="shared" si="3"/>
        <v>1</v>
      </c>
      <c r="BL20" s="230" t="s">
        <v>34</v>
      </c>
      <c r="BM20" s="235">
        <f>'бюджеты поселений'!AG16</f>
        <v>0</v>
      </c>
      <c r="BN20" s="235" t="s">
        <v>34</v>
      </c>
      <c r="BO20" s="235">
        <f t="shared" si="32"/>
        <v>0</v>
      </c>
      <c r="BP20" s="235" t="s">
        <v>34</v>
      </c>
      <c r="BQ20" s="230">
        <f t="shared" si="5"/>
        <v>1</v>
      </c>
      <c r="BR20" s="230" t="s">
        <v>34</v>
      </c>
      <c r="BS20" s="235">
        <f>'бюджеты поселений'!AJ16</f>
        <v>0</v>
      </c>
      <c r="BT20" s="235" t="s">
        <v>34</v>
      </c>
      <c r="BU20" s="235">
        <f t="shared" si="34"/>
        <v>0</v>
      </c>
      <c r="BV20" s="235" t="s">
        <v>34</v>
      </c>
      <c r="BW20" s="230">
        <f t="shared" si="7"/>
        <v>1</v>
      </c>
      <c r="BX20" s="235" t="s">
        <v>34</v>
      </c>
      <c r="BY20" s="235">
        <f>'бюджеты поселений'!AM16</f>
        <v>0</v>
      </c>
      <c r="BZ20" s="235" t="s">
        <v>34</v>
      </c>
      <c r="CA20" s="235">
        <f t="shared" si="36"/>
        <v>0</v>
      </c>
      <c r="CB20" s="235" t="s">
        <v>34</v>
      </c>
      <c r="CC20" s="230">
        <f t="shared" si="9"/>
        <v>1</v>
      </c>
      <c r="CD20" s="235" t="s">
        <v>34</v>
      </c>
      <c r="CE20" s="235">
        <f>'бюджеты поселений'!AP16</f>
        <v>0</v>
      </c>
      <c r="CF20" s="235" t="s">
        <v>34</v>
      </c>
      <c r="CG20" s="235">
        <f t="shared" si="38"/>
        <v>0</v>
      </c>
      <c r="CH20" s="235" t="s">
        <v>34</v>
      </c>
      <c r="CI20" s="230">
        <f t="shared" si="11"/>
        <v>1</v>
      </c>
      <c r="CJ20" s="235" t="s">
        <v>34</v>
      </c>
      <c r="CK20" s="235">
        <f>'бюджеты поселений'!AS16</f>
        <v>0</v>
      </c>
      <c r="CL20" s="235" t="s">
        <v>34</v>
      </c>
      <c r="CM20" s="235">
        <f t="shared" si="40"/>
        <v>0</v>
      </c>
      <c r="CN20" s="235" t="s">
        <v>34</v>
      </c>
      <c r="CO20" s="230">
        <f t="shared" si="13"/>
        <v>1</v>
      </c>
      <c r="CP20" s="235" t="s">
        <v>34</v>
      </c>
      <c r="CQ20" s="235">
        <f>'бюджеты поселений'!AV16</f>
        <v>0</v>
      </c>
      <c r="CR20" s="235" t="s">
        <v>34</v>
      </c>
      <c r="CS20" s="235">
        <f t="shared" si="42"/>
        <v>0</v>
      </c>
      <c r="CT20" s="235" t="s">
        <v>34</v>
      </c>
      <c r="CU20" s="230">
        <f t="shared" si="15"/>
        <v>1</v>
      </c>
      <c r="CV20" s="235" t="s">
        <v>34</v>
      </c>
      <c r="CW20" s="235">
        <f>'бюджеты поселений'!AY16</f>
        <v>0</v>
      </c>
      <c r="CX20" s="235" t="s">
        <v>34</v>
      </c>
      <c r="CY20" s="235">
        <f t="shared" si="44"/>
        <v>0</v>
      </c>
      <c r="CZ20" s="235" t="s">
        <v>34</v>
      </c>
      <c r="DA20" s="230">
        <f t="shared" si="17"/>
        <v>1</v>
      </c>
      <c r="DB20" s="235" t="s">
        <v>34</v>
      </c>
      <c r="DC20" s="235">
        <f>'бюджеты поселений'!BB16</f>
        <v>0</v>
      </c>
      <c r="DD20" s="235" t="s">
        <v>34</v>
      </c>
      <c r="DE20" s="235">
        <f t="shared" si="46"/>
        <v>0</v>
      </c>
      <c r="DF20" s="235" t="s">
        <v>34</v>
      </c>
      <c r="DG20" s="230">
        <f t="shared" si="19"/>
        <v>1</v>
      </c>
      <c r="DH20" s="235" t="s">
        <v>34</v>
      </c>
      <c r="DI20" s="235">
        <f>'бюджеты поселений'!BE16</f>
        <v>0</v>
      </c>
      <c r="DJ20" s="235" t="s">
        <v>34</v>
      </c>
      <c r="DK20" s="235">
        <f>SUM(DK21+DK22)</f>
        <v>1439</v>
      </c>
      <c r="DL20" s="235">
        <f>SUM(DL21+DL22)</f>
        <v>0</v>
      </c>
      <c r="DM20" s="230">
        <f t="shared" si="26"/>
        <v>1.0234708392603129</v>
      </c>
      <c r="DN20" s="230">
        <f t="shared" si="27"/>
        <v>1</v>
      </c>
      <c r="DO20" s="235">
        <f>'бюджеты поселений'!BH16</f>
        <v>0</v>
      </c>
      <c r="DP20" s="235" t="s">
        <v>34</v>
      </c>
      <c r="DQ20" s="235">
        <f>'бюджеты поселений'!BI16</f>
        <v>0</v>
      </c>
      <c r="DR20" s="235" t="s">
        <v>34</v>
      </c>
      <c r="DS20" s="235">
        <f>SUM(DS21+DS22)</f>
        <v>6569</v>
      </c>
      <c r="DT20" s="235">
        <f>SUM(DT21+DT22)</f>
        <v>0</v>
      </c>
      <c r="DU20" s="230">
        <f t="shared" si="54"/>
        <v>0.95010124385305172</v>
      </c>
      <c r="DV20" s="236" t="s">
        <v>34</v>
      </c>
      <c r="DW20" s="230">
        <f t="shared" si="55"/>
        <v>0.97260882440035534</v>
      </c>
      <c r="DX20" s="245" t="s">
        <v>34</v>
      </c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</row>
    <row r="21" spans="1:268" s="219" customFormat="1" ht="18" customHeight="1">
      <c r="A21" s="213" t="s">
        <v>221</v>
      </c>
      <c r="B21" s="220"/>
      <c r="C21" s="215">
        <v>8611</v>
      </c>
      <c r="D21" s="215">
        <v>0</v>
      </c>
      <c r="E21" s="215">
        <v>6845</v>
      </c>
      <c r="F21" s="215">
        <v>0</v>
      </c>
      <c r="G21" s="215">
        <v>5229</v>
      </c>
      <c r="H21" s="215">
        <v>0</v>
      </c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>
        <v>1205</v>
      </c>
      <c r="AX21" s="215">
        <v>0</v>
      </c>
      <c r="AY21" s="215"/>
      <c r="AZ21" s="215"/>
      <c r="BA21" s="215">
        <v>5389</v>
      </c>
      <c r="BB21" s="215"/>
      <c r="BC21" s="216"/>
      <c r="BD21" s="216"/>
      <c r="BE21" s="215"/>
      <c r="BF21" s="215"/>
      <c r="BG21" s="215"/>
      <c r="BH21" s="215"/>
      <c r="BI21" s="215"/>
      <c r="BJ21" s="215"/>
      <c r="BK21" s="216"/>
      <c r="BL21" s="216"/>
      <c r="BM21" s="215"/>
      <c r="BN21" s="215"/>
      <c r="BO21" s="215"/>
      <c r="BP21" s="215"/>
      <c r="BQ21" s="216"/>
      <c r="BR21" s="216"/>
      <c r="BS21" s="215"/>
      <c r="BT21" s="215"/>
      <c r="BU21" s="215"/>
      <c r="BV21" s="215"/>
      <c r="BW21" s="216"/>
      <c r="BX21" s="215"/>
      <c r="BY21" s="215"/>
      <c r="BZ21" s="215"/>
      <c r="CA21" s="215"/>
      <c r="CB21" s="215"/>
      <c r="CC21" s="216"/>
      <c r="CD21" s="215"/>
      <c r="CE21" s="215"/>
      <c r="CF21" s="215"/>
      <c r="CG21" s="215"/>
      <c r="CH21" s="215"/>
      <c r="CI21" s="216"/>
      <c r="CJ21" s="215"/>
      <c r="CK21" s="215"/>
      <c r="CL21" s="215"/>
      <c r="CM21" s="215"/>
      <c r="CN21" s="215"/>
      <c r="CO21" s="216"/>
      <c r="CP21" s="215"/>
      <c r="CQ21" s="215"/>
      <c r="CR21" s="215"/>
      <c r="CS21" s="215"/>
      <c r="CT21" s="215"/>
      <c r="CU21" s="216"/>
      <c r="CV21" s="215"/>
      <c r="CW21" s="215"/>
      <c r="CX21" s="215"/>
      <c r="CY21" s="215"/>
      <c r="CZ21" s="215"/>
      <c r="DA21" s="216"/>
      <c r="DB21" s="215"/>
      <c r="DC21" s="215"/>
      <c r="DD21" s="215"/>
      <c r="DE21" s="215"/>
      <c r="DF21" s="215"/>
      <c r="DG21" s="216"/>
      <c r="DH21" s="215"/>
      <c r="DI21" s="215"/>
      <c r="DJ21" s="215"/>
      <c r="DK21" s="215">
        <v>1410</v>
      </c>
      <c r="DL21" s="215">
        <v>0</v>
      </c>
      <c r="DM21" s="216">
        <f t="shared" ref="DM21:DM22" si="57">IF(AW21=0,1,DK21/AW21)</f>
        <v>1.1701244813278009</v>
      </c>
      <c r="DN21" s="216">
        <f t="shared" ref="DN21:DN22" si="58">IF(AX21=0,1,DL21/AX21)</f>
        <v>1</v>
      </c>
      <c r="DO21" s="215"/>
      <c r="DP21" s="215"/>
      <c r="DQ21" s="215"/>
      <c r="DR21" s="215"/>
      <c r="DS21" s="215">
        <v>5389</v>
      </c>
      <c r="DT21" s="215">
        <v>0</v>
      </c>
      <c r="DU21" s="135">
        <f t="shared" si="54"/>
        <v>1</v>
      </c>
      <c r="DV21" s="229" t="s">
        <v>34</v>
      </c>
      <c r="DW21" s="135">
        <f t="shared" si="55"/>
        <v>1.0305985848154522</v>
      </c>
      <c r="DX21" s="244" t="s">
        <v>34</v>
      </c>
      <c r="DY21" s="217"/>
      <c r="DZ21" s="217"/>
      <c r="EA21" s="217"/>
      <c r="EB21" s="217"/>
      <c r="EC21" s="217"/>
      <c r="ED21" s="217"/>
      <c r="EE21" s="217"/>
      <c r="EF21" s="217"/>
      <c r="EG21" s="217"/>
      <c r="EH21" s="217"/>
      <c r="EI21" s="217"/>
      <c r="EJ21" s="217"/>
      <c r="EK21" s="218"/>
      <c r="EL21" s="218"/>
      <c r="EM21" s="218"/>
      <c r="EN21" s="218"/>
      <c r="EO21" s="218"/>
      <c r="EP21" s="218"/>
      <c r="EQ21" s="218"/>
      <c r="ER21" s="218"/>
      <c r="ES21" s="218"/>
      <c r="ET21" s="218"/>
      <c r="EU21" s="218"/>
      <c r="EV21" s="218"/>
      <c r="EW21" s="218"/>
      <c r="EX21" s="218"/>
      <c r="EY21" s="218"/>
      <c r="EZ21" s="218"/>
      <c r="FA21" s="218"/>
      <c r="FB21" s="218"/>
      <c r="FC21" s="218"/>
      <c r="FD21" s="218"/>
      <c r="FE21" s="218"/>
      <c r="FF21" s="218"/>
      <c r="FG21" s="218"/>
      <c r="FH21" s="218"/>
      <c r="FI21" s="218"/>
      <c r="FJ21" s="218"/>
      <c r="FK21" s="218"/>
      <c r="FL21" s="218"/>
      <c r="FM21" s="218"/>
      <c r="FN21" s="218"/>
      <c r="FO21" s="218"/>
      <c r="FP21" s="218"/>
      <c r="FQ21" s="218"/>
      <c r="FR21" s="218"/>
      <c r="FS21" s="218"/>
      <c r="FT21" s="218"/>
      <c r="FU21" s="218"/>
      <c r="FV21" s="218"/>
      <c r="FW21" s="218"/>
      <c r="FX21" s="218"/>
      <c r="FY21" s="218"/>
      <c r="FZ21" s="218"/>
      <c r="GA21" s="218"/>
      <c r="GB21" s="218"/>
      <c r="GC21" s="218"/>
      <c r="GD21" s="218"/>
      <c r="GE21" s="218"/>
      <c r="GF21" s="218"/>
      <c r="GG21" s="218"/>
      <c r="GH21" s="218"/>
      <c r="GI21" s="218"/>
      <c r="GJ21" s="218"/>
      <c r="GK21" s="218"/>
      <c r="GL21" s="218"/>
      <c r="GM21" s="218"/>
      <c r="GN21" s="218"/>
      <c r="GO21" s="218"/>
      <c r="GP21" s="218"/>
      <c r="GQ21" s="218"/>
      <c r="GR21" s="218"/>
      <c r="GS21" s="218"/>
      <c r="GT21" s="218"/>
      <c r="GU21" s="218"/>
      <c r="GV21" s="218"/>
      <c r="GW21" s="218"/>
      <c r="GX21" s="218"/>
      <c r="GY21" s="218"/>
      <c r="GZ21" s="218"/>
      <c r="HA21" s="218"/>
      <c r="HB21" s="218"/>
      <c r="HC21" s="218"/>
      <c r="HD21" s="218"/>
      <c r="HE21" s="218"/>
      <c r="HF21" s="218"/>
      <c r="HG21" s="218"/>
      <c r="HH21" s="218"/>
      <c r="HI21" s="218"/>
      <c r="HJ21" s="218"/>
      <c r="HK21" s="218"/>
      <c r="HL21" s="218"/>
      <c r="HM21" s="218"/>
      <c r="HN21" s="218"/>
      <c r="HO21" s="218"/>
      <c r="HP21" s="218"/>
      <c r="HQ21" s="218"/>
      <c r="HR21" s="218"/>
      <c r="HS21" s="218"/>
      <c r="HT21" s="218"/>
      <c r="HU21" s="218"/>
      <c r="HV21" s="218"/>
      <c r="HW21" s="218"/>
      <c r="HX21" s="218"/>
      <c r="HY21" s="218"/>
      <c r="HZ21" s="218"/>
      <c r="IA21" s="218"/>
      <c r="IB21" s="218"/>
      <c r="IC21" s="218"/>
      <c r="ID21" s="218"/>
      <c r="IE21" s="218"/>
      <c r="IF21" s="218"/>
      <c r="IG21" s="218"/>
      <c r="IH21" s="218"/>
      <c r="II21" s="218"/>
      <c r="IJ21" s="218"/>
      <c r="IK21" s="218"/>
      <c r="IL21" s="218"/>
      <c r="IM21" s="218"/>
      <c r="IN21" s="218"/>
      <c r="IO21" s="218"/>
      <c r="IP21" s="218"/>
      <c r="IQ21" s="218"/>
      <c r="IR21" s="218"/>
      <c r="IS21" s="218"/>
      <c r="IT21" s="218"/>
      <c r="IU21" s="218"/>
      <c r="IV21" s="218"/>
      <c r="IW21" s="218"/>
      <c r="IX21" s="218"/>
      <c r="IY21" s="218"/>
      <c r="IZ21" s="218"/>
      <c r="JA21" s="218"/>
      <c r="JB21" s="218"/>
      <c r="JC21" s="218"/>
      <c r="JD21" s="218"/>
      <c r="JE21" s="218"/>
      <c r="JF21" s="218"/>
      <c r="JG21" s="218"/>
      <c r="JH21" s="218"/>
    </row>
    <row r="22" spans="1:268" s="219" customFormat="1" ht="18" customHeight="1">
      <c r="A22" s="213" t="s">
        <v>220</v>
      </c>
      <c r="B22" s="220"/>
      <c r="C22" s="215">
        <v>1446</v>
      </c>
      <c r="D22" s="215">
        <v>0</v>
      </c>
      <c r="E22" s="215">
        <v>1589</v>
      </c>
      <c r="F22" s="215">
        <v>0</v>
      </c>
      <c r="G22" s="215">
        <v>1525</v>
      </c>
      <c r="H22" s="215">
        <v>0</v>
      </c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>
        <v>201</v>
      </c>
      <c r="AX22" s="215">
        <v>0</v>
      </c>
      <c r="AY22" s="215"/>
      <c r="AZ22" s="215"/>
      <c r="BA22" s="215">
        <v>1525</v>
      </c>
      <c r="BB22" s="215"/>
      <c r="BC22" s="216"/>
      <c r="BD22" s="216"/>
      <c r="BE22" s="215"/>
      <c r="BF22" s="215"/>
      <c r="BG22" s="215"/>
      <c r="BH22" s="215"/>
      <c r="BI22" s="215"/>
      <c r="BJ22" s="215"/>
      <c r="BK22" s="216"/>
      <c r="BL22" s="216"/>
      <c r="BM22" s="215"/>
      <c r="BN22" s="215"/>
      <c r="BO22" s="215"/>
      <c r="BP22" s="215"/>
      <c r="BQ22" s="216"/>
      <c r="BR22" s="216"/>
      <c r="BS22" s="215"/>
      <c r="BT22" s="215"/>
      <c r="BU22" s="215"/>
      <c r="BV22" s="215"/>
      <c r="BW22" s="216"/>
      <c r="BX22" s="215"/>
      <c r="BY22" s="215"/>
      <c r="BZ22" s="215"/>
      <c r="CA22" s="215"/>
      <c r="CB22" s="215"/>
      <c r="CC22" s="216"/>
      <c r="CD22" s="215"/>
      <c r="CE22" s="215"/>
      <c r="CF22" s="215"/>
      <c r="CG22" s="215"/>
      <c r="CH22" s="215"/>
      <c r="CI22" s="216"/>
      <c r="CJ22" s="215"/>
      <c r="CK22" s="215"/>
      <c r="CL22" s="215"/>
      <c r="CM22" s="215"/>
      <c r="CN22" s="215"/>
      <c r="CO22" s="216"/>
      <c r="CP22" s="215"/>
      <c r="CQ22" s="215"/>
      <c r="CR22" s="215"/>
      <c r="CS22" s="215"/>
      <c r="CT22" s="215"/>
      <c r="CU22" s="216"/>
      <c r="CV22" s="215"/>
      <c r="CW22" s="215"/>
      <c r="CX22" s="215"/>
      <c r="CY22" s="215"/>
      <c r="CZ22" s="215"/>
      <c r="DA22" s="216"/>
      <c r="DB22" s="215"/>
      <c r="DC22" s="215"/>
      <c r="DD22" s="215"/>
      <c r="DE22" s="215"/>
      <c r="DF22" s="215"/>
      <c r="DG22" s="216"/>
      <c r="DH22" s="215"/>
      <c r="DI22" s="215"/>
      <c r="DJ22" s="215"/>
      <c r="DK22" s="215">
        <v>29</v>
      </c>
      <c r="DL22" s="215">
        <v>0</v>
      </c>
      <c r="DM22" s="216">
        <f t="shared" si="57"/>
        <v>0.14427860696517414</v>
      </c>
      <c r="DN22" s="216">
        <f t="shared" si="58"/>
        <v>1</v>
      </c>
      <c r="DO22" s="215"/>
      <c r="DP22" s="215"/>
      <c r="DQ22" s="215"/>
      <c r="DR22" s="215"/>
      <c r="DS22" s="215">
        <v>1180</v>
      </c>
      <c r="DT22" s="215">
        <v>0</v>
      </c>
      <c r="DU22" s="135">
        <f t="shared" si="54"/>
        <v>0.77377049180327873</v>
      </c>
      <c r="DV22" s="229" t="s">
        <v>34</v>
      </c>
      <c r="DW22" s="135">
        <f t="shared" si="55"/>
        <v>0.77377049180327873</v>
      </c>
      <c r="DX22" s="244" t="s">
        <v>34</v>
      </c>
      <c r="DY22" s="217"/>
      <c r="DZ22" s="217"/>
      <c r="EA22" s="217"/>
      <c r="EB22" s="217"/>
      <c r="EC22" s="217"/>
      <c r="ED22" s="217"/>
      <c r="EE22" s="217"/>
      <c r="EF22" s="217"/>
      <c r="EG22" s="217"/>
      <c r="EH22" s="217"/>
      <c r="EI22" s="217"/>
      <c r="EJ22" s="217"/>
      <c r="EK22" s="218"/>
      <c r="EL22" s="218"/>
      <c r="EM22" s="218"/>
      <c r="EN22" s="218"/>
      <c r="EO22" s="218"/>
      <c r="EP22" s="218"/>
      <c r="EQ22" s="218"/>
      <c r="ER22" s="218"/>
      <c r="ES22" s="218"/>
      <c r="ET22" s="218"/>
      <c r="EU22" s="218"/>
      <c r="EV22" s="218"/>
      <c r="EW22" s="218"/>
      <c r="EX22" s="218"/>
      <c r="EY22" s="218"/>
      <c r="EZ22" s="218"/>
      <c r="FA22" s="218"/>
      <c r="FB22" s="218"/>
      <c r="FC22" s="218"/>
      <c r="FD22" s="218"/>
      <c r="FE22" s="218"/>
      <c r="FF22" s="218"/>
      <c r="FG22" s="218"/>
      <c r="FH22" s="218"/>
      <c r="FI22" s="218"/>
      <c r="FJ22" s="218"/>
      <c r="FK22" s="218"/>
      <c r="FL22" s="218"/>
      <c r="FM22" s="218"/>
      <c r="FN22" s="218"/>
      <c r="FO22" s="218"/>
      <c r="FP22" s="218"/>
      <c r="FQ22" s="218"/>
      <c r="FR22" s="218"/>
      <c r="FS22" s="218"/>
      <c r="FT22" s="218"/>
      <c r="FU22" s="218"/>
      <c r="FV22" s="218"/>
      <c r="FW22" s="218"/>
      <c r="FX22" s="218"/>
      <c r="FY22" s="218"/>
      <c r="FZ22" s="218"/>
      <c r="GA22" s="218"/>
      <c r="GB22" s="218"/>
      <c r="GC22" s="218"/>
      <c r="GD22" s="218"/>
      <c r="GE22" s="218"/>
      <c r="GF22" s="218"/>
      <c r="GG22" s="218"/>
      <c r="GH22" s="218"/>
      <c r="GI22" s="218"/>
      <c r="GJ22" s="218"/>
      <c r="GK22" s="218"/>
      <c r="GL22" s="218"/>
      <c r="GM22" s="218"/>
      <c r="GN22" s="218"/>
      <c r="GO22" s="218"/>
      <c r="GP22" s="218"/>
      <c r="GQ22" s="218"/>
      <c r="GR22" s="218"/>
      <c r="GS22" s="218"/>
      <c r="GT22" s="218"/>
      <c r="GU22" s="218"/>
      <c r="GV22" s="218"/>
      <c r="GW22" s="218"/>
      <c r="GX22" s="218"/>
      <c r="GY22" s="218"/>
      <c r="GZ22" s="218"/>
      <c r="HA22" s="218"/>
      <c r="HB22" s="218"/>
      <c r="HC22" s="218"/>
      <c r="HD22" s="218"/>
      <c r="HE22" s="218"/>
      <c r="HF22" s="218"/>
      <c r="HG22" s="218"/>
      <c r="HH22" s="218"/>
      <c r="HI22" s="218"/>
      <c r="HJ22" s="218"/>
      <c r="HK22" s="218"/>
      <c r="HL22" s="218"/>
      <c r="HM22" s="218"/>
      <c r="HN22" s="218"/>
      <c r="HO22" s="218"/>
      <c r="HP22" s="218"/>
      <c r="HQ22" s="218"/>
      <c r="HR22" s="218"/>
      <c r="HS22" s="218"/>
      <c r="HT22" s="218"/>
      <c r="HU22" s="218"/>
      <c r="HV22" s="218"/>
      <c r="HW22" s="218"/>
      <c r="HX22" s="218"/>
      <c r="HY22" s="218"/>
      <c r="HZ22" s="218"/>
      <c r="IA22" s="218"/>
      <c r="IB22" s="218"/>
      <c r="IC22" s="218"/>
      <c r="ID22" s="218"/>
      <c r="IE22" s="218"/>
      <c r="IF22" s="218"/>
      <c r="IG22" s="218"/>
      <c r="IH22" s="218"/>
      <c r="II22" s="218"/>
      <c r="IJ22" s="218"/>
      <c r="IK22" s="218"/>
      <c r="IL22" s="218"/>
      <c r="IM22" s="218"/>
      <c r="IN22" s="218"/>
      <c r="IO22" s="218"/>
      <c r="IP22" s="218"/>
      <c r="IQ22" s="218"/>
      <c r="IR22" s="218"/>
      <c r="IS22" s="218"/>
      <c r="IT22" s="218"/>
      <c r="IU22" s="218"/>
      <c r="IV22" s="218"/>
      <c r="IW22" s="218"/>
      <c r="IX22" s="218"/>
      <c r="IY22" s="218"/>
      <c r="IZ22" s="218"/>
      <c r="JA22" s="218"/>
      <c r="JB22" s="218"/>
      <c r="JC22" s="218"/>
      <c r="JD22" s="218"/>
      <c r="JE22" s="218"/>
      <c r="JF22" s="218"/>
      <c r="JG22" s="218"/>
      <c r="JH22" s="218"/>
    </row>
    <row r="23" spans="1:268" s="62" customFormat="1" ht="33" customHeight="1">
      <c r="A23" s="364" t="s">
        <v>36</v>
      </c>
      <c r="B23" s="313"/>
      <c r="C23" s="134">
        <v>733</v>
      </c>
      <c r="D23" s="134">
        <v>733</v>
      </c>
      <c r="E23" s="134">
        <v>1375</v>
      </c>
      <c r="F23" s="134">
        <v>1375</v>
      </c>
      <c r="G23" s="134">
        <v>1980</v>
      </c>
      <c r="H23" s="134">
        <v>1980</v>
      </c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>
        <v>619</v>
      </c>
      <c r="AX23" s="134">
        <v>619</v>
      </c>
      <c r="AY23" s="134"/>
      <c r="AZ23" s="134"/>
      <c r="BA23" s="134">
        <v>2500</v>
      </c>
      <c r="BB23" s="134"/>
      <c r="BC23" s="135">
        <f t="shared" si="28"/>
        <v>0.26262626262626254</v>
      </c>
      <c r="BD23" s="135">
        <f t="shared" si="29"/>
        <v>-1</v>
      </c>
      <c r="BE23" s="134"/>
      <c r="BF23" s="134"/>
      <c r="BG23" s="134">
        <f>'бюджет округа (района)'!AD17+'бюджеты поселений'!AD17</f>
        <v>0</v>
      </c>
      <c r="BH23" s="134">
        <f>'бюджет округа (района)'!AD17</f>
        <v>0</v>
      </c>
      <c r="BI23" s="134">
        <f t="shared" si="30"/>
        <v>0</v>
      </c>
      <c r="BJ23" s="134">
        <f t="shared" ref="BJ23:BJ43" si="59">BF23+BH23</f>
        <v>0</v>
      </c>
      <c r="BK23" s="135">
        <f t="shared" si="3"/>
        <v>1</v>
      </c>
      <c r="BL23" s="135">
        <f t="shared" si="4"/>
        <v>1</v>
      </c>
      <c r="BM23" s="134">
        <f>'бюджет округа (района)'!AG17+'бюджеты поселений'!AG17</f>
        <v>0</v>
      </c>
      <c r="BN23" s="134">
        <f>'бюджет округа (района)'!AG17</f>
        <v>0</v>
      </c>
      <c r="BO23" s="134">
        <f t="shared" si="32"/>
        <v>0</v>
      </c>
      <c r="BP23" s="134">
        <f t="shared" ref="BP23:BP43" si="60">BJ23+BN23</f>
        <v>0</v>
      </c>
      <c r="BQ23" s="135">
        <f t="shared" si="5"/>
        <v>1</v>
      </c>
      <c r="BR23" s="135">
        <f t="shared" si="6"/>
        <v>1</v>
      </c>
      <c r="BS23" s="134">
        <f>'бюджет округа (района)'!AJ17+'бюджеты поселений'!AJ17</f>
        <v>0</v>
      </c>
      <c r="BT23" s="134">
        <f>'бюджет округа (района)'!AJ17</f>
        <v>0</v>
      </c>
      <c r="BU23" s="134">
        <f t="shared" si="34"/>
        <v>0</v>
      </c>
      <c r="BV23" s="134">
        <f t="shared" ref="BV23:BV43" si="61">BP23+BT23</f>
        <v>0</v>
      </c>
      <c r="BW23" s="135">
        <f t="shared" si="7"/>
        <v>1</v>
      </c>
      <c r="BX23" s="135">
        <f t="shared" si="8"/>
        <v>1</v>
      </c>
      <c r="BY23" s="134">
        <f>'бюджет округа (района)'!AM17+'бюджеты поселений'!AM17</f>
        <v>0</v>
      </c>
      <c r="BZ23" s="134">
        <f>'бюджет округа (района)'!AM17</f>
        <v>0</v>
      </c>
      <c r="CA23" s="134">
        <f t="shared" si="36"/>
        <v>0</v>
      </c>
      <c r="CB23" s="134">
        <f t="shared" ref="CB23:CB43" si="62">BV23+BZ23</f>
        <v>0</v>
      </c>
      <c r="CC23" s="135">
        <f t="shared" si="9"/>
        <v>1</v>
      </c>
      <c r="CD23" s="135">
        <f t="shared" si="10"/>
        <v>1</v>
      </c>
      <c r="CE23" s="134">
        <f>'бюджет округа (района)'!AP17+'бюджеты поселений'!AP17</f>
        <v>0</v>
      </c>
      <c r="CF23" s="134">
        <f>'бюджет округа (района)'!AP17</f>
        <v>0</v>
      </c>
      <c r="CG23" s="134">
        <f t="shared" si="38"/>
        <v>0</v>
      </c>
      <c r="CH23" s="134">
        <f t="shared" ref="CH23:CH43" si="63">CB23+CF23</f>
        <v>0</v>
      </c>
      <c r="CI23" s="135">
        <f t="shared" si="11"/>
        <v>1</v>
      </c>
      <c r="CJ23" s="135">
        <f t="shared" si="12"/>
        <v>1</v>
      </c>
      <c r="CK23" s="134">
        <f>'бюджет округа (района)'!AS17+'бюджеты поселений'!AS17</f>
        <v>0</v>
      </c>
      <c r="CL23" s="134">
        <f>'бюджет округа (района)'!AS17</f>
        <v>0</v>
      </c>
      <c r="CM23" s="134">
        <f t="shared" si="40"/>
        <v>0</v>
      </c>
      <c r="CN23" s="134">
        <f t="shared" ref="CN23:CN43" si="64">CH23+CL23</f>
        <v>0</v>
      </c>
      <c r="CO23" s="135">
        <f t="shared" si="13"/>
        <v>1</v>
      </c>
      <c r="CP23" s="135">
        <f t="shared" si="14"/>
        <v>1</v>
      </c>
      <c r="CQ23" s="134">
        <f>'бюджет округа (района)'!AV17+'бюджеты поселений'!AV17</f>
        <v>0</v>
      </c>
      <c r="CR23" s="134">
        <f>'бюджет округа (района)'!AV17</f>
        <v>0</v>
      </c>
      <c r="CS23" s="134">
        <f t="shared" si="42"/>
        <v>0</v>
      </c>
      <c r="CT23" s="134">
        <f t="shared" ref="CT23:CT43" si="65">CN23+CR23</f>
        <v>0</v>
      </c>
      <c r="CU23" s="135">
        <f t="shared" si="15"/>
        <v>1</v>
      </c>
      <c r="CV23" s="135">
        <f t="shared" si="16"/>
        <v>1</v>
      </c>
      <c r="CW23" s="134">
        <f>'бюджет округа (района)'!AY17+'бюджеты поселений'!AY17</f>
        <v>0</v>
      </c>
      <c r="CX23" s="134">
        <f>'бюджет округа (района)'!AY17</f>
        <v>0</v>
      </c>
      <c r="CY23" s="134">
        <f t="shared" si="44"/>
        <v>0</v>
      </c>
      <c r="CZ23" s="134">
        <f t="shared" ref="CZ23:CZ43" si="66">CT23+CX23</f>
        <v>0</v>
      </c>
      <c r="DA23" s="135">
        <f t="shared" si="17"/>
        <v>1</v>
      </c>
      <c r="DB23" s="135">
        <f t="shared" si="18"/>
        <v>1</v>
      </c>
      <c r="DC23" s="134">
        <f>'бюджет округа (района)'!BB17+'бюджеты поселений'!BB17</f>
        <v>0</v>
      </c>
      <c r="DD23" s="134">
        <f>'бюджет округа (района)'!BB17</f>
        <v>0</v>
      </c>
      <c r="DE23" s="134">
        <f t="shared" si="46"/>
        <v>0</v>
      </c>
      <c r="DF23" s="134">
        <f t="shared" ref="DF23:DF43" si="67">CZ23+DD23</f>
        <v>0</v>
      </c>
      <c r="DG23" s="135">
        <f t="shared" si="19"/>
        <v>1</v>
      </c>
      <c r="DH23" s="135">
        <f t="shared" si="20"/>
        <v>1</v>
      </c>
      <c r="DI23" s="134">
        <f>'бюджет округа (района)'!BE17+'бюджеты поселений'!BE17</f>
        <v>0</v>
      </c>
      <c r="DJ23" s="134">
        <f>'бюджет округа (района)'!BE17</f>
        <v>0</v>
      </c>
      <c r="DK23" s="134">
        <v>-117</v>
      </c>
      <c r="DL23" s="134"/>
      <c r="DM23" s="135">
        <f t="shared" si="26"/>
        <v>-0.18901453957996769</v>
      </c>
      <c r="DN23" s="135">
        <f t="shared" si="27"/>
        <v>0</v>
      </c>
      <c r="DO23" s="134">
        <f>'бюджет округа (района)'!BH17+'бюджеты поселений'!BH17</f>
        <v>0</v>
      </c>
      <c r="DP23" s="134">
        <f>'бюджет округа (района)'!BH17</f>
        <v>0</v>
      </c>
      <c r="DQ23" s="134">
        <f>'бюджет округа (района)'!BI17+'бюджеты поселений'!BI17</f>
        <v>0</v>
      </c>
      <c r="DR23" s="134">
        <f>'бюджет округа (района)'!BI17</f>
        <v>0</v>
      </c>
      <c r="DS23" s="134">
        <v>2500</v>
      </c>
      <c r="DT23" s="134"/>
      <c r="DU23" s="135">
        <f t="shared" si="54"/>
        <v>1</v>
      </c>
      <c r="DV23" s="135" t="e">
        <f>IF($BA$10=0,1,DT23/$BB23)</f>
        <v>#DIV/0!</v>
      </c>
      <c r="DW23" s="135">
        <f t="shared" si="55"/>
        <v>1.2626262626262625</v>
      </c>
      <c r="DX23" s="197">
        <f>IF($G23=0,1,DT23/$H23)</f>
        <v>0</v>
      </c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</row>
    <row r="24" spans="1:268" s="62" customFormat="1" ht="18" customHeight="1">
      <c r="A24" s="364" t="s">
        <v>37</v>
      </c>
      <c r="B24" s="313"/>
      <c r="C24" s="134">
        <v>3199</v>
      </c>
      <c r="D24" s="134">
        <v>3177</v>
      </c>
      <c r="E24" s="134">
        <v>3238</v>
      </c>
      <c r="F24" s="134">
        <v>3222</v>
      </c>
      <c r="G24" s="134">
        <v>3058</v>
      </c>
      <c r="H24" s="134">
        <v>3048</v>
      </c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>
        <v>786</v>
      </c>
      <c r="AX24" s="134">
        <v>783</v>
      </c>
      <c r="AY24" s="134"/>
      <c r="AZ24" s="134"/>
      <c r="BA24" s="134">
        <v>2799</v>
      </c>
      <c r="BB24" s="134"/>
      <c r="BC24" s="135">
        <f t="shared" si="28"/>
        <v>-8.4695879659908435E-2</v>
      </c>
      <c r="BD24" s="135">
        <f t="shared" si="29"/>
        <v>-1</v>
      </c>
      <c r="BE24" s="134"/>
      <c r="BF24" s="134"/>
      <c r="BG24" s="134">
        <f>'бюджет округа (района)'!AD18+'бюджеты поселений'!AD18</f>
        <v>0</v>
      </c>
      <c r="BH24" s="134">
        <f>'бюджет округа (района)'!AD18</f>
        <v>0</v>
      </c>
      <c r="BI24" s="134">
        <f t="shared" si="30"/>
        <v>0</v>
      </c>
      <c r="BJ24" s="134">
        <f t="shared" si="59"/>
        <v>0</v>
      </c>
      <c r="BK24" s="135">
        <f t="shared" si="3"/>
        <v>1</v>
      </c>
      <c r="BL24" s="135">
        <f t="shared" si="4"/>
        <v>1</v>
      </c>
      <c r="BM24" s="134">
        <f>'бюджет округа (района)'!AG18+'бюджеты поселений'!AG18</f>
        <v>0</v>
      </c>
      <c r="BN24" s="134">
        <f>'бюджет округа (района)'!AG18</f>
        <v>0</v>
      </c>
      <c r="BO24" s="134">
        <f t="shared" si="32"/>
        <v>0</v>
      </c>
      <c r="BP24" s="134">
        <f t="shared" si="60"/>
        <v>0</v>
      </c>
      <c r="BQ24" s="135">
        <f t="shared" si="5"/>
        <v>1</v>
      </c>
      <c r="BR24" s="135">
        <f t="shared" si="6"/>
        <v>1</v>
      </c>
      <c r="BS24" s="134">
        <f>'бюджет округа (района)'!AJ18+'бюджеты поселений'!AJ18</f>
        <v>0</v>
      </c>
      <c r="BT24" s="134">
        <f>'бюджет округа (района)'!AJ18</f>
        <v>0</v>
      </c>
      <c r="BU24" s="134">
        <f t="shared" si="34"/>
        <v>0</v>
      </c>
      <c r="BV24" s="134">
        <f t="shared" si="61"/>
        <v>0</v>
      </c>
      <c r="BW24" s="135">
        <f t="shared" si="7"/>
        <v>1</v>
      </c>
      <c r="BX24" s="135">
        <f t="shared" si="8"/>
        <v>1</v>
      </c>
      <c r="BY24" s="134">
        <f>'бюджет округа (района)'!AM18+'бюджеты поселений'!AM18</f>
        <v>0</v>
      </c>
      <c r="BZ24" s="134">
        <f>'бюджет округа (района)'!AM18</f>
        <v>0</v>
      </c>
      <c r="CA24" s="134">
        <f t="shared" si="36"/>
        <v>0</v>
      </c>
      <c r="CB24" s="134">
        <f t="shared" si="62"/>
        <v>0</v>
      </c>
      <c r="CC24" s="135">
        <f t="shared" si="9"/>
        <v>1</v>
      </c>
      <c r="CD24" s="135">
        <f t="shared" si="10"/>
        <v>1</v>
      </c>
      <c r="CE24" s="134">
        <f>'бюджет округа (района)'!AP18+'бюджеты поселений'!AP18</f>
        <v>0</v>
      </c>
      <c r="CF24" s="134">
        <f>'бюджет округа (района)'!AP18</f>
        <v>0</v>
      </c>
      <c r="CG24" s="134">
        <f t="shared" si="38"/>
        <v>0</v>
      </c>
      <c r="CH24" s="134">
        <f t="shared" si="63"/>
        <v>0</v>
      </c>
      <c r="CI24" s="135">
        <f t="shared" si="11"/>
        <v>1</v>
      </c>
      <c r="CJ24" s="135">
        <f t="shared" si="12"/>
        <v>1</v>
      </c>
      <c r="CK24" s="134">
        <f>'бюджет округа (района)'!AS18+'бюджеты поселений'!AS18</f>
        <v>0</v>
      </c>
      <c r="CL24" s="134">
        <f>'бюджет округа (района)'!AS18</f>
        <v>0</v>
      </c>
      <c r="CM24" s="134">
        <f t="shared" si="40"/>
        <v>0</v>
      </c>
      <c r="CN24" s="134">
        <f t="shared" si="64"/>
        <v>0</v>
      </c>
      <c r="CO24" s="135">
        <f t="shared" si="13"/>
        <v>1</v>
      </c>
      <c r="CP24" s="135">
        <f t="shared" si="14"/>
        <v>1</v>
      </c>
      <c r="CQ24" s="134">
        <f>'бюджет округа (района)'!AV18+'бюджеты поселений'!AV18</f>
        <v>0</v>
      </c>
      <c r="CR24" s="134">
        <f>'бюджет округа (района)'!AV18</f>
        <v>0</v>
      </c>
      <c r="CS24" s="134">
        <f t="shared" si="42"/>
        <v>0</v>
      </c>
      <c r="CT24" s="134">
        <f t="shared" si="65"/>
        <v>0</v>
      </c>
      <c r="CU24" s="135">
        <f t="shared" si="15"/>
        <v>1</v>
      </c>
      <c r="CV24" s="135">
        <f t="shared" si="16"/>
        <v>1</v>
      </c>
      <c r="CW24" s="134">
        <f>'бюджет округа (района)'!AY18+'бюджеты поселений'!AY18</f>
        <v>0</v>
      </c>
      <c r="CX24" s="134">
        <f>'бюджет округа (района)'!AY18</f>
        <v>0</v>
      </c>
      <c r="CY24" s="134">
        <f t="shared" si="44"/>
        <v>0</v>
      </c>
      <c r="CZ24" s="134">
        <f t="shared" si="66"/>
        <v>0</v>
      </c>
      <c r="DA24" s="135">
        <f t="shared" si="17"/>
        <v>1</v>
      </c>
      <c r="DB24" s="135">
        <f t="shared" si="18"/>
        <v>1</v>
      </c>
      <c r="DC24" s="134">
        <f>'бюджет округа (района)'!BB18+'бюджеты поселений'!BB18</f>
        <v>0</v>
      </c>
      <c r="DD24" s="134">
        <f>'бюджет округа (района)'!BB18</f>
        <v>0</v>
      </c>
      <c r="DE24" s="134">
        <f t="shared" si="46"/>
        <v>0</v>
      </c>
      <c r="DF24" s="134">
        <f t="shared" si="67"/>
        <v>0</v>
      </c>
      <c r="DG24" s="135">
        <f t="shared" si="19"/>
        <v>1</v>
      </c>
      <c r="DH24" s="135">
        <f t="shared" si="20"/>
        <v>1</v>
      </c>
      <c r="DI24" s="134">
        <f>'бюджет округа (района)'!BE18+'бюджеты поселений'!BE18</f>
        <v>0</v>
      </c>
      <c r="DJ24" s="134">
        <f>'бюджет округа (района)'!BE18</f>
        <v>0</v>
      </c>
      <c r="DK24" s="134">
        <v>186</v>
      </c>
      <c r="DL24" s="134"/>
      <c r="DM24" s="135">
        <f t="shared" si="26"/>
        <v>0.23664122137404581</v>
      </c>
      <c r="DN24" s="135">
        <f t="shared" si="27"/>
        <v>0</v>
      </c>
      <c r="DO24" s="134">
        <f>'бюджет округа (района)'!BH18+'бюджеты поселений'!BH18</f>
        <v>0</v>
      </c>
      <c r="DP24" s="134">
        <f>'бюджет округа (района)'!BH18</f>
        <v>0</v>
      </c>
      <c r="DQ24" s="134">
        <f>'бюджет округа (района)'!BI18+'бюджеты поселений'!BI18</f>
        <v>0</v>
      </c>
      <c r="DR24" s="134">
        <f>'бюджет округа (района)'!BI18</f>
        <v>0</v>
      </c>
      <c r="DS24" s="134">
        <v>2608</v>
      </c>
      <c r="DT24" s="134"/>
      <c r="DU24" s="135">
        <f t="shared" si="54"/>
        <v>0.93176134333690608</v>
      </c>
      <c r="DV24" s="135" t="e">
        <f>IF($BA$10=0,1,DT24/$BB24)</f>
        <v>#DIV/0!</v>
      </c>
      <c r="DW24" s="216">
        <f t="shared" ref="DW24" si="68">IF($G24=0,1,DS24/$G24)</f>
        <v>0.85284499672988878</v>
      </c>
      <c r="DX24" s="243">
        <f t="shared" ref="DX24" si="69">IF($G24=0,1,DT24/$G24)</f>
        <v>0</v>
      </c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</row>
    <row r="25" spans="1:268" s="62" customFormat="1" ht="21.6" customHeight="1">
      <c r="A25" s="364" t="s">
        <v>38</v>
      </c>
      <c r="B25" s="313"/>
      <c r="C25" s="134">
        <v>9474</v>
      </c>
      <c r="D25" s="134">
        <v>0</v>
      </c>
      <c r="E25" s="134">
        <v>10355</v>
      </c>
      <c r="F25" s="134">
        <v>0</v>
      </c>
      <c r="G25" s="134">
        <v>12647</v>
      </c>
      <c r="H25" s="134">
        <v>0</v>
      </c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>
        <v>2827</v>
      </c>
      <c r="AX25" s="134">
        <v>0</v>
      </c>
      <c r="AY25" s="134"/>
      <c r="AZ25" s="134"/>
      <c r="BA25" s="134">
        <v>10840</v>
      </c>
      <c r="BB25" s="134">
        <v>0</v>
      </c>
      <c r="BC25" s="135">
        <f t="shared" si="28"/>
        <v>-0.14287973432434564</v>
      </c>
      <c r="BD25" s="135">
        <f t="shared" si="29"/>
        <v>1</v>
      </c>
      <c r="BE25" s="134"/>
      <c r="BF25" s="134"/>
      <c r="BG25" s="134">
        <f>'бюджет округа (района)'!AD19+'бюджеты поселений'!AD19</f>
        <v>0</v>
      </c>
      <c r="BH25" s="134">
        <f>'бюджет округа (района)'!AD19</f>
        <v>0</v>
      </c>
      <c r="BI25" s="134">
        <f t="shared" si="30"/>
        <v>0</v>
      </c>
      <c r="BJ25" s="134">
        <f t="shared" si="59"/>
        <v>0</v>
      </c>
      <c r="BK25" s="135">
        <f t="shared" si="3"/>
        <v>1</v>
      </c>
      <c r="BL25" s="135">
        <f t="shared" si="4"/>
        <v>1</v>
      </c>
      <c r="BM25" s="134">
        <f>'бюджет округа (района)'!AG19+'бюджеты поселений'!AG19</f>
        <v>0</v>
      </c>
      <c r="BN25" s="134">
        <f>'бюджет округа (района)'!AG19</f>
        <v>0</v>
      </c>
      <c r="BO25" s="134">
        <f t="shared" si="32"/>
        <v>0</v>
      </c>
      <c r="BP25" s="134">
        <f t="shared" si="60"/>
        <v>0</v>
      </c>
      <c r="BQ25" s="135">
        <f t="shared" si="5"/>
        <v>1</v>
      </c>
      <c r="BR25" s="135">
        <f t="shared" si="6"/>
        <v>1</v>
      </c>
      <c r="BS25" s="134">
        <f>'бюджет округа (района)'!AJ19+'бюджеты поселений'!AJ19</f>
        <v>0</v>
      </c>
      <c r="BT25" s="134">
        <f>'бюджет округа (района)'!AJ19</f>
        <v>0</v>
      </c>
      <c r="BU25" s="134">
        <f t="shared" si="34"/>
        <v>0</v>
      </c>
      <c r="BV25" s="134">
        <f t="shared" si="61"/>
        <v>0</v>
      </c>
      <c r="BW25" s="135">
        <f t="shared" si="7"/>
        <v>1</v>
      </c>
      <c r="BX25" s="135">
        <f t="shared" si="8"/>
        <v>1</v>
      </c>
      <c r="BY25" s="134">
        <f>'бюджет округа (района)'!AM19+'бюджеты поселений'!AM19</f>
        <v>0</v>
      </c>
      <c r="BZ25" s="134">
        <f>'бюджет округа (района)'!AM19</f>
        <v>0</v>
      </c>
      <c r="CA25" s="134">
        <f t="shared" si="36"/>
        <v>0</v>
      </c>
      <c r="CB25" s="134">
        <f t="shared" si="62"/>
        <v>0</v>
      </c>
      <c r="CC25" s="135">
        <f t="shared" si="9"/>
        <v>1</v>
      </c>
      <c r="CD25" s="135">
        <f t="shared" si="10"/>
        <v>1</v>
      </c>
      <c r="CE25" s="134">
        <f>'бюджет округа (района)'!AP19+'бюджеты поселений'!AP19</f>
        <v>0</v>
      </c>
      <c r="CF25" s="134">
        <f>'бюджет округа (района)'!AP19</f>
        <v>0</v>
      </c>
      <c r="CG25" s="134">
        <f t="shared" si="38"/>
        <v>0</v>
      </c>
      <c r="CH25" s="134">
        <f t="shared" si="63"/>
        <v>0</v>
      </c>
      <c r="CI25" s="135">
        <f t="shared" si="11"/>
        <v>1</v>
      </c>
      <c r="CJ25" s="135">
        <f t="shared" si="12"/>
        <v>1</v>
      </c>
      <c r="CK25" s="134">
        <f>'бюджет округа (района)'!AS19+'бюджеты поселений'!AS19</f>
        <v>0</v>
      </c>
      <c r="CL25" s="134">
        <f>'бюджет округа (района)'!AS19</f>
        <v>0</v>
      </c>
      <c r="CM25" s="134">
        <f t="shared" si="40"/>
        <v>0</v>
      </c>
      <c r="CN25" s="134">
        <f t="shared" si="64"/>
        <v>0</v>
      </c>
      <c r="CO25" s="135">
        <f t="shared" si="13"/>
        <v>1</v>
      </c>
      <c r="CP25" s="135">
        <f t="shared" si="14"/>
        <v>1</v>
      </c>
      <c r="CQ25" s="134">
        <f>'бюджет округа (района)'!AV19+'бюджеты поселений'!AV19</f>
        <v>0</v>
      </c>
      <c r="CR25" s="134">
        <f>'бюджет округа (района)'!AV19</f>
        <v>0</v>
      </c>
      <c r="CS25" s="134">
        <f t="shared" si="42"/>
        <v>0</v>
      </c>
      <c r="CT25" s="134">
        <f t="shared" si="65"/>
        <v>0</v>
      </c>
      <c r="CU25" s="135">
        <f t="shared" si="15"/>
        <v>1</v>
      </c>
      <c r="CV25" s="135">
        <f t="shared" si="16"/>
        <v>1</v>
      </c>
      <c r="CW25" s="134">
        <f>'бюджет округа (района)'!AY19+'бюджеты поселений'!AY19</f>
        <v>0</v>
      </c>
      <c r="CX25" s="134">
        <f>'бюджет округа (района)'!AY19</f>
        <v>0</v>
      </c>
      <c r="CY25" s="134">
        <f t="shared" si="44"/>
        <v>0</v>
      </c>
      <c r="CZ25" s="134">
        <f t="shared" si="66"/>
        <v>0</v>
      </c>
      <c r="DA25" s="135">
        <f t="shared" si="17"/>
        <v>1</v>
      </c>
      <c r="DB25" s="135">
        <f t="shared" si="18"/>
        <v>1</v>
      </c>
      <c r="DC25" s="134">
        <f>'бюджет округа (района)'!BB19+'бюджеты поселений'!BB19</f>
        <v>0</v>
      </c>
      <c r="DD25" s="134">
        <f>'бюджет округа (района)'!BB19</f>
        <v>0</v>
      </c>
      <c r="DE25" s="134">
        <f t="shared" si="46"/>
        <v>0</v>
      </c>
      <c r="DF25" s="134">
        <f t="shared" si="67"/>
        <v>0</v>
      </c>
      <c r="DG25" s="135">
        <f t="shared" si="19"/>
        <v>1</v>
      </c>
      <c r="DH25" s="135">
        <f t="shared" si="20"/>
        <v>1</v>
      </c>
      <c r="DI25" s="134">
        <f>'бюджет округа (района)'!BE19+'бюджеты поселений'!BE19</f>
        <v>0</v>
      </c>
      <c r="DJ25" s="134">
        <f>'бюджет округа (района)'!BE19</f>
        <v>0</v>
      </c>
      <c r="DK25" s="134">
        <v>2914</v>
      </c>
      <c r="DL25" s="134">
        <v>0</v>
      </c>
      <c r="DM25" s="135">
        <f t="shared" si="26"/>
        <v>1.0307746727980192</v>
      </c>
      <c r="DN25" s="135">
        <f t="shared" si="27"/>
        <v>1</v>
      </c>
      <c r="DO25" s="134">
        <f>'бюджет округа (района)'!BH19+'бюджеты поселений'!BH19</f>
        <v>0</v>
      </c>
      <c r="DP25" s="134">
        <f>'бюджет округа (района)'!BH19</f>
        <v>0</v>
      </c>
      <c r="DQ25" s="134">
        <f>'бюджет округа (района)'!BI19+'бюджеты поселений'!BI19</f>
        <v>0</v>
      </c>
      <c r="DR25" s="134">
        <f>'бюджет округа (района)'!BI19</f>
        <v>0</v>
      </c>
      <c r="DS25" s="134">
        <v>10840</v>
      </c>
      <c r="DT25" s="134">
        <v>0</v>
      </c>
      <c r="DU25" s="135">
        <f t="shared" si="54"/>
        <v>1</v>
      </c>
      <c r="DV25" s="229" t="s">
        <v>34</v>
      </c>
      <c r="DW25" s="135">
        <f t="shared" ref="DW25:DW56" si="70">IF($G25=0,1,DS25/$G25)</f>
        <v>0.85712026567565436</v>
      </c>
      <c r="DX25" s="244" t="s">
        <v>34</v>
      </c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</row>
    <row r="26" spans="1:268" s="62" customFormat="1" ht="29.45" customHeight="1">
      <c r="A26" s="362" t="s">
        <v>222</v>
      </c>
      <c r="B26" s="363"/>
      <c r="C26" s="235">
        <f t="shared" ref="C26:J26" si="71">SUM(C27:C31)</f>
        <v>9822</v>
      </c>
      <c r="D26" s="235">
        <f t="shared" si="71"/>
        <v>4987</v>
      </c>
      <c r="E26" s="235">
        <f t="shared" si="71"/>
        <v>9639</v>
      </c>
      <c r="F26" s="235">
        <f t="shared" si="71"/>
        <v>4936</v>
      </c>
      <c r="G26" s="235">
        <f t="shared" si="71"/>
        <v>9451</v>
      </c>
      <c r="H26" s="235">
        <f t="shared" si="71"/>
        <v>5034</v>
      </c>
      <c r="I26" s="235">
        <f t="shared" si="71"/>
        <v>0</v>
      </c>
      <c r="J26" s="235">
        <f t="shared" si="71"/>
        <v>0</v>
      </c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>
        <f>SUM(AW27:AW31)</f>
        <v>1700</v>
      </c>
      <c r="AX26" s="235">
        <f>SUM(AX27:AX31)</f>
        <v>811</v>
      </c>
      <c r="AY26" s="235"/>
      <c r="AZ26" s="235"/>
      <c r="BA26" s="235">
        <f>SUM(BA27:BA31)</f>
        <v>9449</v>
      </c>
      <c r="BB26" s="235">
        <f>SUM(BB27:BB31)</f>
        <v>0</v>
      </c>
      <c r="BC26" s="235">
        <f>SUM(BC27:BC31)</f>
        <v>0</v>
      </c>
      <c r="BD26" s="235">
        <f>SUM(BD27:BD31)</f>
        <v>0</v>
      </c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5"/>
      <c r="CF26" s="235"/>
      <c r="CG26" s="235"/>
      <c r="CH26" s="235"/>
      <c r="CI26" s="235"/>
      <c r="CJ26" s="235"/>
      <c r="CK26" s="235"/>
      <c r="CL26" s="235"/>
      <c r="CM26" s="235"/>
      <c r="CN26" s="235"/>
      <c r="CO26" s="235"/>
      <c r="CP26" s="235"/>
      <c r="CQ26" s="235">
        <f>SUM(CQ27:CQ31)</f>
        <v>0</v>
      </c>
      <c r="CR26" s="235">
        <f>SUM(CR27:CR31)</f>
        <v>0</v>
      </c>
      <c r="CS26" s="235"/>
      <c r="CT26" s="235"/>
      <c r="CU26" s="230"/>
      <c r="CV26" s="230"/>
      <c r="CW26" s="235"/>
      <c r="CX26" s="235"/>
      <c r="CY26" s="235"/>
      <c r="CZ26" s="235"/>
      <c r="DA26" s="230"/>
      <c r="DB26" s="230"/>
      <c r="DC26" s="235"/>
      <c r="DD26" s="235"/>
      <c r="DE26" s="235"/>
      <c r="DF26" s="235"/>
      <c r="DG26" s="230"/>
      <c r="DH26" s="230"/>
      <c r="DI26" s="235"/>
      <c r="DJ26" s="235"/>
      <c r="DK26" s="235">
        <f>SUM(DK27:DK31)</f>
        <v>1305</v>
      </c>
      <c r="DL26" s="235">
        <f>SUM(DL27:DL31)</f>
        <v>0</v>
      </c>
      <c r="DM26" s="230">
        <f t="shared" si="26"/>
        <v>0.76764705882352946</v>
      </c>
      <c r="DN26" s="230">
        <f t="shared" si="27"/>
        <v>0</v>
      </c>
      <c r="DO26" s="235">
        <f>'бюджет округа (района)'!BH20+'бюджеты поселений'!BH20</f>
        <v>0</v>
      </c>
      <c r="DP26" s="235">
        <f>'бюджет округа (района)'!BH20</f>
        <v>0</v>
      </c>
      <c r="DQ26" s="235">
        <f>'бюджет округа (района)'!BI20+'бюджеты поселений'!BI20</f>
        <v>0</v>
      </c>
      <c r="DR26" s="235">
        <f>'бюджет округа (района)'!BI20</f>
        <v>0</v>
      </c>
      <c r="DS26" s="235">
        <f>SUM(DS27:DS31)</f>
        <v>9451</v>
      </c>
      <c r="DT26" s="235">
        <f>SUM(DT27:DT31)</f>
        <v>0</v>
      </c>
      <c r="DU26" s="230">
        <f t="shared" si="54"/>
        <v>1.0002116626097999</v>
      </c>
      <c r="DV26" s="230" t="e">
        <f t="shared" ref="DV26:DV39" si="72">IF($BA$10=0,1,DT26/$BB26)</f>
        <v>#DIV/0!</v>
      </c>
      <c r="DW26" s="230">
        <f t="shared" si="70"/>
        <v>1</v>
      </c>
      <c r="DX26" s="246">
        <f t="shared" ref="DX26:DX60" si="73">IF($G26=0,1,DT26/$H26)</f>
        <v>0</v>
      </c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</row>
    <row r="27" spans="1:268" s="219" customFormat="1" ht="38.450000000000003" customHeight="1">
      <c r="A27" s="213" t="s">
        <v>223</v>
      </c>
      <c r="B27" s="220"/>
      <c r="C27" s="215">
        <v>3888</v>
      </c>
      <c r="D27" s="215">
        <v>2784</v>
      </c>
      <c r="E27" s="215">
        <v>3331</v>
      </c>
      <c r="F27" s="215">
        <v>2711</v>
      </c>
      <c r="G27" s="215">
        <v>4392</v>
      </c>
      <c r="H27" s="215">
        <v>3312</v>
      </c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>
        <v>692</v>
      </c>
      <c r="AX27" s="215">
        <v>553</v>
      </c>
      <c r="AY27" s="215"/>
      <c r="AZ27" s="215"/>
      <c r="BA27" s="215">
        <v>4392</v>
      </c>
      <c r="BB27" s="215"/>
      <c r="BC27" s="216"/>
      <c r="BD27" s="216"/>
      <c r="BE27" s="215"/>
      <c r="BF27" s="215"/>
      <c r="BG27" s="215"/>
      <c r="BH27" s="215"/>
      <c r="BI27" s="215"/>
      <c r="BJ27" s="215"/>
      <c r="BK27" s="216"/>
      <c r="BL27" s="216"/>
      <c r="BM27" s="215"/>
      <c r="BN27" s="215"/>
      <c r="BO27" s="215"/>
      <c r="BP27" s="215"/>
      <c r="BQ27" s="216"/>
      <c r="BR27" s="216"/>
      <c r="BS27" s="215"/>
      <c r="BT27" s="215"/>
      <c r="BU27" s="215"/>
      <c r="BV27" s="215"/>
      <c r="BW27" s="216"/>
      <c r="BX27" s="216"/>
      <c r="BY27" s="215"/>
      <c r="BZ27" s="215"/>
      <c r="CA27" s="215"/>
      <c r="CB27" s="215"/>
      <c r="CC27" s="216"/>
      <c r="CD27" s="216"/>
      <c r="CE27" s="215"/>
      <c r="CF27" s="215"/>
      <c r="CG27" s="215"/>
      <c r="CH27" s="215"/>
      <c r="CI27" s="216"/>
      <c r="CJ27" s="216"/>
      <c r="CK27" s="215"/>
      <c r="CL27" s="215"/>
      <c r="CM27" s="215"/>
      <c r="CN27" s="215"/>
      <c r="CO27" s="216"/>
      <c r="CP27" s="216"/>
      <c r="CQ27" s="215"/>
      <c r="CR27" s="215"/>
      <c r="CS27" s="215"/>
      <c r="CT27" s="215"/>
      <c r="CU27" s="216"/>
      <c r="CV27" s="216"/>
      <c r="CW27" s="215"/>
      <c r="CX27" s="215"/>
      <c r="CY27" s="215"/>
      <c r="CZ27" s="215"/>
      <c r="DA27" s="216"/>
      <c r="DB27" s="216"/>
      <c r="DC27" s="215"/>
      <c r="DD27" s="215"/>
      <c r="DE27" s="215"/>
      <c r="DF27" s="215"/>
      <c r="DG27" s="216"/>
      <c r="DH27" s="216"/>
      <c r="DI27" s="215"/>
      <c r="DJ27" s="215"/>
      <c r="DK27" s="215">
        <v>732</v>
      </c>
      <c r="DL27" s="215"/>
      <c r="DM27" s="216">
        <f t="shared" ref="DM27:DM31" si="74">IF(AW27=0,1,DK27/AW27)</f>
        <v>1.0578034682080926</v>
      </c>
      <c r="DN27" s="216">
        <f t="shared" ref="DN27:DN31" si="75">IF(AX27=0,1,DL27/AX27)</f>
        <v>0</v>
      </c>
      <c r="DO27" s="215"/>
      <c r="DP27" s="215"/>
      <c r="DQ27" s="215"/>
      <c r="DR27" s="215"/>
      <c r="DS27" s="215">
        <v>4394</v>
      </c>
      <c r="DT27" s="215"/>
      <c r="DU27" s="135">
        <f t="shared" si="54"/>
        <v>1.0004553734061932</v>
      </c>
      <c r="DV27" s="135" t="e">
        <f t="shared" si="72"/>
        <v>#DIV/0!</v>
      </c>
      <c r="DW27" s="135">
        <f t="shared" si="70"/>
        <v>1.0004553734061932</v>
      </c>
      <c r="DX27" s="197">
        <f t="shared" si="73"/>
        <v>0</v>
      </c>
      <c r="DY27" s="217"/>
      <c r="DZ27" s="217"/>
      <c r="EA27" s="217"/>
      <c r="EB27" s="217"/>
      <c r="EC27" s="217"/>
      <c r="ED27" s="217"/>
      <c r="EE27" s="217"/>
      <c r="EF27" s="217"/>
      <c r="EG27" s="217"/>
      <c r="EH27" s="217"/>
      <c r="EI27" s="217"/>
      <c r="EJ27" s="217"/>
      <c r="EK27" s="218"/>
      <c r="EL27" s="218"/>
      <c r="EM27" s="218"/>
      <c r="EN27" s="218"/>
      <c r="EO27" s="218"/>
      <c r="EP27" s="218"/>
      <c r="EQ27" s="218"/>
      <c r="ER27" s="218"/>
      <c r="ES27" s="218"/>
      <c r="ET27" s="218"/>
      <c r="EU27" s="218"/>
      <c r="EV27" s="218"/>
      <c r="EW27" s="218"/>
      <c r="EX27" s="218"/>
      <c r="EY27" s="218"/>
      <c r="EZ27" s="218"/>
      <c r="FA27" s="218"/>
      <c r="FB27" s="218"/>
      <c r="FC27" s="218"/>
      <c r="FD27" s="218"/>
      <c r="FE27" s="218"/>
      <c r="FF27" s="218"/>
      <c r="FG27" s="218"/>
      <c r="FH27" s="218"/>
      <c r="FI27" s="218"/>
      <c r="FJ27" s="218"/>
      <c r="FK27" s="218"/>
      <c r="FL27" s="218"/>
      <c r="FM27" s="218"/>
      <c r="FN27" s="218"/>
      <c r="FO27" s="218"/>
      <c r="FP27" s="218"/>
      <c r="FQ27" s="218"/>
      <c r="FR27" s="218"/>
      <c r="FS27" s="218"/>
      <c r="FT27" s="218"/>
      <c r="FU27" s="218"/>
      <c r="FV27" s="218"/>
      <c r="FW27" s="218"/>
      <c r="FX27" s="218"/>
      <c r="FY27" s="218"/>
      <c r="FZ27" s="218"/>
      <c r="GA27" s="218"/>
      <c r="GB27" s="218"/>
      <c r="GC27" s="218"/>
      <c r="GD27" s="218"/>
      <c r="GE27" s="218"/>
      <c r="GF27" s="218"/>
      <c r="GG27" s="218"/>
      <c r="GH27" s="218"/>
      <c r="GI27" s="218"/>
      <c r="GJ27" s="218"/>
      <c r="GK27" s="218"/>
      <c r="GL27" s="218"/>
      <c r="GM27" s="218"/>
      <c r="GN27" s="218"/>
      <c r="GO27" s="218"/>
      <c r="GP27" s="218"/>
      <c r="GQ27" s="218"/>
      <c r="GR27" s="218"/>
      <c r="GS27" s="218"/>
      <c r="GT27" s="218"/>
      <c r="GU27" s="218"/>
      <c r="GV27" s="218"/>
      <c r="GW27" s="218"/>
      <c r="GX27" s="218"/>
      <c r="GY27" s="218"/>
      <c r="GZ27" s="218"/>
      <c r="HA27" s="218"/>
      <c r="HB27" s="218"/>
      <c r="HC27" s="218"/>
      <c r="HD27" s="218"/>
      <c r="HE27" s="218"/>
      <c r="HF27" s="218"/>
      <c r="HG27" s="218"/>
      <c r="HH27" s="218"/>
      <c r="HI27" s="218"/>
      <c r="HJ27" s="218"/>
      <c r="HK27" s="218"/>
      <c r="HL27" s="218"/>
      <c r="HM27" s="218"/>
      <c r="HN27" s="218"/>
      <c r="HO27" s="218"/>
      <c r="HP27" s="218"/>
      <c r="HQ27" s="218"/>
      <c r="HR27" s="218"/>
      <c r="HS27" s="218"/>
      <c r="HT27" s="218"/>
      <c r="HU27" s="218"/>
      <c r="HV27" s="218"/>
      <c r="HW27" s="218"/>
      <c r="HX27" s="218"/>
      <c r="HY27" s="218"/>
      <c r="HZ27" s="218"/>
      <c r="IA27" s="218"/>
      <c r="IB27" s="218"/>
      <c r="IC27" s="218"/>
      <c r="ID27" s="218"/>
      <c r="IE27" s="218"/>
      <c r="IF27" s="218"/>
      <c r="IG27" s="218"/>
      <c r="IH27" s="218"/>
      <c r="II27" s="218"/>
      <c r="IJ27" s="218"/>
      <c r="IK27" s="218"/>
      <c r="IL27" s="218"/>
      <c r="IM27" s="218"/>
      <c r="IN27" s="218"/>
      <c r="IO27" s="218"/>
      <c r="IP27" s="218"/>
      <c r="IQ27" s="218"/>
      <c r="IR27" s="218"/>
      <c r="IS27" s="218"/>
      <c r="IT27" s="218"/>
      <c r="IU27" s="218"/>
      <c r="IV27" s="218"/>
      <c r="IW27" s="218"/>
      <c r="IX27" s="218"/>
      <c r="IY27" s="218"/>
      <c r="IZ27" s="218"/>
      <c r="JA27" s="218"/>
      <c r="JB27" s="218"/>
      <c r="JC27" s="218"/>
      <c r="JD27" s="218"/>
      <c r="JE27" s="218"/>
      <c r="JF27" s="218"/>
      <c r="JG27" s="218"/>
      <c r="JH27" s="218"/>
    </row>
    <row r="28" spans="1:268" s="219" customFormat="1" ht="44.25" customHeight="1">
      <c r="A28" s="213" t="s">
        <v>224</v>
      </c>
      <c r="B28" s="220"/>
      <c r="C28" s="215">
        <v>670</v>
      </c>
      <c r="D28" s="215">
        <v>469</v>
      </c>
      <c r="E28" s="215">
        <v>598</v>
      </c>
      <c r="F28" s="215">
        <v>431</v>
      </c>
      <c r="G28" s="215">
        <v>551</v>
      </c>
      <c r="H28" s="215">
        <v>446</v>
      </c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>
        <v>145</v>
      </c>
      <c r="AX28" s="215">
        <v>118</v>
      </c>
      <c r="AY28" s="215"/>
      <c r="AZ28" s="215"/>
      <c r="BA28" s="215">
        <v>550</v>
      </c>
      <c r="BB28" s="215"/>
      <c r="BC28" s="216"/>
      <c r="BD28" s="216"/>
      <c r="BE28" s="215"/>
      <c r="BF28" s="215"/>
      <c r="BG28" s="215"/>
      <c r="BH28" s="215"/>
      <c r="BI28" s="215"/>
      <c r="BJ28" s="215"/>
      <c r="BK28" s="216"/>
      <c r="BL28" s="216"/>
      <c r="BM28" s="215"/>
      <c r="BN28" s="215"/>
      <c r="BO28" s="215"/>
      <c r="BP28" s="215"/>
      <c r="BQ28" s="216"/>
      <c r="BR28" s="216"/>
      <c r="BS28" s="215"/>
      <c r="BT28" s="215"/>
      <c r="BU28" s="215"/>
      <c r="BV28" s="215"/>
      <c r="BW28" s="216"/>
      <c r="BX28" s="216"/>
      <c r="BY28" s="215"/>
      <c r="BZ28" s="215"/>
      <c r="CA28" s="215"/>
      <c r="CB28" s="215"/>
      <c r="CC28" s="216"/>
      <c r="CD28" s="216"/>
      <c r="CE28" s="215"/>
      <c r="CF28" s="215"/>
      <c r="CG28" s="215"/>
      <c r="CH28" s="215"/>
      <c r="CI28" s="216"/>
      <c r="CJ28" s="216"/>
      <c r="CK28" s="215"/>
      <c r="CL28" s="215"/>
      <c r="CM28" s="215"/>
      <c r="CN28" s="215"/>
      <c r="CO28" s="216"/>
      <c r="CP28" s="216"/>
      <c r="CQ28" s="215"/>
      <c r="CR28" s="215"/>
      <c r="CS28" s="215"/>
      <c r="CT28" s="215"/>
      <c r="CU28" s="216"/>
      <c r="CV28" s="216"/>
      <c r="CW28" s="215"/>
      <c r="CX28" s="215"/>
      <c r="CY28" s="215"/>
      <c r="CZ28" s="215"/>
      <c r="DA28" s="216"/>
      <c r="DB28" s="216"/>
      <c r="DC28" s="215"/>
      <c r="DD28" s="215"/>
      <c r="DE28" s="215"/>
      <c r="DF28" s="215"/>
      <c r="DG28" s="216"/>
      <c r="DH28" s="216"/>
      <c r="DI28" s="215"/>
      <c r="DJ28" s="215"/>
      <c r="DK28" s="215">
        <v>137</v>
      </c>
      <c r="DL28" s="215"/>
      <c r="DM28" s="216">
        <f t="shared" si="74"/>
        <v>0.94482758620689655</v>
      </c>
      <c r="DN28" s="216">
        <f t="shared" si="75"/>
        <v>0</v>
      </c>
      <c r="DO28" s="215"/>
      <c r="DP28" s="215"/>
      <c r="DQ28" s="215"/>
      <c r="DR28" s="215"/>
      <c r="DS28" s="215">
        <v>550</v>
      </c>
      <c r="DT28" s="215"/>
      <c r="DU28" s="135">
        <f t="shared" si="54"/>
        <v>1</v>
      </c>
      <c r="DV28" s="135" t="e">
        <f t="shared" si="72"/>
        <v>#DIV/0!</v>
      </c>
      <c r="DW28" s="135">
        <f t="shared" si="70"/>
        <v>0.99818511796733211</v>
      </c>
      <c r="DX28" s="197">
        <f t="shared" si="73"/>
        <v>0</v>
      </c>
      <c r="DY28" s="217"/>
      <c r="DZ28" s="217"/>
      <c r="EA28" s="217"/>
      <c r="EB28" s="217"/>
      <c r="EC28" s="217"/>
      <c r="ED28" s="217"/>
      <c r="EE28" s="217"/>
      <c r="EF28" s="217"/>
      <c r="EG28" s="217"/>
      <c r="EH28" s="217"/>
      <c r="EI28" s="217"/>
      <c r="EJ28" s="217"/>
      <c r="EK28" s="218"/>
      <c r="EL28" s="218"/>
      <c r="EM28" s="218"/>
      <c r="EN28" s="218"/>
      <c r="EO28" s="218"/>
      <c r="EP28" s="218"/>
      <c r="EQ28" s="218"/>
      <c r="ER28" s="218"/>
      <c r="ES28" s="218"/>
      <c r="ET28" s="218"/>
      <c r="EU28" s="218"/>
      <c r="EV28" s="218"/>
      <c r="EW28" s="218"/>
      <c r="EX28" s="218"/>
      <c r="EY28" s="218"/>
      <c r="EZ28" s="218"/>
      <c r="FA28" s="218"/>
      <c r="FB28" s="218"/>
      <c r="FC28" s="218"/>
      <c r="FD28" s="218"/>
      <c r="FE28" s="218"/>
      <c r="FF28" s="218"/>
      <c r="FG28" s="218"/>
      <c r="FH28" s="218"/>
      <c r="FI28" s="218"/>
      <c r="FJ28" s="218"/>
      <c r="FK28" s="218"/>
      <c r="FL28" s="218"/>
      <c r="FM28" s="218"/>
      <c r="FN28" s="218"/>
      <c r="FO28" s="218"/>
      <c r="FP28" s="218"/>
      <c r="FQ28" s="218"/>
      <c r="FR28" s="218"/>
      <c r="FS28" s="218"/>
      <c r="FT28" s="218"/>
      <c r="FU28" s="218"/>
      <c r="FV28" s="218"/>
      <c r="FW28" s="218"/>
      <c r="FX28" s="218"/>
      <c r="FY28" s="218"/>
      <c r="FZ28" s="218"/>
      <c r="GA28" s="218"/>
      <c r="GB28" s="218"/>
      <c r="GC28" s="218"/>
      <c r="GD28" s="218"/>
      <c r="GE28" s="218"/>
      <c r="GF28" s="218"/>
      <c r="GG28" s="218"/>
      <c r="GH28" s="218"/>
      <c r="GI28" s="218"/>
      <c r="GJ28" s="218"/>
      <c r="GK28" s="218"/>
      <c r="GL28" s="218"/>
      <c r="GM28" s="218"/>
      <c r="GN28" s="218"/>
      <c r="GO28" s="218"/>
      <c r="GP28" s="218"/>
      <c r="GQ28" s="218"/>
      <c r="GR28" s="218"/>
      <c r="GS28" s="218"/>
      <c r="GT28" s="218"/>
      <c r="GU28" s="218"/>
      <c r="GV28" s="218"/>
      <c r="GW28" s="218"/>
      <c r="GX28" s="218"/>
      <c r="GY28" s="218"/>
      <c r="GZ28" s="218"/>
      <c r="HA28" s="218"/>
      <c r="HB28" s="218"/>
      <c r="HC28" s="218"/>
      <c r="HD28" s="218"/>
      <c r="HE28" s="218"/>
      <c r="HF28" s="218"/>
      <c r="HG28" s="218"/>
      <c r="HH28" s="218"/>
      <c r="HI28" s="218"/>
      <c r="HJ28" s="218"/>
      <c r="HK28" s="218"/>
      <c r="HL28" s="218"/>
      <c r="HM28" s="218"/>
      <c r="HN28" s="218"/>
      <c r="HO28" s="218"/>
      <c r="HP28" s="218"/>
      <c r="HQ28" s="218"/>
      <c r="HR28" s="218"/>
      <c r="HS28" s="218"/>
      <c r="HT28" s="218"/>
      <c r="HU28" s="218"/>
      <c r="HV28" s="218"/>
      <c r="HW28" s="218"/>
      <c r="HX28" s="218"/>
      <c r="HY28" s="218"/>
      <c r="HZ28" s="218"/>
      <c r="IA28" s="218"/>
      <c r="IB28" s="218"/>
      <c r="IC28" s="218"/>
      <c r="ID28" s="218"/>
      <c r="IE28" s="218"/>
      <c r="IF28" s="218"/>
      <c r="IG28" s="218"/>
      <c r="IH28" s="218"/>
      <c r="II28" s="218"/>
      <c r="IJ28" s="218"/>
      <c r="IK28" s="218"/>
      <c r="IL28" s="218"/>
      <c r="IM28" s="218"/>
      <c r="IN28" s="218"/>
      <c r="IO28" s="218"/>
      <c r="IP28" s="218"/>
      <c r="IQ28" s="218"/>
      <c r="IR28" s="218"/>
      <c r="IS28" s="218"/>
      <c r="IT28" s="218"/>
      <c r="IU28" s="218"/>
      <c r="IV28" s="218"/>
      <c r="IW28" s="218"/>
      <c r="IX28" s="218"/>
      <c r="IY28" s="218"/>
      <c r="IZ28" s="218"/>
      <c r="JA28" s="218"/>
      <c r="JB28" s="218"/>
      <c r="JC28" s="218"/>
      <c r="JD28" s="218"/>
      <c r="JE28" s="218"/>
      <c r="JF28" s="218"/>
      <c r="JG28" s="218"/>
      <c r="JH28" s="218"/>
    </row>
    <row r="29" spans="1:268" s="219" customFormat="1" ht="36.6" customHeight="1">
      <c r="A29" s="213" t="s">
        <v>226</v>
      </c>
      <c r="B29" s="220"/>
      <c r="C29" s="215">
        <v>594</v>
      </c>
      <c r="D29" s="215">
        <v>162</v>
      </c>
      <c r="E29" s="215">
        <v>398</v>
      </c>
      <c r="F29" s="215">
        <v>81</v>
      </c>
      <c r="G29" s="215">
        <v>388</v>
      </c>
      <c r="H29" s="215">
        <v>103</v>
      </c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>
        <v>183</v>
      </c>
      <c r="AX29" s="215">
        <v>114</v>
      </c>
      <c r="AY29" s="215"/>
      <c r="AZ29" s="215"/>
      <c r="BA29" s="215">
        <v>87</v>
      </c>
      <c r="BB29" s="215"/>
      <c r="BC29" s="216"/>
      <c r="BD29" s="216"/>
      <c r="BE29" s="215"/>
      <c r="BF29" s="215"/>
      <c r="BG29" s="215"/>
      <c r="BH29" s="215"/>
      <c r="BI29" s="215"/>
      <c r="BJ29" s="215"/>
      <c r="BK29" s="216"/>
      <c r="BL29" s="216"/>
      <c r="BM29" s="215"/>
      <c r="BN29" s="215"/>
      <c r="BO29" s="215"/>
      <c r="BP29" s="215"/>
      <c r="BQ29" s="216"/>
      <c r="BR29" s="216"/>
      <c r="BS29" s="215"/>
      <c r="BT29" s="215"/>
      <c r="BU29" s="215"/>
      <c r="BV29" s="215"/>
      <c r="BW29" s="216"/>
      <c r="BX29" s="216"/>
      <c r="BY29" s="215"/>
      <c r="BZ29" s="215"/>
      <c r="CA29" s="215"/>
      <c r="CB29" s="215"/>
      <c r="CC29" s="216"/>
      <c r="CD29" s="216"/>
      <c r="CE29" s="215"/>
      <c r="CF29" s="215"/>
      <c r="CG29" s="215"/>
      <c r="CH29" s="215"/>
      <c r="CI29" s="216"/>
      <c r="CJ29" s="216"/>
      <c r="CK29" s="215"/>
      <c r="CL29" s="215"/>
      <c r="CM29" s="215"/>
      <c r="CN29" s="215"/>
      <c r="CO29" s="216"/>
      <c r="CP29" s="216"/>
      <c r="CQ29" s="215"/>
      <c r="CR29" s="215"/>
      <c r="CS29" s="215"/>
      <c r="CT29" s="215"/>
      <c r="CU29" s="216"/>
      <c r="CV29" s="216"/>
      <c r="CW29" s="215"/>
      <c r="CX29" s="215"/>
      <c r="CY29" s="215"/>
      <c r="CZ29" s="215"/>
      <c r="DA29" s="216"/>
      <c r="DB29" s="216"/>
      <c r="DC29" s="215"/>
      <c r="DD29" s="215"/>
      <c r="DE29" s="215"/>
      <c r="DF29" s="215"/>
      <c r="DG29" s="216"/>
      <c r="DH29" s="216"/>
      <c r="DI29" s="215"/>
      <c r="DJ29" s="215"/>
      <c r="DK29" s="215">
        <v>9</v>
      </c>
      <c r="DL29" s="215"/>
      <c r="DM29" s="216">
        <f t="shared" si="74"/>
        <v>4.9180327868852458E-2</v>
      </c>
      <c r="DN29" s="216">
        <f t="shared" si="75"/>
        <v>0</v>
      </c>
      <c r="DO29" s="215"/>
      <c r="DP29" s="215"/>
      <c r="DQ29" s="215"/>
      <c r="DR29" s="215"/>
      <c r="DS29" s="215">
        <v>87</v>
      </c>
      <c r="DT29" s="215"/>
      <c r="DU29" s="135">
        <f t="shared" si="54"/>
        <v>1</v>
      </c>
      <c r="DV29" s="135" t="e">
        <f t="shared" si="72"/>
        <v>#DIV/0!</v>
      </c>
      <c r="DW29" s="135">
        <f t="shared" si="70"/>
        <v>0.22422680412371135</v>
      </c>
      <c r="DX29" s="197">
        <f t="shared" si="73"/>
        <v>0</v>
      </c>
      <c r="DY29" s="217"/>
      <c r="DZ29" s="217"/>
      <c r="EA29" s="217"/>
      <c r="EB29" s="217"/>
      <c r="EC29" s="217"/>
      <c r="ED29" s="217"/>
      <c r="EE29" s="217"/>
      <c r="EF29" s="217"/>
      <c r="EG29" s="217"/>
      <c r="EH29" s="217"/>
      <c r="EI29" s="217"/>
      <c r="EJ29" s="217"/>
      <c r="EK29" s="218"/>
      <c r="EL29" s="218"/>
      <c r="EM29" s="218"/>
      <c r="EN29" s="218"/>
      <c r="EO29" s="218"/>
      <c r="EP29" s="218"/>
      <c r="EQ29" s="218"/>
      <c r="ER29" s="218"/>
      <c r="ES29" s="218"/>
      <c r="ET29" s="218"/>
      <c r="EU29" s="218"/>
      <c r="EV29" s="218"/>
      <c r="EW29" s="218"/>
      <c r="EX29" s="218"/>
      <c r="EY29" s="218"/>
      <c r="EZ29" s="218"/>
      <c r="FA29" s="218"/>
      <c r="FB29" s="218"/>
      <c r="FC29" s="218"/>
      <c r="FD29" s="218"/>
      <c r="FE29" s="218"/>
      <c r="FF29" s="218"/>
      <c r="FG29" s="218"/>
      <c r="FH29" s="218"/>
      <c r="FI29" s="218"/>
      <c r="FJ29" s="218"/>
      <c r="FK29" s="218"/>
      <c r="FL29" s="218"/>
      <c r="FM29" s="218"/>
      <c r="FN29" s="218"/>
      <c r="FO29" s="218"/>
      <c r="FP29" s="218"/>
      <c r="FQ29" s="218"/>
      <c r="FR29" s="218"/>
      <c r="FS29" s="218"/>
      <c r="FT29" s="218"/>
      <c r="FU29" s="218"/>
      <c r="FV29" s="218"/>
      <c r="FW29" s="218"/>
      <c r="FX29" s="218"/>
      <c r="FY29" s="218"/>
      <c r="FZ29" s="218"/>
      <c r="GA29" s="218"/>
      <c r="GB29" s="218"/>
      <c r="GC29" s="218"/>
      <c r="GD29" s="218"/>
      <c r="GE29" s="218"/>
      <c r="GF29" s="218"/>
      <c r="GG29" s="218"/>
      <c r="GH29" s="218"/>
      <c r="GI29" s="218"/>
      <c r="GJ29" s="218"/>
      <c r="GK29" s="218"/>
      <c r="GL29" s="218"/>
      <c r="GM29" s="218"/>
      <c r="GN29" s="218"/>
      <c r="GO29" s="218"/>
      <c r="GP29" s="218"/>
      <c r="GQ29" s="218"/>
      <c r="GR29" s="218"/>
      <c r="GS29" s="218"/>
      <c r="GT29" s="218"/>
      <c r="GU29" s="218"/>
      <c r="GV29" s="218"/>
      <c r="GW29" s="218"/>
      <c r="GX29" s="218"/>
      <c r="GY29" s="218"/>
      <c r="GZ29" s="218"/>
      <c r="HA29" s="218"/>
      <c r="HB29" s="218"/>
      <c r="HC29" s="218"/>
      <c r="HD29" s="218"/>
      <c r="HE29" s="218"/>
      <c r="HF29" s="218"/>
      <c r="HG29" s="218"/>
      <c r="HH29" s="218"/>
      <c r="HI29" s="218"/>
      <c r="HJ29" s="218"/>
      <c r="HK29" s="218"/>
      <c r="HL29" s="218"/>
      <c r="HM29" s="218"/>
      <c r="HN29" s="218"/>
      <c r="HO29" s="218"/>
      <c r="HP29" s="218"/>
      <c r="HQ29" s="218"/>
      <c r="HR29" s="218"/>
      <c r="HS29" s="218"/>
      <c r="HT29" s="218"/>
      <c r="HU29" s="218"/>
      <c r="HV29" s="218"/>
      <c r="HW29" s="218"/>
      <c r="HX29" s="218"/>
      <c r="HY29" s="218"/>
      <c r="HZ29" s="218"/>
      <c r="IA29" s="218"/>
      <c r="IB29" s="218"/>
      <c r="IC29" s="218"/>
      <c r="ID29" s="218"/>
      <c r="IE29" s="218"/>
      <c r="IF29" s="218"/>
      <c r="IG29" s="218"/>
      <c r="IH29" s="218"/>
      <c r="II29" s="218"/>
      <c r="IJ29" s="218"/>
      <c r="IK29" s="218"/>
      <c r="IL29" s="218"/>
      <c r="IM29" s="218"/>
      <c r="IN29" s="218"/>
      <c r="IO29" s="218"/>
      <c r="IP29" s="218"/>
      <c r="IQ29" s="218"/>
      <c r="IR29" s="218"/>
      <c r="IS29" s="218"/>
      <c r="IT29" s="218"/>
      <c r="IU29" s="218"/>
      <c r="IV29" s="218"/>
      <c r="IW29" s="218"/>
      <c r="IX29" s="218"/>
      <c r="IY29" s="218"/>
      <c r="IZ29" s="218"/>
      <c r="JA29" s="218"/>
      <c r="JB29" s="218"/>
      <c r="JC29" s="218"/>
      <c r="JD29" s="218"/>
      <c r="JE29" s="218"/>
      <c r="JF29" s="218"/>
      <c r="JG29" s="218"/>
      <c r="JH29" s="218"/>
    </row>
    <row r="30" spans="1:268" s="219" customFormat="1" ht="42.75" customHeight="1">
      <c r="A30" s="213" t="s">
        <v>227</v>
      </c>
      <c r="B30" s="220"/>
      <c r="C30" s="215">
        <v>916</v>
      </c>
      <c r="D30" s="215">
        <v>803</v>
      </c>
      <c r="E30" s="215">
        <v>1511</v>
      </c>
      <c r="F30" s="215">
        <v>951</v>
      </c>
      <c r="G30" s="215">
        <v>763</v>
      </c>
      <c r="H30" s="215">
        <v>445</v>
      </c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>
        <v>-26</v>
      </c>
      <c r="AX30" s="215">
        <v>-64</v>
      </c>
      <c r="AY30" s="215"/>
      <c r="AZ30" s="215"/>
      <c r="BA30" s="215">
        <v>1084</v>
      </c>
      <c r="BB30" s="215"/>
      <c r="BC30" s="216"/>
      <c r="BD30" s="216"/>
      <c r="BE30" s="215"/>
      <c r="BF30" s="215"/>
      <c r="BG30" s="215"/>
      <c r="BH30" s="215"/>
      <c r="BI30" s="215"/>
      <c r="BJ30" s="215"/>
      <c r="BK30" s="216"/>
      <c r="BL30" s="216"/>
      <c r="BM30" s="215"/>
      <c r="BN30" s="215"/>
      <c r="BO30" s="215"/>
      <c r="BP30" s="215"/>
      <c r="BQ30" s="216"/>
      <c r="BR30" s="216"/>
      <c r="BS30" s="215"/>
      <c r="BT30" s="215"/>
      <c r="BU30" s="215"/>
      <c r="BV30" s="215"/>
      <c r="BW30" s="216"/>
      <c r="BX30" s="216"/>
      <c r="BY30" s="215"/>
      <c r="BZ30" s="215"/>
      <c r="CA30" s="215"/>
      <c r="CB30" s="215"/>
      <c r="CC30" s="216"/>
      <c r="CD30" s="216"/>
      <c r="CE30" s="215"/>
      <c r="CF30" s="215"/>
      <c r="CG30" s="215"/>
      <c r="CH30" s="215"/>
      <c r="CI30" s="216"/>
      <c r="CJ30" s="216"/>
      <c r="CK30" s="215"/>
      <c r="CL30" s="215"/>
      <c r="CM30" s="215"/>
      <c r="CN30" s="215"/>
      <c r="CO30" s="216"/>
      <c r="CP30" s="216"/>
      <c r="CQ30" s="215"/>
      <c r="CR30" s="215"/>
      <c r="CS30" s="215"/>
      <c r="CT30" s="215"/>
      <c r="CU30" s="216"/>
      <c r="CV30" s="216"/>
      <c r="CW30" s="215"/>
      <c r="CX30" s="215"/>
      <c r="CY30" s="215"/>
      <c r="CZ30" s="215"/>
      <c r="DA30" s="216"/>
      <c r="DB30" s="216"/>
      <c r="DC30" s="215"/>
      <c r="DD30" s="215"/>
      <c r="DE30" s="215"/>
      <c r="DF30" s="215"/>
      <c r="DG30" s="216"/>
      <c r="DH30" s="216"/>
      <c r="DI30" s="215"/>
      <c r="DJ30" s="215"/>
      <c r="DK30" s="215">
        <v>16</v>
      </c>
      <c r="DL30" s="215"/>
      <c r="DM30" s="216">
        <f t="shared" si="74"/>
        <v>-0.61538461538461542</v>
      </c>
      <c r="DN30" s="216">
        <f t="shared" si="75"/>
        <v>0</v>
      </c>
      <c r="DO30" s="215"/>
      <c r="DP30" s="215"/>
      <c r="DQ30" s="215"/>
      <c r="DR30" s="215"/>
      <c r="DS30" s="215">
        <v>1084</v>
      </c>
      <c r="DT30" s="215"/>
      <c r="DU30" s="135">
        <f t="shared" si="54"/>
        <v>1</v>
      </c>
      <c r="DV30" s="135" t="e">
        <f t="shared" si="72"/>
        <v>#DIV/0!</v>
      </c>
      <c r="DW30" s="135">
        <f t="shared" si="70"/>
        <v>1.4207077326343382</v>
      </c>
      <c r="DX30" s="197">
        <f t="shared" si="73"/>
        <v>0</v>
      </c>
      <c r="DY30" s="217"/>
      <c r="DZ30" s="217"/>
      <c r="EA30" s="217"/>
      <c r="EB30" s="217"/>
      <c r="EC30" s="217"/>
      <c r="ED30" s="217"/>
      <c r="EE30" s="217"/>
      <c r="EF30" s="217"/>
      <c r="EG30" s="217"/>
      <c r="EH30" s="217"/>
      <c r="EI30" s="217"/>
      <c r="EJ30" s="217"/>
      <c r="EK30" s="218"/>
      <c r="EL30" s="218"/>
      <c r="EM30" s="218"/>
      <c r="EN30" s="218"/>
      <c r="EO30" s="218"/>
      <c r="EP30" s="218"/>
      <c r="EQ30" s="218"/>
      <c r="ER30" s="218"/>
      <c r="ES30" s="218"/>
      <c r="ET30" s="218"/>
      <c r="EU30" s="218"/>
      <c r="EV30" s="218"/>
      <c r="EW30" s="218"/>
      <c r="EX30" s="218"/>
      <c r="EY30" s="218"/>
      <c r="EZ30" s="218"/>
      <c r="FA30" s="218"/>
      <c r="FB30" s="218"/>
      <c r="FC30" s="218"/>
      <c r="FD30" s="218"/>
      <c r="FE30" s="218"/>
      <c r="FF30" s="218"/>
      <c r="FG30" s="218"/>
      <c r="FH30" s="218"/>
      <c r="FI30" s="218"/>
      <c r="FJ30" s="218"/>
      <c r="FK30" s="218"/>
      <c r="FL30" s="218"/>
      <c r="FM30" s="218"/>
      <c r="FN30" s="218"/>
      <c r="FO30" s="218"/>
      <c r="FP30" s="218"/>
      <c r="FQ30" s="218"/>
      <c r="FR30" s="218"/>
      <c r="FS30" s="218"/>
      <c r="FT30" s="218"/>
      <c r="FU30" s="218"/>
      <c r="FV30" s="218"/>
      <c r="FW30" s="218"/>
      <c r="FX30" s="218"/>
      <c r="FY30" s="218"/>
      <c r="FZ30" s="218"/>
      <c r="GA30" s="218"/>
      <c r="GB30" s="218"/>
      <c r="GC30" s="218"/>
      <c r="GD30" s="218"/>
      <c r="GE30" s="218"/>
      <c r="GF30" s="218"/>
      <c r="GG30" s="218"/>
      <c r="GH30" s="218"/>
      <c r="GI30" s="218"/>
      <c r="GJ30" s="218"/>
      <c r="GK30" s="218"/>
      <c r="GL30" s="218"/>
      <c r="GM30" s="218"/>
      <c r="GN30" s="218"/>
      <c r="GO30" s="218"/>
      <c r="GP30" s="218"/>
      <c r="GQ30" s="218"/>
      <c r="GR30" s="218"/>
      <c r="GS30" s="218"/>
      <c r="GT30" s="218"/>
      <c r="GU30" s="218"/>
      <c r="GV30" s="218"/>
      <c r="GW30" s="218"/>
      <c r="GX30" s="218"/>
      <c r="GY30" s="218"/>
      <c r="GZ30" s="218"/>
      <c r="HA30" s="218"/>
      <c r="HB30" s="218"/>
      <c r="HC30" s="218"/>
      <c r="HD30" s="218"/>
      <c r="HE30" s="218"/>
      <c r="HF30" s="218"/>
      <c r="HG30" s="218"/>
      <c r="HH30" s="218"/>
      <c r="HI30" s="218"/>
      <c r="HJ30" s="218"/>
      <c r="HK30" s="218"/>
      <c r="HL30" s="218"/>
      <c r="HM30" s="218"/>
      <c r="HN30" s="218"/>
      <c r="HO30" s="218"/>
      <c r="HP30" s="218"/>
      <c r="HQ30" s="218"/>
      <c r="HR30" s="218"/>
      <c r="HS30" s="218"/>
      <c r="HT30" s="218"/>
      <c r="HU30" s="218"/>
      <c r="HV30" s="218"/>
      <c r="HW30" s="218"/>
      <c r="HX30" s="218"/>
      <c r="HY30" s="218"/>
      <c r="HZ30" s="218"/>
      <c r="IA30" s="218"/>
      <c r="IB30" s="218"/>
      <c r="IC30" s="218"/>
      <c r="ID30" s="218"/>
      <c r="IE30" s="218"/>
      <c r="IF30" s="218"/>
      <c r="IG30" s="218"/>
      <c r="IH30" s="218"/>
      <c r="II30" s="218"/>
      <c r="IJ30" s="218"/>
      <c r="IK30" s="218"/>
      <c r="IL30" s="218"/>
      <c r="IM30" s="218"/>
      <c r="IN30" s="218"/>
      <c r="IO30" s="218"/>
      <c r="IP30" s="218"/>
      <c r="IQ30" s="218"/>
      <c r="IR30" s="218"/>
      <c r="IS30" s="218"/>
      <c r="IT30" s="218"/>
      <c r="IU30" s="218"/>
      <c r="IV30" s="218"/>
      <c r="IW30" s="218"/>
      <c r="IX30" s="218"/>
      <c r="IY30" s="218"/>
      <c r="IZ30" s="218"/>
      <c r="JA30" s="218"/>
      <c r="JB30" s="218"/>
      <c r="JC30" s="218"/>
      <c r="JD30" s="218"/>
      <c r="JE30" s="218"/>
      <c r="JF30" s="218"/>
      <c r="JG30" s="218"/>
      <c r="JH30" s="218"/>
    </row>
    <row r="31" spans="1:268" s="219" customFormat="1" ht="33" customHeight="1">
      <c r="A31" s="213" t="s">
        <v>228</v>
      </c>
      <c r="B31" s="220"/>
      <c r="C31" s="215">
        <v>3754</v>
      </c>
      <c r="D31" s="215">
        <v>769</v>
      </c>
      <c r="E31" s="215">
        <v>3801</v>
      </c>
      <c r="F31" s="215">
        <v>762</v>
      </c>
      <c r="G31" s="215">
        <v>3357</v>
      </c>
      <c r="H31" s="215">
        <v>728</v>
      </c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>
        <v>706</v>
      </c>
      <c r="AX31" s="215">
        <v>90</v>
      </c>
      <c r="AY31" s="215"/>
      <c r="AZ31" s="215"/>
      <c r="BA31" s="215">
        <v>3336</v>
      </c>
      <c r="BB31" s="215"/>
      <c r="BC31" s="216"/>
      <c r="BD31" s="216"/>
      <c r="BE31" s="215"/>
      <c r="BF31" s="215"/>
      <c r="BG31" s="215"/>
      <c r="BH31" s="215"/>
      <c r="BI31" s="215"/>
      <c r="BJ31" s="215"/>
      <c r="BK31" s="216"/>
      <c r="BL31" s="216"/>
      <c r="BM31" s="215"/>
      <c r="BN31" s="215"/>
      <c r="BO31" s="215"/>
      <c r="BP31" s="215"/>
      <c r="BQ31" s="216"/>
      <c r="BR31" s="216"/>
      <c r="BS31" s="215"/>
      <c r="BT31" s="215"/>
      <c r="BU31" s="215"/>
      <c r="BV31" s="215"/>
      <c r="BW31" s="216"/>
      <c r="BX31" s="216"/>
      <c r="BY31" s="215"/>
      <c r="BZ31" s="215"/>
      <c r="CA31" s="215"/>
      <c r="CB31" s="215"/>
      <c r="CC31" s="216"/>
      <c r="CD31" s="216"/>
      <c r="CE31" s="215"/>
      <c r="CF31" s="215"/>
      <c r="CG31" s="215"/>
      <c r="CH31" s="215"/>
      <c r="CI31" s="216"/>
      <c r="CJ31" s="216"/>
      <c r="CK31" s="215"/>
      <c r="CL31" s="215"/>
      <c r="CM31" s="215"/>
      <c r="CN31" s="215"/>
      <c r="CO31" s="216"/>
      <c r="CP31" s="216"/>
      <c r="CQ31" s="215"/>
      <c r="CR31" s="215"/>
      <c r="CS31" s="215"/>
      <c r="CT31" s="215"/>
      <c r="CU31" s="216"/>
      <c r="CV31" s="216"/>
      <c r="CW31" s="215"/>
      <c r="CX31" s="215"/>
      <c r="CY31" s="215"/>
      <c r="CZ31" s="215"/>
      <c r="DA31" s="216"/>
      <c r="DB31" s="216"/>
      <c r="DC31" s="215"/>
      <c r="DD31" s="215"/>
      <c r="DE31" s="215"/>
      <c r="DF31" s="215"/>
      <c r="DG31" s="216"/>
      <c r="DH31" s="216"/>
      <c r="DI31" s="215"/>
      <c r="DJ31" s="215"/>
      <c r="DK31" s="215">
        <v>411</v>
      </c>
      <c r="DL31" s="215"/>
      <c r="DM31" s="216">
        <f t="shared" si="74"/>
        <v>0.5821529745042493</v>
      </c>
      <c r="DN31" s="216">
        <f t="shared" si="75"/>
        <v>0</v>
      </c>
      <c r="DO31" s="215"/>
      <c r="DP31" s="215"/>
      <c r="DQ31" s="215"/>
      <c r="DR31" s="215"/>
      <c r="DS31" s="215">
        <v>3336</v>
      </c>
      <c r="DT31" s="215"/>
      <c r="DU31" s="135">
        <f t="shared" si="54"/>
        <v>1</v>
      </c>
      <c r="DV31" s="135" t="e">
        <f t="shared" si="72"/>
        <v>#DIV/0!</v>
      </c>
      <c r="DW31" s="135">
        <f t="shared" si="70"/>
        <v>0.99374441465594276</v>
      </c>
      <c r="DX31" s="197">
        <f t="shared" si="73"/>
        <v>0</v>
      </c>
      <c r="DY31" s="217"/>
      <c r="DZ31" s="217"/>
      <c r="EA31" s="217"/>
      <c r="EB31" s="217"/>
      <c r="EC31" s="217"/>
      <c r="ED31" s="217"/>
      <c r="EE31" s="217"/>
      <c r="EF31" s="217"/>
      <c r="EG31" s="217"/>
      <c r="EH31" s="217"/>
      <c r="EI31" s="217"/>
      <c r="EJ31" s="217"/>
      <c r="EK31" s="218"/>
      <c r="EL31" s="218"/>
      <c r="EM31" s="218"/>
      <c r="EN31" s="218"/>
      <c r="EO31" s="218"/>
      <c r="EP31" s="218"/>
      <c r="EQ31" s="218"/>
      <c r="ER31" s="218"/>
      <c r="ES31" s="218"/>
      <c r="ET31" s="218"/>
      <c r="EU31" s="218"/>
      <c r="EV31" s="218"/>
      <c r="EW31" s="218"/>
      <c r="EX31" s="218"/>
      <c r="EY31" s="218"/>
      <c r="EZ31" s="218"/>
      <c r="FA31" s="218"/>
      <c r="FB31" s="218"/>
      <c r="FC31" s="218"/>
      <c r="FD31" s="218"/>
      <c r="FE31" s="218"/>
      <c r="FF31" s="218"/>
      <c r="FG31" s="218"/>
      <c r="FH31" s="218"/>
      <c r="FI31" s="218"/>
      <c r="FJ31" s="218"/>
      <c r="FK31" s="218"/>
      <c r="FL31" s="218"/>
      <c r="FM31" s="218"/>
      <c r="FN31" s="218"/>
      <c r="FO31" s="218"/>
      <c r="FP31" s="218"/>
      <c r="FQ31" s="218"/>
      <c r="FR31" s="218"/>
      <c r="FS31" s="218"/>
      <c r="FT31" s="218"/>
      <c r="FU31" s="218"/>
      <c r="FV31" s="218"/>
      <c r="FW31" s="218"/>
      <c r="FX31" s="218"/>
      <c r="FY31" s="218"/>
      <c r="FZ31" s="218"/>
      <c r="GA31" s="218"/>
      <c r="GB31" s="218"/>
      <c r="GC31" s="218"/>
      <c r="GD31" s="218"/>
      <c r="GE31" s="218"/>
      <c r="GF31" s="218"/>
      <c r="GG31" s="218"/>
      <c r="GH31" s="218"/>
      <c r="GI31" s="218"/>
      <c r="GJ31" s="218"/>
      <c r="GK31" s="218"/>
      <c r="GL31" s="218"/>
      <c r="GM31" s="218"/>
      <c r="GN31" s="218"/>
      <c r="GO31" s="218"/>
      <c r="GP31" s="218"/>
      <c r="GQ31" s="218"/>
      <c r="GR31" s="218"/>
      <c r="GS31" s="218"/>
      <c r="GT31" s="218"/>
      <c r="GU31" s="218"/>
      <c r="GV31" s="218"/>
      <c r="GW31" s="218"/>
      <c r="GX31" s="218"/>
      <c r="GY31" s="218"/>
      <c r="GZ31" s="218"/>
      <c r="HA31" s="218"/>
      <c r="HB31" s="218"/>
      <c r="HC31" s="218"/>
      <c r="HD31" s="218"/>
      <c r="HE31" s="218"/>
      <c r="HF31" s="218"/>
      <c r="HG31" s="218"/>
      <c r="HH31" s="218"/>
      <c r="HI31" s="218"/>
      <c r="HJ31" s="218"/>
      <c r="HK31" s="218"/>
      <c r="HL31" s="218"/>
      <c r="HM31" s="218"/>
      <c r="HN31" s="218"/>
      <c r="HO31" s="218"/>
      <c r="HP31" s="218"/>
      <c r="HQ31" s="218"/>
      <c r="HR31" s="218"/>
      <c r="HS31" s="218"/>
      <c r="HT31" s="218"/>
      <c r="HU31" s="218"/>
      <c r="HV31" s="218"/>
      <c r="HW31" s="218"/>
      <c r="HX31" s="218"/>
      <c r="HY31" s="218"/>
      <c r="HZ31" s="218"/>
      <c r="IA31" s="218"/>
      <c r="IB31" s="218"/>
      <c r="IC31" s="218"/>
      <c r="ID31" s="218"/>
      <c r="IE31" s="218"/>
      <c r="IF31" s="218"/>
      <c r="IG31" s="218"/>
      <c r="IH31" s="218"/>
      <c r="II31" s="218"/>
      <c r="IJ31" s="218"/>
      <c r="IK31" s="218"/>
      <c r="IL31" s="218"/>
      <c r="IM31" s="218"/>
      <c r="IN31" s="218"/>
      <c r="IO31" s="218"/>
      <c r="IP31" s="218"/>
      <c r="IQ31" s="218"/>
      <c r="IR31" s="218"/>
      <c r="IS31" s="218"/>
      <c r="IT31" s="218"/>
      <c r="IU31" s="218"/>
      <c r="IV31" s="218"/>
      <c r="IW31" s="218"/>
      <c r="IX31" s="218"/>
      <c r="IY31" s="218"/>
      <c r="IZ31" s="218"/>
      <c r="JA31" s="218"/>
      <c r="JB31" s="218"/>
      <c r="JC31" s="218"/>
      <c r="JD31" s="218"/>
      <c r="JE31" s="218"/>
      <c r="JF31" s="218"/>
      <c r="JG31" s="218"/>
      <c r="JH31" s="218"/>
    </row>
    <row r="32" spans="1:268" s="62" customFormat="1" ht="18" customHeight="1">
      <c r="A32" s="364" t="s">
        <v>40</v>
      </c>
      <c r="B32" s="313"/>
      <c r="C32" s="134">
        <v>391</v>
      </c>
      <c r="D32" s="134">
        <v>391</v>
      </c>
      <c r="E32" s="134">
        <v>376</v>
      </c>
      <c r="F32" s="134">
        <v>376</v>
      </c>
      <c r="G32" s="134">
        <v>532</v>
      </c>
      <c r="H32" s="134">
        <v>532</v>
      </c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>
        <v>159</v>
      </c>
      <c r="AX32" s="134">
        <v>159</v>
      </c>
      <c r="AY32" s="134"/>
      <c r="AZ32" s="134"/>
      <c r="BA32" s="134">
        <v>452</v>
      </c>
      <c r="BB32" s="134"/>
      <c r="BC32" s="135">
        <f t="shared" si="28"/>
        <v>-0.15037593984962405</v>
      </c>
      <c r="BD32" s="135">
        <f t="shared" si="29"/>
        <v>-1</v>
      </c>
      <c r="BE32" s="134"/>
      <c r="BF32" s="134"/>
      <c r="BG32" s="134">
        <f>'бюджет округа (района)'!AD21+'бюджеты поселений'!AD21</f>
        <v>0</v>
      </c>
      <c r="BH32" s="134">
        <f>'бюджет округа (района)'!AD21</f>
        <v>0</v>
      </c>
      <c r="BI32" s="134">
        <f t="shared" si="30"/>
        <v>0</v>
      </c>
      <c r="BJ32" s="134">
        <f t="shared" si="59"/>
        <v>0</v>
      </c>
      <c r="BK32" s="135">
        <f t="shared" si="3"/>
        <v>1</v>
      </c>
      <c r="BL32" s="135">
        <f t="shared" si="4"/>
        <v>1</v>
      </c>
      <c r="BM32" s="134">
        <f>'бюджет округа (района)'!AG21+'бюджеты поселений'!AG21</f>
        <v>0</v>
      </c>
      <c r="BN32" s="134">
        <f>'бюджет округа (района)'!AG21</f>
        <v>0</v>
      </c>
      <c r="BO32" s="134">
        <f t="shared" si="32"/>
        <v>0</v>
      </c>
      <c r="BP32" s="134">
        <f t="shared" si="60"/>
        <v>0</v>
      </c>
      <c r="BQ32" s="135">
        <f t="shared" si="5"/>
        <v>1</v>
      </c>
      <c r="BR32" s="135">
        <f t="shared" si="6"/>
        <v>1</v>
      </c>
      <c r="BS32" s="134">
        <f>'бюджет округа (района)'!AJ21+'бюджеты поселений'!AJ21</f>
        <v>0</v>
      </c>
      <c r="BT32" s="134">
        <f>'бюджет округа (района)'!AJ21</f>
        <v>0</v>
      </c>
      <c r="BU32" s="134">
        <f t="shared" si="34"/>
        <v>0</v>
      </c>
      <c r="BV32" s="134">
        <f t="shared" si="61"/>
        <v>0</v>
      </c>
      <c r="BW32" s="135">
        <f t="shared" si="7"/>
        <v>1</v>
      </c>
      <c r="BX32" s="135">
        <f t="shared" si="8"/>
        <v>1</v>
      </c>
      <c r="BY32" s="134">
        <f>'бюджет округа (района)'!AM21+'бюджеты поселений'!AM21</f>
        <v>0</v>
      </c>
      <c r="BZ32" s="134">
        <f>'бюджет округа (района)'!AM21</f>
        <v>0</v>
      </c>
      <c r="CA32" s="134">
        <f t="shared" si="36"/>
        <v>0</v>
      </c>
      <c r="CB32" s="134">
        <f t="shared" si="62"/>
        <v>0</v>
      </c>
      <c r="CC32" s="135">
        <f t="shared" si="9"/>
        <v>1</v>
      </c>
      <c r="CD32" s="135">
        <f t="shared" si="10"/>
        <v>1</v>
      </c>
      <c r="CE32" s="134">
        <f>'бюджет округа (района)'!AP21+'бюджеты поселений'!AP21</f>
        <v>0</v>
      </c>
      <c r="CF32" s="134">
        <f>'бюджет округа (района)'!AP21</f>
        <v>0</v>
      </c>
      <c r="CG32" s="134">
        <f t="shared" si="38"/>
        <v>0</v>
      </c>
      <c r="CH32" s="134">
        <f t="shared" si="63"/>
        <v>0</v>
      </c>
      <c r="CI32" s="135">
        <f t="shared" si="11"/>
        <v>1</v>
      </c>
      <c r="CJ32" s="135">
        <f t="shared" si="12"/>
        <v>1</v>
      </c>
      <c r="CK32" s="134">
        <f>'бюджет округа (района)'!AS21+'бюджеты поселений'!AS21</f>
        <v>0</v>
      </c>
      <c r="CL32" s="134">
        <f>'бюджет округа (района)'!AS21</f>
        <v>0</v>
      </c>
      <c r="CM32" s="134">
        <f t="shared" si="40"/>
        <v>0</v>
      </c>
      <c r="CN32" s="134">
        <f t="shared" si="64"/>
        <v>0</v>
      </c>
      <c r="CO32" s="135">
        <f t="shared" si="13"/>
        <v>1</v>
      </c>
      <c r="CP32" s="135">
        <f t="shared" si="14"/>
        <v>1</v>
      </c>
      <c r="CQ32" s="134">
        <f>'бюджет округа (района)'!AV21+'бюджеты поселений'!AV21</f>
        <v>0</v>
      </c>
      <c r="CR32" s="134">
        <f>'бюджет округа (района)'!AV21</f>
        <v>0</v>
      </c>
      <c r="CS32" s="134">
        <f t="shared" si="42"/>
        <v>0</v>
      </c>
      <c r="CT32" s="134">
        <f t="shared" si="65"/>
        <v>0</v>
      </c>
      <c r="CU32" s="135">
        <f t="shared" si="15"/>
        <v>1</v>
      </c>
      <c r="CV32" s="135">
        <f t="shared" si="16"/>
        <v>1</v>
      </c>
      <c r="CW32" s="134">
        <f>'бюджет округа (района)'!AY21+'бюджеты поселений'!AY21</f>
        <v>0</v>
      </c>
      <c r="CX32" s="134">
        <f>'бюджет округа (района)'!AY21</f>
        <v>0</v>
      </c>
      <c r="CY32" s="134">
        <f t="shared" si="44"/>
        <v>0</v>
      </c>
      <c r="CZ32" s="134">
        <f t="shared" si="66"/>
        <v>0</v>
      </c>
      <c r="DA32" s="135">
        <f t="shared" si="17"/>
        <v>1</v>
      </c>
      <c r="DB32" s="135">
        <f t="shared" si="18"/>
        <v>1</v>
      </c>
      <c r="DC32" s="134">
        <f>'бюджет округа (района)'!BB21+'бюджеты поселений'!BB21</f>
        <v>0</v>
      </c>
      <c r="DD32" s="134">
        <f>'бюджет округа (района)'!BB21</f>
        <v>0</v>
      </c>
      <c r="DE32" s="134">
        <f t="shared" si="46"/>
        <v>0</v>
      </c>
      <c r="DF32" s="134">
        <f t="shared" si="67"/>
        <v>0</v>
      </c>
      <c r="DG32" s="135">
        <f t="shared" si="19"/>
        <v>1</v>
      </c>
      <c r="DH32" s="135">
        <f t="shared" si="20"/>
        <v>1</v>
      </c>
      <c r="DI32" s="134">
        <f>'бюджет округа (района)'!BE21+'бюджеты поселений'!BE21</f>
        <v>0</v>
      </c>
      <c r="DJ32" s="134">
        <f>'бюджет округа (района)'!BE21</f>
        <v>0</v>
      </c>
      <c r="DK32" s="134">
        <v>130</v>
      </c>
      <c r="DL32" s="134"/>
      <c r="DM32" s="135">
        <f t="shared" si="26"/>
        <v>0.8176100628930818</v>
      </c>
      <c r="DN32" s="135">
        <f t="shared" si="27"/>
        <v>0</v>
      </c>
      <c r="DO32" s="134">
        <f>'бюджет округа (района)'!BH21+'бюджеты поселений'!BH21</f>
        <v>0</v>
      </c>
      <c r="DP32" s="134">
        <f>'бюджет округа (района)'!BH21</f>
        <v>0</v>
      </c>
      <c r="DQ32" s="134">
        <f>'бюджет округа (района)'!BI21+'бюджеты поселений'!BI21</f>
        <v>0</v>
      </c>
      <c r="DR32" s="134">
        <f>'бюджет округа (района)'!BI21</f>
        <v>0</v>
      </c>
      <c r="DS32" s="134">
        <v>452</v>
      </c>
      <c r="DT32" s="134"/>
      <c r="DU32" s="135">
        <f t="shared" si="54"/>
        <v>1</v>
      </c>
      <c r="DV32" s="135" t="e">
        <f t="shared" si="72"/>
        <v>#DIV/0!</v>
      </c>
      <c r="DW32" s="135">
        <f t="shared" si="70"/>
        <v>0.84962406015037595</v>
      </c>
      <c r="DX32" s="197">
        <f t="shared" si="73"/>
        <v>0</v>
      </c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61"/>
      <c r="IU32" s="61"/>
      <c r="IV32" s="61"/>
      <c r="IW32" s="61"/>
      <c r="IX32" s="61"/>
      <c r="IY32" s="61"/>
      <c r="IZ32" s="61"/>
      <c r="JA32" s="61"/>
      <c r="JB32" s="61"/>
      <c r="JC32" s="61"/>
      <c r="JD32" s="61"/>
      <c r="JE32" s="61"/>
      <c r="JF32" s="61"/>
      <c r="JG32" s="61"/>
      <c r="JH32" s="61"/>
    </row>
    <row r="33" spans="1:268" s="62" customFormat="1" ht="56.25" customHeight="1">
      <c r="A33" s="362" t="s">
        <v>232</v>
      </c>
      <c r="B33" s="363"/>
      <c r="C33" s="235">
        <f t="shared" ref="C33:D33" si="76">SUM(C34+C35)</f>
        <v>11416</v>
      </c>
      <c r="D33" s="235">
        <f t="shared" si="76"/>
        <v>11292</v>
      </c>
      <c r="E33" s="235">
        <f>SUM(E34+E35+E36)</f>
        <v>14569</v>
      </c>
      <c r="F33" s="235">
        <f>SUM(F34+F35+F36)</f>
        <v>14498</v>
      </c>
      <c r="G33" s="235">
        <f>SUM(G34+G35+G36)</f>
        <v>13184</v>
      </c>
      <c r="H33" s="235">
        <f>SUM(H34+H35+H36)</f>
        <v>12839</v>
      </c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>
        <f>SUM(AW34+AW35+AW36)</f>
        <v>3994</v>
      </c>
      <c r="AX33" s="235">
        <f>SUM(AX34+AX35+AX36)</f>
        <v>3992</v>
      </c>
      <c r="AY33" s="235"/>
      <c r="AZ33" s="235"/>
      <c r="BA33" s="235">
        <f>SUM(BA34+BA35+BA36)</f>
        <v>13298</v>
      </c>
      <c r="BB33" s="235">
        <f>SUM(BB34+BB35+BB36)</f>
        <v>0</v>
      </c>
      <c r="BC33" s="230">
        <f t="shared" si="28"/>
        <v>8.646844660194164E-3</v>
      </c>
      <c r="BD33" s="230">
        <f t="shared" si="29"/>
        <v>-1</v>
      </c>
      <c r="BE33" s="235"/>
      <c r="BF33" s="235"/>
      <c r="BG33" s="235">
        <f>'бюджет округа (района)'!AD22+'бюджеты поселений'!AD22</f>
        <v>0</v>
      </c>
      <c r="BH33" s="235">
        <f>'бюджет округа (района)'!AD22</f>
        <v>0</v>
      </c>
      <c r="BI33" s="235">
        <f t="shared" si="30"/>
        <v>0</v>
      </c>
      <c r="BJ33" s="235">
        <f t="shared" si="59"/>
        <v>0</v>
      </c>
      <c r="BK33" s="230">
        <f t="shared" si="3"/>
        <v>1</v>
      </c>
      <c r="BL33" s="230">
        <f t="shared" si="4"/>
        <v>1</v>
      </c>
      <c r="BM33" s="235">
        <f>'бюджет округа (района)'!AG22+'бюджеты поселений'!AG22</f>
        <v>0</v>
      </c>
      <c r="BN33" s="235">
        <f>'бюджет округа (района)'!AG22</f>
        <v>0</v>
      </c>
      <c r="BO33" s="235">
        <f t="shared" si="32"/>
        <v>0</v>
      </c>
      <c r="BP33" s="235">
        <f t="shared" si="60"/>
        <v>0</v>
      </c>
      <c r="BQ33" s="230">
        <f t="shared" si="5"/>
        <v>1</v>
      </c>
      <c r="BR33" s="230">
        <f t="shared" si="6"/>
        <v>1</v>
      </c>
      <c r="BS33" s="235">
        <f>'бюджет округа (района)'!AJ22+'бюджеты поселений'!AJ22</f>
        <v>0</v>
      </c>
      <c r="BT33" s="235">
        <f>'бюджет округа (района)'!AJ22</f>
        <v>0</v>
      </c>
      <c r="BU33" s="235">
        <f t="shared" si="34"/>
        <v>0</v>
      </c>
      <c r="BV33" s="235">
        <f t="shared" si="61"/>
        <v>0</v>
      </c>
      <c r="BW33" s="230">
        <f t="shared" si="7"/>
        <v>1</v>
      </c>
      <c r="BX33" s="230">
        <f t="shared" si="8"/>
        <v>1</v>
      </c>
      <c r="BY33" s="235">
        <f>'бюджет округа (района)'!AM22+'бюджеты поселений'!AM22</f>
        <v>0</v>
      </c>
      <c r="BZ33" s="235">
        <f>'бюджет округа (района)'!AM22</f>
        <v>0</v>
      </c>
      <c r="CA33" s="235">
        <f t="shared" si="36"/>
        <v>0</v>
      </c>
      <c r="CB33" s="235">
        <f t="shared" si="62"/>
        <v>0</v>
      </c>
      <c r="CC33" s="230">
        <f t="shared" si="9"/>
        <v>1</v>
      </c>
      <c r="CD33" s="230">
        <f t="shared" si="10"/>
        <v>1</v>
      </c>
      <c r="CE33" s="235">
        <f>'бюджет округа (района)'!AP22+'бюджеты поселений'!AP22</f>
        <v>0</v>
      </c>
      <c r="CF33" s="235">
        <f>'бюджет округа (района)'!AP22</f>
        <v>0</v>
      </c>
      <c r="CG33" s="235">
        <f t="shared" si="38"/>
        <v>0</v>
      </c>
      <c r="CH33" s="235">
        <f t="shared" si="63"/>
        <v>0</v>
      </c>
      <c r="CI33" s="230">
        <f t="shared" si="11"/>
        <v>1</v>
      </c>
      <c r="CJ33" s="230">
        <f t="shared" si="12"/>
        <v>1</v>
      </c>
      <c r="CK33" s="235">
        <f>'бюджет округа (района)'!AS22+'бюджеты поселений'!AS22</f>
        <v>0</v>
      </c>
      <c r="CL33" s="235">
        <f>'бюджет округа (района)'!AS22</f>
        <v>0</v>
      </c>
      <c r="CM33" s="235">
        <f t="shared" si="40"/>
        <v>0</v>
      </c>
      <c r="CN33" s="235">
        <f t="shared" si="64"/>
        <v>0</v>
      </c>
      <c r="CO33" s="230">
        <f t="shared" si="13"/>
        <v>1</v>
      </c>
      <c r="CP33" s="230">
        <f t="shared" si="14"/>
        <v>1</v>
      </c>
      <c r="CQ33" s="235">
        <f>'бюджет округа (района)'!AV22+'бюджеты поселений'!AV22</f>
        <v>0</v>
      </c>
      <c r="CR33" s="235">
        <f>'бюджет округа (района)'!AV22</f>
        <v>0</v>
      </c>
      <c r="CS33" s="235">
        <f t="shared" si="42"/>
        <v>0</v>
      </c>
      <c r="CT33" s="235">
        <f t="shared" si="65"/>
        <v>0</v>
      </c>
      <c r="CU33" s="230">
        <f t="shared" si="15"/>
        <v>1</v>
      </c>
      <c r="CV33" s="230">
        <f t="shared" si="16"/>
        <v>1</v>
      </c>
      <c r="CW33" s="235">
        <f>'бюджет округа (района)'!AY22+'бюджеты поселений'!AY22</f>
        <v>0</v>
      </c>
      <c r="CX33" s="235">
        <f>'бюджет округа (района)'!AY22</f>
        <v>0</v>
      </c>
      <c r="CY33" s="235">
        <f t="shared" si="44"/>
        <v>0</v>
      </c>
      <c r="CZ33" s="235">
        <f t="shared" si="66"/>
        <v>0</v>
      </c>
      <c r="DA33" s="230">
        <f t="shared" si="17"/>
        <v>1</v>
      </c>
      <c r="DB33" s="230">
        <f t="shared" si="18"/>
        <v>1</v>
      </c>
      <c r="DC33" s="235">
        <f>'бюджет округа (района)'!BB22+'бюджеты поселений'!BB22</f>
        <v>0</v>
      </c>
      <c r="DD33" s="235">
        <f>'бюджет округа (района)'!BB22</f>
        <v>0</v>
      </c>
      <c r="DE33" s="235">
        <f t="shared" si="46"/>
        <v>0</v>
      </c>
      <c r="DF33" s="235">
        <f t="shared" si="67"/>
        <v>0</v>
      </c>
      <c r="DG33" s="230">
        <f t="shared" si="19"/>
        <v>1</v>
      </c>
      <c r="DH33" s="230">
        <f t="shared" si="20"/>
        <v>1</v>
      </c>
      <c r="DI33" s="235">
        <f>'бюджет округа (района)'!BE22+'бюджеты поселений'!BE22</f>
        <v>0</v>
      </c>
      <c r="DJ33" s="235">
        <f>'бюджет округа (района)'!BE22</f>
        <v>0</v>
      </c>
      <c r="DK33" s="235">
        <f>SUM(DK34+DK35+DK36)</f>
        <v>3693</v>
      </c>
      <c r="DL33" s="235">
        <f>SUM(DL34+DL35+DL36)</f>
        <v>0</v>
      </c>
      <c r="DM33" s="230">
        <f t="shared" si="26"/>
        <v>0.92463695543314972</v>
      </c>
      <c r="DN33" s="230">
        <f t="shared" si="27"/>
        <v>0</v>
      </c>
      <c r="DO33" s="235">
        <f>'бюджет округа (района)'!BH22+'бюджеты поселений'!BH22</f>
        <v>0</v>
      </c>
      <c r="DP33" s="235">
        <f>'бюджет округа (района)'!BH22</f>
        <v>0</v>
      </c>
      <c r="DQ33" s="235">
        <f>'бюджет округа (района)'!BI22+'бюджеты поселений'!BI22</f>
        <v>0</v>
      </c>
      <c r="DR33" s="235">
        <f>'бюджет округа (района)'!BI22</f>
        <v>0</v>
      </c>
      <c r="DS33" s="235">
        <f>SUM(DS34+DS35+DS36)</f>
        <v>13298</v>
      </c>
      <c r="DT33" s="235">
        <f>SUM(DT34+DT35+DT36)</f>
        <v>0</v>
      </c>
      <c r="DU33" s="230">
        <f t="shared" si="54"/>
        <v>1</v>
      </c>
      <c r="DV33" s="230" t="e">
        <f t="shared" si="72"/>
        <v>#DIV/0!</v>
      </c>
      <c r="DW33" s="230">
        <f t="shared" si="70"/>
        <v>1.0086468446601942</v>
      </c>
      <c r="DX33" s="246">
        <f t="shared" si="73"/>
        <v>0</v>
      </c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  <c r="IT33" s="61"/>
      <c r="IU33" s="61"/>
      <c r="IV33" s="61"/>
      <c r="IW33" s="61"/>
      <c r="IX33" s="61"/>
      <c r="IY33" s="61"/>
      <c r="IZ33" s="61"/>
      <c r="JA33" s="61"/>
      <c r="JB33" s="61"/>
      <c r="JC33" s="61"/>
      <c r="JD33" s="61"/>
      <c r="JE33" s="61"/>
      <c r="JF33" s="61"/>
      <c r="JG33" s="61"/>
      <c r="JH33" s="61"/>
    </row>
    <row r="34" spans="1:268" s="219" customFormat="1" ht="39.6" customHeight="1">
      <c r="A34" s="213" t="s">
        <v>239</v>
      </c>
      <c r="B34" s="220"/>
      <c r="C34" s="215">
        <v>11050</v>
      </c>
      <c r="D34" s="215">
        <v>10984</v>
      </c>
      <c r="E34" s="215">
        <v>14150</v>
      </c>
      <c r="F34" s="215">
        <v>14150</v>
      </c>
      <c r="G34" s="215">
        <v>12438</v>
      </c>
      <c r="H34" s="215">
        <v>12438</v>
      </c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>
        <v>3992</v>
      </c>
      <c r="AX34" s="215">
        <v>3992</v>
      </c>
      <c r="AY34" s="215"/>
      <c r="AZ34" s="215"/>
      <c r="BA34" s="215">
        <v>13040</v>
      </c>
      <c r="BB34" s="215"/>
      <c r="BC34" s="216"/>
      <c r="BD34" s="216"/>
      <c r="BE34" s="215"/>
      <c r="BF34" s="215"/>
      <c r="BG34" s="215"/>
      <c r="BH34" s="215"/>
      <c r="BI34" s="215"/>
      <c r="BJ34" s="215"/>
      <c r="BK34" s="216"/>
      <c r="BL34" s="216"/>
      <c r="BM34" s="215"/>
      <c r="BN34" s="215"/>
      <c r="BO34" s="215"/>
      <c r="BP34" s="215"/>
      <c r="BQ34" s="216"/>
      <c r="BR34" s="216"/>
      <c r="BS34" s="215"/>
      <c r="BT34" s="215"/>
      <c r="BU34" s="215"/>
      <c r="BV34" s="215"/>
      <c r="BW34" s="216"/>
      <c r="BX34" s="216"/>
      <c r="BY34" s="215"/>
      <c r="BZ34" s="215"/>
      <c r="CA34" s="215"/>
      <c r="CB34" s="215"/>
      <c r="CC34" s="216"/>
      <c r="CD34" s="216"/>
      <c r="CE34" s="215"/>
      <c r="CF34" s="215"/>
      <c r="CG34" s="215"/>
      <c r="CH34" s="215"/>
      <c r="CI34" s="216"/>
      <c r="CJ34" s="216"/>
      <c r="CK34" s="215"/>
      <c r="CL34" s="215"/>
      <c r="CM34" s="215"/>
      <c r="CN34" s="215"/>
      <c r="CO34" s="216"/>
      <c r="CP34" s="216"/>
      <c r="CQ34" s="215"/>
      <c r="CR34" s="215"/>
      <c r="CS34" s="215"/>
      <c r="CT34" s="215"/>
      <c r="CU34" s="216"/>
      <c r="CV34" s="216"/>
      <c r="CW34" s="215"/>
      <c r="CX34" s="215"/>
      <c r="CY34" s="215"/>
      <c r="CZ34" s="215"/>
      <c r="DA34" s="216"/>
      <c r="DB34" s="216"/>
      <c r="DC34" s="215"/>
      <c r="DD34" s="215"/>
      <c r="DE34" s="215"/>
      <c r="DF34" s="215"/>
      <c r="DG34" s="216"/>
      <c r="DH34" s="216"/>
      <c r="DI34" s="215"/>
      <c r="DJ34" s="215"/>
      <c r="DK34" s="215">
        <v>3693</v>
      </c>
      <c r="DL34" s="215"/>
      <c r="DM34" s="216">
        <f t="shared" ref="DM34:DM36" si="77">IF(AW34=0,1,DK34/AW34)</f>
        <v>0.92510020040080165</v>
      </c>
      <c r="DN34" s="216">
        <f t="shared" ref="DN34:DN36" si="78">IF(AX34=0,1,DL34/AX34)</f>
        <v>0</v>
      </c>
      <c r="DO34" s="215"/>
      <c r="DP34" s="215"/>
      <c r="DQ34" s="215"/>
      <c r="DR34" s="215"/>
      <c r="DS34" s="215">
        <v>13040</v>
      </c>
      <c r="DT34" s="215"/>
      <c r="DU34" s="135">
        <f t="shared" si="54"/>
        <v>1</v>
      </c>
      <c r="DV34" s="135" t="e">
        <f t="shared" si="72"/>
        <v>#DIV/0!</v>
      </c>
      <c r="DW34" s="135">
        <f t="shared" si="70"/>
        <v>1.0484000643190223</v>
      </c>
      <c r="DX34" s="197">
        <f t="shared" si="73"/>
        <v>0</v>
      </c>
      <c r="DY34" s="217"/>
      <c r="DZ34" s="217"/>
      <c r="EA34" s="217"/>
      <c r="EB34" s="217"/>
      <c r="EC34" s="217"/>
      <c r="ED34" s="217"/>
      <c r="EE34" s="217"/>
      <c r="EF34" s="217"/>
      <c r="EG34" s="217"/>
      <c r="EH34" s="217"/>
      <c r="EI34" s="217"/>
      <c r="EJ34" s="217"/>
      <c r="EK34" s="218"/>
      <c r="EL34" s="218"/>
      <c r="EM34" s="218"/>
      <c r="EN34" s="218"/>
      <c r="EO34" s="218"/>
      <c r="EP34" s="218"/>
      <c r="EQ34" s="218"/>
      <c r="ER34" s="218"/>
      <c r="ES34" s="218"/>
      <c r="ET34" s="218"/>
      <c r="EU34" s="218"/>
      <c r="EV34" s="218"/>
      <c r="EW34" s="218"/>
      <c r="EX34" s="218"/>
      <c r="EY34" s="218"/>
      <c r="EZ34" s="218"/>
      <c r="FA34" s="218"/>
      <c r="FB34" s="218"/>
      <c r="FC34" s="218"/>
      <c r="FD34" s="218"/>
      <c r="FE34" s="218"/>
      <c r="FF34" s="218"/>
      <c r="FG34" s="218"/>
      <c r="FH34" s="218"/>
      <c r="FI34" s="218"/>
      <c r="FJ34" s="218"/>
      <c r="FK34" s="218"/>
      <c r="FL34" s="218"/>
      <c r="FM34" s="218"/>
      <c r="FN34" s="218"/>
      <c r="FO34" s="218"/>
      <c r="FP34" s="218"/>
      <c r="FQ34" s="218"/>
      <c r="FR34" s="218"/>
      <c r="FS34" s="218"/>
      <c r="FT34" s="218"/>
      <c r="FU34" s="218"/>
      <c r="FV34" s="218"/>
      <c r="FW34" s="218"/>
      <c r="FX34" s="218"/>
      <c r="FY34" s="218"/>
      <c r="FZ34" s="218"/>
      <c r="GA34" s="218"/>
      <c r="GB34" s="218"/>
      <c r="GC34" s="218"/>
      <c r="GD34" s="218"/>
      <c r="GE34" s="218"/>
      <c r="GF34" s="218"/>
      <c r="GG34" s="218"/>
      <c r="GH34" s="218"/>
      <c r="GI34" s="218"/>
      <c r="GJ34" s="218"/>
      <c r="GK34" s="218"/>
      <c r="GL34" s="218"/>
      <c r="GM34" s="218"/>
      <c r="GN34" s="218"/>
      <c r="GO34" s="218"/>
      <c r="GP34" s="218"/>
      <c r="GQ34" s="218"/>
      <c r="GR34" s="218"/>
      <c r="GS34" s="218"/>
      <c r="GT34" s="218"/>
      <c r="GU34" s="218"/>
      <c r="GV34" s="218"/>
      <c r="GW34" s="218"/>
      <c r="GX34" s="218"/>
      <c r="GY34" s="218"/>
      <c r="GZ34" s="218"/>
      <c r="HA34" s="218"/>
      <c r="HB34" s="218"/>
      <c r="HC34" s="218"/>
      <c r="HD34" s="218"/>
      <c r="HE34" s="218"/>
      <c r="HF34" s="218"/>
      <c r="HG34" s="218"/>
      <c r="HH34" s="218"/>
      <c r="HI34" s="218"/>
      <c r="HJ34" s="218"/>
      <c r="HK34" s="218"/>
      <c r="HL34" s="218"/>
      <c r="HM34" s="218"/>
      <c r="HN34" s="218"/>
      <c r="HO34" s="218"/>
      <c r="HP34" s="218"/>
      <c r="HQ34" s="218"/>
      <c r="HR34" s="218"/>
      <c r="HS34" s="218"/>
      <c r="HT34" s="218"/>
      <c r="HU34" s="218"/>
      <c r="HV34" s="218"/>
      <c r="HW34" s="218"/>
      <c r="HX34" s="218"/>
      <c r="HY34" s="218"/>
      <c r="HZ34" s="218"/>
      <c r="IA34" s="218"/>
      <c r="IB34" s="218"/>
      <c r="IC34" s="218"/>
      <c r="ID34" s="218"/>
      <c r="IE34" s="218"/>
      <c r="IF34" s="218"/>
      <c r="IG34" s="218"/>
      <c r="IH34" s="218"/>
      <c r="II34" s="218"/>
      <c r="IJ34" s="218"/>
      <c r="IK34" s="218"/>
      <c r="IL34" s="218"/>
      <c r="IM34" s="218"/>
      <c r="IN34" s="218"/>
      <c r="IO34" s="218"/>
      <c r="IP34" s="218"/>
      <c r="IQ34" s="218"/>
      <c r="IR34" s="218"/>
      <c r="IS34" s="218"/>
      <c r="IT34" s="218"/>
      <c r="IU34" s="218"/>
      <c r="IV34" s="218"/>
      <c r="IW34" s="218"/>
      <c r="IX34" s="218"/>
      <c r="IY34" s="218"/>
      <c r="IZ34" s="218"/>
      <c r="JA34" s="218"/>
      <c r="JB34" s="218"/>
      <c r="JC34" s="218"/>
      <c r="JD34" s="218"/>
      <c r="JE34" s="218"/>
      <c r="JF34" s="218"/>
      <c r="JG34" s="218"/>
      <c r="JH34" s="218"/>
    </row>
    <row r="35" spans="1:268" s="219" customFormat="1" ht="57" customHeight="1">
      <c r="A35" s="213" t="s">
        <v>248</v>
      </c>
      <c r="B35" s="220"/>
      <c r="C35" s="215">
        <v>366</v>
      </c>
      <c r="D35" s="215">
        <v>308</v>
      </c>
      <c r="E35" s="215">
        <v>321</v>
      </c>
      <c r="F35" s="215">
        <v>321</v>
      </c>
      <c r="G35" s="215">
        <v>646</v>
      </c>
      <c r="H35" s="215">
        <v>301</v>
      </c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>
        <v>0</v>
      </c>
      <c r="AX35" s="215">
        <v>0</v>
      </c>
      <c r="AY35" s="215"/>
      <c r="AZ35" s="215"/>
      <c r="BA35" s="215">
        <v>258</v>
      </c>
      <c r="BB35" s="215"/>
      <c r="BC35" s="216"/>
      <c r="BD35" s="216"/>
      <c r="BE35" s="215"/>
      <c r="BF35" s="215"/>
      <c r="BG35" s="215"/>
      <c r="BH35" s="215"/>
      <c r="BI35" s="215"/>
      <c r="BJ35" s="215"/>
      <c r="BK35" s="216"/>
      <c r="BL35" s="216"/>
      <c r="BM35" s="215"/>
      <c r="BN35" s="215"/>
      <c r="BO35" s="215"/>
      <c r="BP35" s="215"/>
      <c r="BQ35" s="216"/>
      <c r="BR35" s="216"/>
      <c r="BS35" s="215"/>
      <c r="BT35" s="215"/>
      <c r="BU35" s="215"/>
      <c r="BV35" s="215"/>
      <c r="BW35" s="216"/>
      <c r="BX35" s="216"/>
      <c r="BY35" s="215"/>
      <c r="BZ35" s="215"/>
      <c r="CA35" s="215"/>
      <c r="CB35" s="215"/>
      <c r="CC35" s="216"/>
      <c r="CD35" s="216"/>
      <c r="CE35" s="215"/>
      <c r="CF35" s="215"/>
      <c r="CG35" s="215"/>
      <c r="CH35" s="215"/>
      <c r="CI35" s="216"/>
      <c r="CJ35" s="216"/>
      <c r="CK35" s="215"/>
      <c r="CL35" s="215"/>
      <c r="CM35" s="215"/>
      <c r="CN35" s="215"/>
      <c r="CO35" s="216"/>
      <c r="CP35" s="216"/>
      <c r="CQ35" s="215"/>
      <c r="CR35" s="215"/>
      <c r="CS35" s="215"/>
      <c r="CT35" s="215"/>
      <c r="CU35" s="216"/>
      <c r="CV35" s="216"/>
      <c r="CW35" s="215"/>
      <c r="CX35" s="215"/>
      <c r="CY35" s="215"/>
      <c r="CZ35" s="215"/>
      <c r="DA35" s="216"/>
      <c r="DB35" s="216"/>
      <c r="DC35" s="215"/>
      <c r="DD35" s="215"/>
      <c r="DE35" s="215"/>
      <c r="DF35" s="215"/>
      <c r="DG35" s="216"/>
      <c r="DH35" s="216"/>
      <c r="DI35" s="215"/>
      <c r="DJ35" s="215"/>
      <c r="DK35" s="215">
        <v>0</v>
      </c>
      <c r="DL35" s="215"/>
      <c r="DM35" s="216">
        <f t="shared" si="77"/>
        <v>1</v>
      </c>
      <c r="DN35" s="216">
        <f t="shared" si="78"/>
        <v>1</v>
      </c>
      <c r="DO35" s="215"/>
      <c r="DP35" s="215"/>
      <c r="DQ35" s="215"/>
      <c r="DR35" s="215"/>
      <c r="DS35" s="215">
        <v>258</v>
      </c>
      <c r="DT35" s="215"/>
      <c r="DU35" s="135">
        <f t="shared" si="54"/>
        <v>1</v>
      </c>
      <c r="DV35" s="135" t="e">
        <f t="shared" si="72"/>
        <v>#DIV/0!</v>
      </c>
      <c r="DW35" s="135">
        <f t="shared" si="70"/>
        <v>0.39938080495356038</v>
      </c>
      <c r="DX35" s="197">
        <f t="shared" si="73"/>
        <v>0</v>
      </c>
      <c r="DY35" s="217"/>
      <c r="DZ35" s="217"/>
      <c r="EA35" s="217"/>
      <c r="EB35" s="217"/>
      <c r="EC35" s="217"/>
      <c r="ED35" s="217"/>
      <c r="EE35" s="217"/>
      <c r="EF35" s="217"/>
      <c r="EG35" s="217"/>
      <c r="EH35" s="217"/>
      <c r="EI35" s="217"/>
      <c r="EJ35" s="217"/>
      <c r="EK35" s="218"/>
      <c r="EL35" s="218"/>
      <c r="EM35" s="218"/>
      <c r="EN35" s="218"/>
      <c r="EO35" s="218"/>
      <c r="EP35" s="218"/>
      <c r="EQ35" s="218"/>
      <c r="ER35" s="218"/>
      <c r="ES35" s="218"/>
      <c r="ET35" s="218"/>
      <c r="EU35" s="218"/>
      <c r="EV35" s="218"/>
      <c r="EW35" s="218"/>
      <c r="EX35" s="218"/>
      <c r="EY35" s="218"/>
      <c r="EZ35" s="218"/>
      <c r="FA35" s="218"/>
      <c r="FB35" s="218"/>
      <c r="FC35" s="218"/>
      <c r="FD35" s="218"/>
      <c r="FE35" s="218"/>
      <c r="FF35" s="218"/>
      <c r="FG35" s="218"/>
      <c r="FH35" s="218"/>
      <c r="FI35" s="218"/>
      <c r="FJ35" s="218"/>
      <c r="FK35" s="218"/>
      <c r="FL35" s="218"/>
      <c r="FM35" s="218"/>
      <c r="FN35" s="218"/>
      <c r="FO35" s="218"/>
      <c r="FP35" s="218"/>
      <c r="FQ35" s="218"/>
      <c r="FR35" s="218"/>
      <c r="FS35" s="218"/>
      <c r="FT35" s="218"/>
      <c r="FU35" s="218"/>
      <c r="FV35" s="218"/>
      <c r="FW35" s="218"/>
      <c r="FX35" s="218"/>
      <c r="FY35" s="218"/>
      <c r="FZ35" s="218"/>
      <c r="GA35" s="218"/>
      <c r="GB35" s="218"/>
      <c r="GC35" s="218"/>
      <c r="GD35" s="218"/>
      <c r="GE35" s="218"/>
      <c r="GF35" s="218"/>
      <c r="GG35" s="218"/>
      <c r="GH35" s="218"/>
      <c r="GI35" s="218"/>
      <c r="GJ35" s="218"/>
      <c r="GK35" s="218"/>
      <c r="GL35" s="218"/>
      <c r="GM35" s="218"/>
      <c r="GN35" s="218"/>
      <c r="GO35" s="218"/>
      <c r="GP35" s="218"/>
      <c r="GQ35" s="218"/>
      <c r="GR35" s="218"/>
      <c r="GS35" s="218"/>
      <c r="GT35" s="218"/>
      <c r="GU35" s="218"/>
      <c r="GV35" s="218"/>
      <c r="GW35" s="218"/>
      <c r="GX35" s="218"/>
      <c r="GY35" s="218"/>
      <c r="GZ35" s="218"/>
      <c r="HA35" s="218"/>
      <c r="HB35" s="218"/>
      <c r="HC35" s="218"/>
      <c r="HD35" s="218"/>
      <c r="HE35" s="218"/>
      <c r="HF35" s="218"/>
      <c r="HG35" s="218"/>
      <c r="HH35" s="218"/>
      <c r="HI35" s="218"/>
      <c r="HJ35" s="218"/>
      <c r="HK35" s="218"/>
      <c r="HL35" s="218"/>
      <c r="HM35" s="218"/>
      <c r="HN35" s="218"/>
      <c r="HO35" s="218"/>
      <c r="HP35" s="218"/>
      <c r="HQ35" s="218"/>
      <c r="HR35" s="218"/>
      <c r="HS35" s="218"/>
      <c r="HT35" s="218"/>
      <c r="HU35" s="218"/>
      <c r="HV35" s="218"/>
      <c r="HW35" s="218"/>
      <c r="HX35" s="218"/>
      <c r="HY35" s="218"/>
      <c r="HZ35" s="218"/>
      <c r="IA35" s="218"/>
      <c r="IB35" s="218"/>
      <c r="IC35" s="218"/>
      <c r="ID35" s="218"/>
      <c r="IE35" s="218"/>
      <c r="IF35" s="218"/>
      <c r="IG35" s="218"/>
      <c r="IH35" s="218"/>
      <c r="II35" s="218"/>
      <c r="IJ35" s="218"/>
      <c r="IK35" s="218"/>
      <c r="IL35" s="218"/>
      <c r="IM35" s="218"/>
      <c r="IN35" s="218"/>
      <c r="IO35" s="218"/>
      <c r="IP35" s="218"/>
      <c r="IQ35" s="218"/>
      <c r="IR35" s="218"/>
      <c r="IS35" s="218"/>
      <c r="IT35" s="218"/>
      <c r="IU35" s="218"/>
      <c r="IV35" s="218"/>
      <c r="IW35" s="218"/>
      <c r="IX35" s="218"/>
      <c r="IY35" s="218"/>
      <c r="IZ35" s="218"/>
      <c r="JA35" s="218"/>
      <c r="JB35" s="218"/>
      <c r="JC35" s="218"/>
      <c r="JD35" s="218"/>
      <c r="JE35" s="218"/>
      <c r="JF35" s="218"/>
      <c r="JG35" s="218"/>
      <c r="JH35" s="218"/>
    </row>
    <row r="36" spans="1:268" s="219" customFormat="1" ht="29.25" customHeight="1">
      <c r="A36" s="213" t="s">
        <v>243</v>
      </c>
      <c r="B36" s="220"/>
      <c r="C36" s="215">
        <v>0</v>
      </c>
      <c r="D36" s="215">
        <v>0</v>
      </c>
      <c r="E36" s="215">
        <v>98</v>
      </c>
      <c r="F36" s="215">
        <v>27</v>
      </c>
      <c r="G36" s="215">
        <v>100</v>
      </c>
      <c r="H36" s="215">
        <v>100</v>
      </c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>
        <v>2</v>
      </c>
      <c r="AX36" s="215">
        <v>0</v>
      </c>
      <c r="AY36" s="215"/>
      <c r="AZ36" s="215"/>
      <c r="BA36" s="215">
        <v>0</v>
      </c>
      <c r="BB36" s="215"/>
      <c r="BC36" s="216"/>
      <c r="BD36" s="216"/>
      <c r="BE36" s="215"/>
      <c r="BF36" s="215"/>
      <c r="BG36" s="215"/>
      <c r="BH36" s="215"/>
      <c r="BI36" s="215"/>
      <c r="BJ36" s="215"/>
      <c r="BK36" s="216"/>
      <c r="BL36" s="216"/>
      <c r="BM36" s="215"/>
      <c r="BN36" s="215"/>
      <c r="BO36" s="215"/>
      <c r="BP36" s="215"/>
      <c r="BQ36" s="216"/>
      <c r="BR36" s="216"/>
      <c r="BS36" s="215"/>
      <c r="BT36" s="215"/>
      <c r="BU36" s="215"/>
      <c r="BV36" s="215"/>
      <c r="BW36" s="216"/>
      <c r="BX36" s="216"/>
      <c r="BY36" s="215"/>
      <c r="BZ36" s="215"/>
      <c r="CA36" s="215"/>
      <c r="CB36" s="215"/>
      <c r="CC36" s="216"/>
      <c r="CD36" s="216"/>
      <c r="CE36" s="215"/>
      <c r="CF36" s="215"/>
      <c r="CG36" s="215"/>
      <c r="CH36" s="215"/>
      <c r="CI36" s="216"/>
      <c r="CJ36" s="216"/>
      <c r="CK36" s="215"/>
      <c r="CL36" s="215"/>
      <c r="CM36" s="215"/>
      <c r="CN36" s="215"/>
      <c r="CO36" s="216"/>
      <c r="CP36" s="216"/>
      <c r="CQ36" s="215"/>
      <c r="CR36" s="215"/>
      <c r="CS36" s="215"/>
      <c r="CT36" s="215"/>
      <c r="CU36" s="216"/>
      <c r="CV36" s="216"/>
      <c r="CW36" s="215"/>
      <c r="CX36" s="215"/>
      <c r="CY36" s="215"/>
      <c r="CZ36" s="215"/>
      <c r="DA36" s="216"/>
      <c r="DB36" s="216"/>
      <c r="DC36" s="215"/>
      <c r="DD36" s="215"/>
      <c r="DE36" s="215"/>
      <c r="DF36" s="215"/>
      <c r="DG36" s="216"/>
      <c r="DH36" s="216"/>
      <c r="DI36" s="215"/>
      <c r="DJ36" s="215"/>
      <c r="DK36" s="215">
        <v>0</v>
      </c>
      <c r="DL36" s="215"/>
      <c r="DM36" s="216">
        <f t="shared" si="77"/>
        <v>0</v>
      </c>
      <c r="DN36" s="216">
        <f t="shared" si="78"/>
        <v>1</v>
      </c>
      <c r="DO36" s="215"/>
      <c r="DP36" s="215"/>
      <c r="DQ36" s="215"/>
      <c r="DR36" s="215"/>
      <c r="DS36" s="215">
        <v>0</v>
      </c>
      <c r="DT36" s="215"/>
      <c r="DU36" s="229" t="s">
        <v>34</v>
      </c>
      <c r="DV36" s="229" t="s">
        <v>34</v>
      </c>
      <c r="DW36" s="135">
        <f t="shared" si="70"/>
        <v>0</v>
      </c>
      <c r="DX36" s="197">
        <f t="shared" si="73"/>
        <v>0</v>
      </c>
      <c r="DY36" s="217"/>
      <c r="DZ36" s="217"/>
      <c r="EA36" s="217"/>
      <c r="EB36" s="217"/>
      <c r="EC36" s="217"/>
      <c r="ED36" s="217"/>
      <c r="EE36" s="217"/>
      <c r="EF36" s="217"/>
      <c r="EG36" s="217"/>
      <c r="EH36" s="217"/>
      <c r="EI36" s="217"/>
      <c r="EJ36" s="217"/>
      <c r="EK36" s="218"/>
      <c r="EL36" s="218"/>
      <c r="EM36" s="218"/>
      <c r="EN36" s="218"/>
      <c r="EO36" s="218"/>
      <c r="EP36" s="218"/>
      <c r="EQ36" s="218"/>
      <c r="ER36" s="218"/>
      <c r="ES36" s="218"/>
      <c r="ET36" s="218"/>
      <c r="EU36" s="218"/>
      <c r="EV36" s="218"/>
      <c r="EW36" s="218"/>
      <c r="EX36" s="218"/>
      <c r="EY36" s="218"/>
      <c r="EZ36" s="218"/>
      <c r="FA36" s="218"/>
      <c r="FB36" s="218"/>
      <c r="FC36" s="218"/>
      <c r="FD36" s="218"/>
      <c r="FE36" s="218"/>
      <c r="FF36" s="218"/>
      <c r="FG36" s="218"/>
      <c r="FH36" s="218"/>
      <c r="FI36" s="218"/>
      <c r="FJ36" s="218"/>
      <c r="FK36" s="218"/>
      <c r="FL36" s="218"/>
      <c r="FM36" s="218"/>
      <c r="FN36" s="218"/>
      <c r="FO36" s="218"/>
      <c r="FP36" s="218"/>
      <c r="FQ36" s="218"/>
      <c r="FR36" s="218"/>
      <c r="FS36" s="218"/>
      <c r="FT36" s="218"/>
      <c r="FU36" s="218"/>
      <c r="FV36" s="218"/>
      <c r="FW36" s="218"/>
      <c r="FX36" s="218"/>
      <c r="FY36" s="218"/>
      <c r="FZ36" s="218"/>
      <c r="GA36" s="218"/>
      <c r="GB36" s="218"/>
      <c r="GC36" s="218"/>
      <c r="GD36" s="218"/>
      <c r="GE36" s="218"/>
      <c r="GF36" s="218"/>
      <c r="GG36" s="218"/>
      <c r="GH36" s="218"/>
      <c r="GI36" s="218"/>
      <c r="GJ36" s="218"/>
      <c r="GK36" s="218"/>
      <c r="GL36" s="218"/>
      <c r="GM36" s="218"/>
      <c r="GN36" s="218"/>
      <c r="GO36" s="218"/>
      <c r="GP36" s="218"/>
      <c r="GQ36" s="218"/>
      <c r="GR36" s="218"/>
      <c r="GS36" s="218"/>
      <c r="GT36" s="218"/>
      <c r="GU36" s="218"/>
      <c r="GV36" s="218"/>
      <c r="GW36" s="218"/>
      <c r="GX36" s="218"/>
      <c r="GY36" s="218"/>
      <c r="GZ36" s="218"/>
      <c r="HA36" s="218"/>
      <c r="HB36" s="218"/>
      <c r="HC36" s="218"/>
      <c r="HD36" s="218"/>
      <c r="HE36" s="218"/>
      <c r="HF36" s="218"/>
      <c r="HG36" s="218"/>
      <c r="HH36" s="218"/>
      <c r="HI36" s="218"/>
      <c r="HJ36" s="218"/>
      <c r="HK36" s="218"/>
      <c r="HL36" s="218"/>
      <c r="HM36" s="218"/>
      <c r="HN36" s="218"/>
      <c r="HO36" s="218"/>
      <c r="HP36" s="218"/>
      <c r="HQ36" s="218"/>
      <c r="HR36" s="218"/>
      <c r="HS36" s="218"/>
      <c r="HT36" s="218"/>
      <c r="HU36" s="218"/>
      <c r="HV36" s="218"/>
      <c r="HW36" s="218"/>
      <c r="HX36" s="218"/>
      <c r="HY36" s="218"/>
      <c r="HZ36" s="218"/>
      <c r="IA36" s="218"/>
      <c r="IB36" s="218"/>
      <c r="IC36" s="218"/>
      <c r="ID36" s="218"/>
      <c r="IE36" s="218"/>
      <c r="IF36" s="218"/>
      <c r="IG36" s="218"/>
      <c r="IH36" s="218"/>
      <c r="II36" s="218"/>
      <c r="IJ36" s="218"/>
      <c r="IK36" s="218"/>
      <c r="IL36" s="218"/>
      <c r="IM36" s="218"/>
      <c r="IN36" s="218"/>
      <c r="IO36" s="218"/>
      <c r="IP36" s="218"/>
      <c r="IQ36" s="218"/>
      <c r="IR36" s="218"/>
      <c r="IS36" s="218"/>
      <c r="IT36" s="218"/>
      <c r="IU36" s="218"/>
      <c r="IV36" s="218"/>
      <c r="IW36" s="218"/>
      <c r="IX36" s="218"/>
      <c r="IY36" s="218"/>
      <c r="IZ36" s="218"/>
      <c r="JA36" s="218"/>
      <c r="JB36" s="218"/>
      <c r="JC36" s="218"/>
      <c r="JD36" s="218"/>
      <c r="JE36" s="218"/>
      <c r="JF36" s="218"/>
      <c r="JG36" s="218"/>
      <c r="JH36" s="218"/>
    </row>
    <row r="37" spans="1:268" s="62" customFormat="1" ht="18" customHeight="1">
      <c r="A37" s="364" t="s">
        <v>89</v>
      </c>
      <c r="B37" s="313"/>
      <c r="C37" s="134">
        <v>1430</v>
      </c>
      <c r="D37" s="134">
        <v>326</v>
      </c>
      <c r="E37" s="134">
        <v>1506</v>
      </c>
      <c r="F37" s="134">
        <v>690</v>
      </c>
      <c r="G37" s="134">
        <v>1505</v>
      </c>
      <c r="H37" s="134">
        <v>1200</v>
      </c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>
        <v>452</v>
      </c>
      <c r="AX37" s="134">
        <v>166</v>
      </c>
      <c r="AY37" s="134"/>
      <c r="AZ37" s="134"/>
      <c r="BA37" s="134">
        <v>0</v>
      </c>
      <c r="BB37" s="134"/>
      <c r="BC37" s="135">
        <f t="shared" si="28"/>
        <v>-1</v>
      </c>
      <c r="BD37" s="135">
        <f t="shared" si="29"/>
        <v>-1</v>
      </c>
      <c r="BE37" s="134"/>
      <c r="BF37" s="134"/>
      <c r="BG37" s="134">
        <f>'бюджет округа (района)'!AD23+'бюджеты поселений'!AD23</f>
        <v>0</v>
      </c>
      <c r="BH37" s="134">
        <f>'бюджет округа (района)'!AD23</f>
        <v>0</v>
      </c>
      <c r="BI37" s="134">
        <f t="shared" si="30"/>
        <v>0</v>
      </c>
      <c r="BJ37" s="134">
        <f t="shared" si="59"/>
        <v>0</v>
      </c>
      <c r="BK37" s="135">
        <f t="shared" si="3"/>
        <v>1</v>
      </c>
      <c r="BL37" s="135">
        <f t="shared" si="4"/>
        <v>1</v>
      </c>
      <c r="BM37" s="134">
        <f>'бюджет округа (района)'!AG23+'бюджеты поселений'!AG23</f>
        <v>0</v>
      </c>
      <c r="BN37" s="134">
        <f>'бюджет округа (района)'!AG23</f>
        <v>0</v>
      </c>
      <c r="BO37" s="134">
        <f t="shared" si="32"/>
        <v>0</v>
      </c>
      <c r="BP37" s="134">
        <f t="shared" si="60"/>
        <v>0</v>
      </c>
      <c r="BQ37" s="135">
        <f t="shared" si="5"/>
        <v>1</v>
      </c>
      <c r="BR37" s="135">
        <f t="shared" si="6"/>
        <v>1</v>
      </c>
      <c r="BS37" s="134">
        <f>'бюджет округа (района)'!AJ23+'бюджеты поселений'!AJ23</f>
        <v>0</v>
      </c>
      <c r="BT37" s="134">
        <f>'бюджет округа (района)'!AJ23</f>
        <v>0</v>
      </c>
      <c r="BU37" s="134">
        <f t="shared" si="34"/>
        <v>0</v>
      </c>
      <c r="BV37" s="134">
        <f t="shared" si="61"/>
        <v>0</v>
      </c>
      <c r="BW37" s="135">
        <f t="shared" si="7"/>
        <v>1</v>
      </c>
      <c r="BX37" s="135">
        <f t="shared" si="8"/>
        <v>1</v>
      </c>
      <c r="BY37" s="134">
        <f>'бюджет округа (района)'!AM23+'бюджеты поселений'!AM23</f>
        <v>0</v>
      </c>
      <c r="BZ37" s="134">
        <f>'бюджет округа (района)'!AM23</f>
        <v>0</v>
      </c>
      <c r="CA37" s="134">
        <f t="shared" si="36"/>
        <v>0</v>
      </c>
      <c r="CB37" s="134">
        <f t="shared" si="62"/>
        <v>0</v>
      </c>
      <c r="CC37" s="135">
        <f t="shared" si="9"/>
        <v>1</v>
      </c>
      <c r="CD37" s="135">
        <f t="shared" si="10"/>
        <v>1</v>
      </c>
      <c r="CE37" s="134">
        <f>'бюджет округа (района)'!AP23+'бюджеты поселений'!AP23</f>
        <v>0</v>
      </c>
      <c r="CF37" s="134">
        <f>'бюджет округа (района)'!AP23</f>
        <v>0</v>
      </c>
      <c r="CG37" s="134">
        <f t="shared" si="38"/>
        <v>0</v>
      </c>
      <c r="CH37" s="134">
        <f t="shared" si="63"/>
        <v>0</v>
      </c>
      <c r="CI37" s="135">
        <f t="shared" si="11"/>
        <v>1</v>
      </c>
      <c r="CJ37" s="135">
        <f t="shared" si="12"/>
        <v>1</v>
      </c>
      <c r="CK37" s="134">
        <f>'бюджет округа (района)'!AS23+'бюджеты поселений'!AS23</f>
        <v>0</v>
      </c>
      <c r="CL37" s="134">
        <f>'бюджет округа (района)'!AS23</f>
        <v>0</v>
      </c>
      <c r="CM37" s="134">
        <f t="shared" si="40"/>
        <v>0</v>
      </c>
      <c r="CN37" s="134">
        <f t="shared" si="64"/>
        <v>0</v>
      </c>
      <c r="CO37" s="135">
        <f t="shared" si="13"/>
        <v>1</v>
      </c>
      <c r="CP37" s="135">
        <f t="shared" si="14"/>
        <v>1</v>
      </c>
      <c r="CQ37" s="134">
        <f>'бюджет округа (района)'!AV23+'бюджеты поселений'!AV23</f>
        <v>0</v>
      </c>
      <c r="CR37" s="134">
        <f>'бюджет округа (района)'!AV23</f>
        <v>0</v>
      </c>
      <c r="CS37" s="134">
        <f t="shared" si="42"/>
        <v>0</v>
      </c>
      <c r="CT37" s="134">
        <f t="shared" si="65"/>
        <v>0</v>
      </c>
      <c r="CU37" s="135">
        <f t="shared" si="15"/>
        <v>1</v>
      </c>
      <c r="CV37" s="135">
        <f t="shared" si="16"/>
        <v>1</v>
      </c>
      <c r="CW37" s="134">
        <f>'бюджет округа (района)'!AY23+'бюджеты поселений'!AY23</f>
        <v>0</v>
      </c>
      <c r="CX37" s="134">
        <f>'бюджет округа (района)'!AY23</f>
        <v>0</v>
      </c>
      <c r="CY37" s="134">
        <f t="shared" si="44"/>
        <v>0</v>
      </c>
      <c r="CZ37" s="134">
        <f t="shared" si="66"/>
        <v>0</v>
      </c>
      <c r="DA37" s="135">
        <f t="shared" si="17"/>
        <v>1</v>
      </c>
      <c r="DB37" s="135">
        <f t="shared" si="18"/>
        <v>1</v>
      </c>
      <c r="DC37" s="134">
        <f>'бюджет округа (района)'!BB23+'бюджеты поселений'!BB23</f>
        <v>0</v>
      </c>
      <c r="DD37" s="134">
        <f>'бюджет округа (района)'!BB23</f>
        <v>0</v>
      </c>
      <c r="DE37" s="134">
        <f t="shared" si="46"/>
        <v>0</v>
      </c>
      <c r="DF37" s="134">
        <f t="shared" si="67"/>
        <v>0</v>
      </c>
      <c r="DG37" s="135">
        <f t="shared" si="19"/>
        <v>1</v>
      </c>
      <c r="DH37" s="135">
        <f t="shared" si="20"/>
        <v>1</v>
      </c>
      <c r="DI37" s="134">
        <f>'бюджет округа (района)'!BE23+'бюджеты поселений'!BE23</f>
        <v>0</v>
      </c>
      <c r="DJ37" s="134">
        <f>'бюджет округа (района)'!BE23</f>
        <v>0</v>
      </c>
      <c r="DK37" s="134">
        <v>9</v>
      </c>
      <c r="DL37" s="134"/>
      <c r="DM37" s="135">
        <f t="shared" si="26"/>
        <v>1.9911504424778761E-2</v>
      </c>
      <c r="DN37" s="135">
        <f t="shared" si="27"/>
        <v>0</v>
      </c>
      <c r="DO37" s="134">
        <f>'бюджет округа (района)'!BH23+'бюджеты поселений'!BH23</f>
        <v>0</v>
      </c>
      <c r="DP37" s="134">
        <f>'бюджет округа (района)'!BH23</f>
        <v>0</v>
      </c>
      <c r="DQ37" s="134">
        <f>'бюджет округа (района)'!BI23+'бюджеты поселений'!BI23</f>
        <v>0</v>
      </c>
      <c r="DR37" s="134">
        <f>'бюджет округа (района)'!BI23</f>
        <v>0</v>
      </c>
      <c r="DS37" s="134">
        <v>0</v>
      </c>
      <c r="DT37" s="134"/>
      <c r="DU37" s="135" t="e">
        <f t="shared" si="54"/>
        <v>#DIV/0!</v>
      </c>
      <c r="DV37" s="135" t="e">
        <f t="shared" si="72"/>
        <v>#DIV/0!</v>
      </c>
      <c r="DW37" s="135">
        <f t="shared" si="70"/>
        <v>0</v>
      </c>
      <c r="DX37" s="197">
        <f t="shared" si="73"/>
        <v>0</v>
      </c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61"/>
      <c r="IU37" s="61"/>
      <c r="IV37" s="61"/>
      <c r="IW37" s="61"/>
      <c r="IX37" s="61"/>
      <c r="IY37" s="61"/>
      <c r="IZ37" s="61"/>
      <c r="JA37" s="61"/>
      <c r="JB37" s="61"/>
      <c r="JC37" s="61"/>
      <c r="JD37" s="61"/>
      <c r="JE37" s="61"/>
      <c r="JF37" s="61"/>
      <c r="JG37" s="61"/>
      <c r="JH37" s="61"/>
    </row>
    <row r="38" spans="1:268" s="62" customFormat="1" ht="36" customHeight="1">
      <c r="A38" s="362" t="s">
        <v>229</v>
      </c>
      <c r="B38" s="363"/>
      <c r="C38" s="235">
        <f t="shared" ref="C38:H38" si="79">SUM(C39+C40)</f>
        <v>2006</v>
      </c>
      <c r="D38" s="235">
        <f t="shared" si="79"/>
        <v>1929</v>
      </c>
      <c r="E38" s="235">
        <f t="shared" si="79"/>
        <v>1513</v>
      </c>
      <c r="F38" s="235">
        <f t="shared" si="79"/>
        <v>1007</v>
      </c>
      <c r="G38" s="235">
        <f t="shared" si="79"/>
        <v>1769</v>
      </c>
      <c r="H38" s="235">
        <f t="shared" si="79"/>
        <v>1688</v>
      </c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>
        <f>SUM(AW39+AW40)</f>
        <v>165</v>
      </c>
      <c r="AX38" s="235">
        <f>SUM(AX39+AX40)</f>
        <v>137</v>
      </c>
      <c r="AY38" s="235"/>
      <c r="AZ38" s="235"/>
      <c r="BA38" s="235">
        <f>SUM(BA39+BA40)</f>
        <v>500</v>
      </c>
      <c r="BB38" s="235">
        <f>SUM(BB39+BB40)</f>
        <v>0</v>
      </c>
      <c r="BC38" s="230">
        <f t="shared" si="28"/>
        <v>-0.71735443753533068</v>
      </c>
      <c r="BD38" s="230">
        <f t="shared" si="29"/>
        <v>-1</v>
      </c>
      <c r="BE38" s="235"/>
      <c r="BF38" s="235"/>
      <c r="BG38" s="235">
        <f>'бюджет округа (района)'!AD24+'бюджеты поселений'!AD24</f>
        <v>0</v>
      </c>
      <c r="BH38" s="235">
        <f>'бюджет округа (района)'!AD24</f>
        <v>0</v>
      </c>
      <c r="BI38" s="235">
        <f t="shared" si="30"/>
        <v>0</v>
      </c>
      <c r="BJ38" s="235">
        <f t="shared" si="59"/>
        <v>0</v>
      </c>
      <c r="BK38" s="230">
        <f t="shared" si="3"/>
        <v>1</v>
      </c>
      <c r="BL38" s="230">
        <f t="shared" si="4"/>
        <v>1</v>
      </c>
      <c r="BM38" s="235">
        <f>'бюджет округа (района)'!AG24+'бюджеты поселений'!AG24</f>
        <v>0</v>
      </c>
      <c r="BN38" s="235">
        <f>'бюджет округа (района)'!AG24</f>
        <v>0</v>
      </c>
      <c r="BO38" s="235">
        <f t="shared" si="32"/>
        <v>0</v>
      </c>
      <c r="BP38" s="235">
        <f t="shared" si="60"/>
        <v>0</v>
      </c>
      <c r="BQ38" s="230">
        <f t="shared" si="5"/>
        <v>1</v>
      </c>
      <c r="BR38" s="230">
        <f t="shared" si="6"/>
        <v>1</v>
      </c>
      <c r="BS38" s="235">
        <f>'бюджет округа (района)'!AJ24+'бюджеты поселений'!AJ24</f>
        <v>0</v>
      </c>
      <c r="BT38" s="235">
        <f>'бюджет округа (района)'!AJ24</f>
        <v>0</v>
      </c>
      <c r="BU38" s="235">
        <f t="shared" si="34"/>
        <v>0</v>
      </c>
      <c r="BV38" s="235">
        <f t="shared" si="61"/>
        <v>0</v>
      </c>
      <c r="BW38" s="230">
        <f t="shared" si="7"/>
        <v>1</v>
      </c>
      <c r="BX38" s="230">
        <f t="shared" si="8"/>
        <v>1</v>
      </c>
      <c r="BY38" s="235">
        <f>'бюджет округа (района)'!AM24+'бюджеты поселений'!AM24</f>
        <v>0</v>
      </c>
      <c r="BZ38" s="235">
        <f>'бюджет округа (района)'!AM24</f>
        <v>0</v>
      </c>
      <c r="CA38" s="235">
        <f t="shared" si="36"/>
        <v>0</v>
      </c>
      <c r="CB38" s="235">
        <f t="shared" si="62"/>
        <v>0</v>
      </c>
      <c r="CC38" s="230">
        <f t="shared" si="9"/>
        <v>1</v>
      </c>
      <c r="CD38" s="230">
        <f t="shared" si="10"/>
        <v>1</v>
      </c>
      <c r="CE38" s="235">
        <f>'бюджет округа (района)'!AP24+'бюджеты поселений'!AP24</f>
        <v>0</v>
      </c>
      <c r="CF38" s="235">
        <f>'бюджет округа (района)'!AP24</f>
        <v>0</v>
      </c>
      <c r="CG38" s="235">
        <f t="shared" si="38"/>
        <v>0</v>
      </c>
      <c r="CH38" s="235">
        <f t="shared" si="63"/>
        <v>0</v>
      </c>
      <c r="CI38" s="230">
        <f t="shared" si="11"/>
        <v>1</v>
      </c>
      <c r="CJ38" s="230">
        <f t="shared" si="12"/>
        <v>1</v>
      </c>
      <c r="CK38" s="235">
        <f>'бюджет округа (района)'!AS24+'бюджеты поселений'!AS24</f>
        <v>0</v>
      </c>
      <c r="CL38" s="235">
        <f>'бюджет округа (района)'!AS24</f>
        <v>0</v>
      </c>
      <c r="CM38" s="235">
        <f t="shared" si="40"/>
        <v>0</v>
      </c>
      <c r="CN38" s="235">
        <f t="shared" si="64"/>
        <v>0</v>
      </c>
      <c r="CO38" s="230">
        <f t="shared" si="13"/>
        <v>1</v>
      </c>
      <c r="CP38" s="230">
        <f t="shared" si="14"/>
        <v>1</v>
      </c>
      <c r="CQ38" s="235">
        <f>'бюджет округа (района)'!AV24+'бюджеты поселений'!AV24</f>
        <v>0</v>
      </c>
      <c r="CR38" s="235">
        <f>'бюджет округа (района)'!AV24</f>
        <v>0</v>
      </c>
      <c r="CS38" s="235">
        <f t="shared" si="42"/>
        <v>0</v>
      </c>
      <c r="CT38" s="235">
        <f t="shared" si="65"/>
        <v>0</v>
      </c>
      <c r="CU38" s="230">
        <f t="shared" si="15"/>
        <v>1</v>
      </c>
      <c r="CV38" s="230">
        <f t="shared" si="16"/>
        <v>1</v>
      </c>
      <c r="CW38" s="235">
        <f>'бюджет округа (района)'!AY24+'бюджеты поселений'!AY24</f>
        <v>0</v>
      </c>
      <c r="CX38" s="235">
        <f>'бюджет округа (района)'!AY24</f>
        <v>0</v>
      </c>
      <c r="CY38" s="235">
        <f t="shared" si="44"/>
        <v>0</v>
      </c>
      <c r="CZ38" s="235">
        <f t="shared" si="66"/>
        <v>0</v>
      </c>
      <c r="DA38" s="230">
        <f t="shared" si="17"/>
        <v>1</v>
      </c>
      <c r="DB38" s="230">
        <f t="shared" si="18"/>
        <v>1</v>
      </c>
      <c r="DC38" s="235">
        <f>'бюджет округа (района)'!BB24+'бюджеты поселений'!BB24</f>
        <v>0</v>
      </c>
      <c r="DD38" s="235">
        <f>'бюджет округа (района)'!BB24</f>
        <v>0</v>
      </c>
      <c r="DE38" s="235">
        <f t="shared" si="46"/>
        <v>0</v>
      </c>
      <c r="DF38" s="235">
        <f t="shared" si="67"/>
        <v>0</v>
      </c>
      <c r="DG38" s="230">
        <f t="shared" si="19"/>
        <v>1</v>
      </c>
      <c r="DH38" s="230">
        <f t="shared" si="20"/>
        <v>1</v>
      </c>
      <c r="DI38" s="235">
        <f>'бюджет округа (района)'!BE24+'бюджеты поселений'!BE24</f>
        <v>0</v>
      </c>
      <c r="DJ38" s="235">
        <f>'бюджет округа (района)'!BE24</f>
        <v>0</v>
      </c>
      <c r="DK38" s="235">
        <f>SUM(DK39+DK40)</f>
        <v>30</v>
      </c>
      <c r="DL38" s="235">
        <f>SUM(DL39+DL40)</f>
        <v>0</v>
      </c>
      <c r="DM38" s="230">
        <f t="shared" si="26"/>
        <v>0.18181818181818182</v>
      </c>
      <c r="DN38" s="230">
        <f t="shared" si="27"/>
        <v>0</v>
      </c>
      <c r="DO38" s="235">
        <f>'бюджет округа (района)'!BH24+'бюджеты поселений'!BH24</f>
        <v>0</v>
      </c>
      <c r="DP38" s="235">
        <f>'бюджет округа (района)'!BH24</f>
        <v>0</v>
      </c>
      <c r="DQ38" s="235">
        <f>'бюджет округа (района)'!BI24+'бюджеты поселений'!BI24</f>
        <v>0</v>
      </c>
      <c r="DR38" s="235">
        <f>'бюджет округа (района)'!BI24</f>
        <v>0</v>
      </c>
      <c r="DS38" s="235">
        <f>SUM(DS39+DS40)</f>
        <v>500</v>
      </c>
      <c r="DT38" s="235">
        <f>SUM(DT39+DT40)</f>
        <v>0</v>
      </c>
      <c r="DU38" s="230">
        <f t="shared" si="54"/>
        <v>1</v>
      </c>
      <c r="DV38" s="230" t="e">
        <f t="shared" si="72"/>
        <v>#DIV/0!</v>
      </c>
      <c r="DW38" s="230">
        <f t="shared" si="70"/>
        <v>0.28264556246466932</v>
      </c>
      <c r="DX38" s="246">
        <f t="shared" si="73"/>
        <v>0</v>
      </c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  <c r="IU38" s="61"/>
      <c r="IV38" s="61"/>
      <c r="IW38" s="61"/>
      <c r="IX38" s="61"/>
      <c r="IY38" s="61"/>
      <c r="IZ38" s="61"/>
      <c r="JA38" s="61"/>
      <c r="JB38" s="61"/>
      <c r="JC38" s="61"/>
      <c r="JD38" s="61"/>
      <c r="JE38" s="61"/>
      <c r="JF38" s="61"/>
      <c r="JG38" s="61"/>
      <c r="JH38" s="61"/>
    </row>
    <row r="39" spans="1:268" s="219" customFormat="1" ht="29.25" customHeight="1">
      <c r="A39" s="213" t="s">
        <v>230</v>
      </c>
      <c r="B39" s="220"/>
      <c r="C39" s="215">
        <v>1973</v>
      </c>
      <c r="D39" s="215">
        <v>1896</v>
      </c>
      <c r="E39" s="215">
        <v>1011</v>
      </c>
      <c r="F39" s="215">
        <v>934</v>
      </c>
      <c r="G39" s="215">
        <v>1733</v>
      </c>
      <c r="H39" s="215">
        <v>1652</v>
      </c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>
        <v>129</v>
      </c>
      <c r="AX39" s="215">
        <v>101</v>
      </c>
      <c r="AY39" s="215"/>
      <c r="AZ39" s="215"/>
      <c r="BA39" s="215">
        <v>500</v>
      </c>
      <c r="BB39" s="215"/>
      <c r="BC39" s="216"/>
      <c r="BD39" s="216"/>
      <c r="BE39" s="215"/>
      <c r="BF39" s="215"/>
      <c r="BG39" s="215"/>
      <c r="BH39" s="215"/>
      <c r="BI39" s="215"/>
      <c r="BJ39" s="215"/>
      <c r="BK39" s="216"/>
      <c r="BL39" s="216"/>
      <c r="BM39" s="215"/>
      <c r="BN39" s="215"/>
      <c r="BO39" s="215"/>
      <c r="BP39" s="215"/>
      <c r="BQ39" s="216"/>
      <c r="BR39" s="216"/>
      <c r="BS39" s="215"/>
      <c r="BT39" s="215"/>
      <c r="BU39" s="215"/>
      <c r="BV39" s="215"/>
      <c r="BW39" s="216"/>
      <c r="BX39" s="216"/>
      <c r="BY39" s="215"/>
      <c r="BZ39" s="215"/>
      <c r="CA39" s="215"/>
      <c r="CB39" s="215"/>
      <c r="CC39" s="216"/>
      <c r="CD39" s="216"/>
      <c r="CE39" s="215"/>
      <c r="CF39" s="215"/>
      <c r="CG39" s="215"/>
      <c r="CH39" s="215"/>
      <c r="CI39" s="216"/>
      <c r="CJ39" s="216"/>
      <c r="CK39" s="215"/>
      <c r="CL39" s="215"/>
      <c r="CM39" s="215"/>
      <c r="CN39" s="215"/>
      <c r="CO39" s="216"/>
      <c r="CP39" s="216"/>
      <c r="CQ39" s="215"/>
      <c r="CR39" s="215"/>
      <c r="CS39" s="215"/>
      <c r="CT39" s="215"/>
      <c r="CU39" s="216"/>
      <c r="CV39" s="216"/>
      <c r="CW39" s="215"/>
      <c r="CX39" s="215"/>
      <c r="CY39" s="215"/>
      <c r="CZ39" s="215"/>
      <c r="DA39" s="216"/>
      <c r="DB39" s="216"/>
      <c r="DC39" s="215"/>
      <c r="DD39" s="215"/>
      <c r="DE39" s="215"/>
      <c r="DF39" s="215"/>
      <c r="DG39" s="216"/>
      <c r="DH39" s="216"/>
      <c r="DI39" s="215"/>
      <c r="DJ39" s="215"/>
      <c r="DK39" s="215">
        <v>30</v>
      </c>
      <c r="DL39" s="215"/>
      <c r="DM39" s="216">
        <f t="shared" ref="DM39:DM40" si="80">IF(AW39=0,1,DK39/AW39)</f>
        <v>0.23255813953488372</v>
      </c>
      <c r="DN39" s="216">
        <f t="shared" ref="DN39:DN40" si="81">IF(AX39=0,1,DL39/AX39)</f>
        <v>0</v>
      </c>
      <c r="DO39" s="215"/>
      <c r="DP39" s="215"/>
      <c r="DQ39" s="215"/>
      <c r="DR39" s="215"/>
      <c r="DS39" s="215">
        <v>500</v>
      </c>
      <c r="DT39" s="215"/>
      <c r="DU39" s="135">
        <f t="shared" si="54"/>
        <v>1</v>
      </c>
      <c r="DV39" s="135" t="e">
        <f t="shared" si="72"/>
        <v>#DIV/0!</v>
      </c>
      <c r="DW39" s="135">
        <f t="shared" si="70"/>
        <v>0.28851702250432776</v>
      </c>
      <c r="DX39" s="197">
        <f t="shared" si="73"/>
        <v>0</v>
      </c>
      <c r="DY39" s="217"/>
      <c r="DZ39" s="217"/>
      <c r="EA39" s="217"/>
      <c r="EB39" s="217"/>
      <c r="EC39" s="217"/>
      <c r="ED39" s="217"/>
      <c r="EE39" s="217"/>
      <c r="EF39" s="217"/>
      <c r="EG39" s="217"/>
      <c r="EH39" s="217"/>
      <c r="EI39" s="217"/>
      <c r="EJ39" s="217"/>
      <c r="EK39" s="218"/>
      <c r="EL39" s="218"/>
      <c r="EM39" s="218"/>
      <c r="EN39" s="218"/>
      <c r="EO39" s="218"/>
      <c r="EP39" s="218"/>
      <c r="EQ39" s="218"/>
      <c r="ER39" s="218"/>
      <c r="ES39" s="218"/>
      <c r="ET39" s="218"/>
      <c r="EU39" s="218"/>
      <c r="EV39" s="218"/>
      <c r="EW39" s="218"/>
      <c r="EX39" s="218"/>
      <c r="EY39" s="218"/>
      <c r="EZ39" s="218"/>
      <c r="FA39" s="218"/>
      <c r="FB39" s="218"/>
      <c r="FC39" s="218"/>
      <c r="FD39" s="218"/>
      <c r="FE39" s="218"/>
      <c r="FF39" s="218"/>
      <c r="FG39" s="218"/>
      <c r="FH39" s="218"/>
      <c r="FI39" s="218"/>
      <c r="FJ39" s="218"/>
      <c r="FK39" s="218"/>
      <c r="FL39" s="218"/>
      <c r="FM39" s="218"/>
      <c r="FN39" s="218"/>
      <c r="FO39" s="218"/>
      <c r="FP39" s="218"/>
      <c r="FQ39" s="218"/>
      <c r="FR39" s="218"/>
      <c r="FS39" s="218"/>
      <c r="FT39" s="218"/>
      <c r="FU39" s="218"/>
      <c r="FV39" s="218"/>
      <c r="FW39" s="218"/>
      <c r="FX39" s="218"/>
      <c r="FY39" s="218"/>
      <c r="FZ39" s="218"/>
      <c r="GA39" s="218"/>
      <c r="GB39" s="218"/>
      <c r="GC39" s="218"/>
      <c r="GD39" s="218"/>
      <c r="GE39" s="218"/>
      <c r="GF39" s="218"/>
      <c r="GG39" s="218"/>
      <c r="GH39" s="218"/>
      <c r="GI39" s="218"/>
      <c r="GJ39" s="218"/>
      <c r="GK39" s="218"/>
      <c r="GL39" s="218"/>
      <c r="GM39" s="218"/>
      <c r="GN39" s="218"/>
      <c r="GO39" s="218"/>
      <c r="GP39" s="218"/>
      <c r="GQ39" s="218"/>
      <c r="GR39" s="218"/>
      <c r="GS39" s="218"/>
      <c r="GT39" s="218"/>
      <c r="GU39" s="218"/>
      <c r="GV39" s="218"/>
      <c r="GW39" s="218"/>
      <c r="GX39" s="218"/>
      <c r="GY39" s="218"/>
      <c r="GZ39" s="218"/>
      <c r="HA39" s="218"/>
      <c r="HB39" s="218"/>
      <c r="HC39" s="218"/>
      <c r="HD39" s="218"/>
      <c r="HE39" s="218"/>
      <c r="HF39" s="218"/>
      <c r="HG39" s="218"/>
      <c r="HH39" s="218"/>
      <c r="HI39" s="218"/>
      <c r="HJ39" s="218"/>
      <c r="HK39" s="218"/>
      <c r="HL39" s="218"/>
      <c r="HM39" s="218"/>
      <c r="HN39" s="218"/>
      <c r="HO39" s="218"/>
      <c r="HP39" s="218"/>
      <c r="HQ39" s="218"/>
      <c r="HR39" s="218"/>
      <c r="HS39" s="218"/>
      <c r="HT39" s="218"/>
      <c r="HU39" s="218"/>
      <c r="HV39" s="218"/>
      <c r="HW39" s="218"/>
      <c r="HX39" s="218"/>
      <c r="HY39" s="218"/>
      <c r="HZ39" s="218"/>
      <c r="IA39" s="218"/>
      <c r="IB39" s="218"/>
      <c r="IC39" s="218"/>
      <c r="ID39" s="218"/>
      <c r="IE39" s="218"/>
      <c r="IF39" s="218"/>
      <c r="IG39" s="218"/>
      <c r="IH39" s="218"/>
      <c r="II39" s="218"/>
      <c r="IJ39" s="218"/>
      <c r="IK39" s="218"/>
      <c r="IL39" s="218"/>
      <c r="IM39" s="218"/>
      <c r="IN39" s="218"/>
      <c r="IO39" s="218"/>
      <c r="IP39" s="218"/>
      <c r="IQ39" s="218"/>
      <c r="IR39" s="218"/>
      <c r="IS39" s="218"/>
      <c r="IT39" s="218"/>
      <c r="IU39" s="218"/>
      <c r="IV39" s="218"/>
      <c r="IW39" s="218"/>
      <c r="IX39" s="218"/>
      <c r="IY39" s="218"/>
      <c r="IZ39" s="218"/>
      <c r="JA39" s="218"/>
      <c r="JB39" s="218"/>
      <c r="JC39" s="218"/>
      <c r="JD39" s="218"/>
      <c r="JE39" s="218"/>
      <c r="JF39" s="218"/>
      <c r="JG39" s="218"/>
      <c r="JH39" s="218"/>
    </row>
    <row r="40" spans="1:268" s="219" customFormat="1" ht="35.25" customHeight="1">
      <c r="A40" s="213" t="s">
        <v>231</v>
      </c>
      <c r="B40" s="220"/>
      <c r="C40" s="215">
        <v>33</v>
      </c>
      <c r="D40" s="215">
        <v>33</v>
      </c>
      <c r="E40" s="215">
        <v>502</v>
      </c>
      <c r="F40" s="215">
        <v>73</v>
      </c>
      <c r="G40" s="215">
        <v>36</v>
      </c>
      <c r="H40" s="215">
        <v>36</v>
      </c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>
        <v>36</v>
      </c>
      <c r="AX40" s="215">
        <v>36</v>
      </c>
      <c r="AY40" s="215"/>
      <c r="AZ40" s="215"/>
      <c r="BA40" s="215">
        <v>0</v>
      </c>
      <c r="BB40" s="215"/>
      <c r="BC40" s="216"/>
      <c r="BD40" s="216"/>
      <c r="BE40" s="215"/>
      <c r="BF40" s="215"/>
      <c r="BG40" s="215"/>
      <c r="BH40" s="215"/>
      <c r="BI40" s="215"/>
      <c r="BJ40" s="215"/>
      <c r="BK40" s="216"/>
      <c r="BL40" s="216"/>
      <c r="BM40" s="215"/>
      <c r="BN40" s="215"/>
      <c r="BO40" s="215"/>
      <c r="BP40" s="215"/>
      <c r="BQ40" s="216"/>
      <c r="BR40" s="216"/>
      <c r="BS40" s="215"/>
      <c r="BT40" s="215"/>
      <c r="BU40" s="215"/>
      <c r="BV40" s="215"/>
      <c r="BW40" s="216"/>
      <c r="BX40" s="216"/>
      <c r="BY40" s="215"/>
      <c r="BZ40" s="215"/>
      <c r="CA40" s="215"/>
      <c r="CB40" s="215"/>
      <c r="CC40" s="216"/>
      <c r="CD40" s="216"/>
      <c r="CE40" s="215"/>
      <c r="CF40" s="215"/>
      <c r="CG40" s="215"/>
      <c r="CH40" s="215"/>
      <c r="CI40" s="216"/>
      <c r="CJ40" s="216"/>
      <c r="CK40" s="215"/>
      <c r="CL40" s="215"/>
      <c r="CM40" s="215"/>
      <c r="CN40" s="215"/>
      <c r="CO40" s="216"/>
      <c r="CP40" s="216"/>
      <c r="CQ40" s="215"/>
      <c r="CR40" s="215"/>
      <c r="CS40" s="215"/>
      <c r="CT40" s="215"/>
      <c r="CU40" s="216"/>
      <c r="CV40" s="216"/>
      <c r="CW40" s="215"/>
      <c r="CX40" s="215"/>
      <c r="CY40" s="215"/>
      <c r="CZ40" s="215"/>
      <c r="DA40" s="216"/>
      <c r="DB40" s="216"/>
      <c r="DC40" s="215"/>
      <c r="DD40" s="215"/>
      <c r="DE40" s="215"/>
      <c r="DF40" s="215"/>
      <c r="DG40" s="216"/>
      <c r="DH40" s="216"/>
      <c r="DI40" s="215"/>
      <c r="DJ40" s="215"/>
      <c r="DK40" s="215">
        <v>0</v>
      </c>
      <c r="DL40" s="215"/>
      <c r="DM40" s="216">
        <f t="shared" si="80"/>
        <v>0</v>
      </c>
      <c r="DN40" s="216">
        <f t="shared" si="81"/>
        <v>0</v>
      </c>
      <c r="DO40" s="215"/>
      <c r="DP40" s="215"/>
      <c r="DQ40" s="215"/>
      <c r="DR40" s="215"/>
      <c r="DS40" s="215">
        <v>0</v>
      </c>
      <c r="DT40" s="215"/>
      <c r="DU40" s="229" t="s">
        <v>34</v>
      </c>
      <c r="DV40" s="229" t="s">
        <v>34</v>
      </c>
      <c r="DW40" s="135">
        <f t="shared" si="70"/>
        <v>0</v>
      </c>
      <c r="DX40" s="197">
        <f t="shared" si="73"/>
        <v>0</v>
      </c>
      <c r="DY40" s="217"/>
      <c r="DZ40" s="217"/>
      <c r="EA40" s="217"/>
      <c r="EB40" s="217"/>
      <c r="EC40" s="217"/>
      <c r="ED40" s="217"/>
      <c r="EE40" s="217"/>
      <c r="EF40" s="217"/>
      <c r="EG40" s="217"/>
      <c r="EH40" s="217"/>
      <c r="EI40" s="217"/>
      <c r="EJ40" s="217"/>
      <c r="EK40" s="218"/>
      <c r="EL40" s="218"/>
      <c r="EM40" s="218"/>
      <c r="EN40" s="218"/>
      <c r="EO40" s="218"/>
      <c r="EP40" s="218"/>
      <c r="EQ40" s="218"/>
      <c r="ER40" s="218"/>
      <c r="ES40" s="218"/>
      <c r="ET40" s="218"/>
      <c r="EU40" s="218"/>
      <c r="EV40" s="218"/>
      <c r="EW40" s="218"/>
      <c r="EX40" s="218"/>
      <c r="EY40" s="218"/>
      <c r="EZ40" s="218"/>
      <c r="FA40" s="218"/>
      <c r="FB40" s="218"/>
      <c r="FC40" s="218"/>
      <c r="FD40" s="218"/>
      <c r="FE40" s="218"/>
      <c r="FF40" s="218"/>
      <c r="FG40" s="218"/>
      <c r="FH40" s="218"/>
      <c r="FI40" s="218"/>
      <c r="FJ40" s="218"/>
      <c r="FK40" s="218"/>
      <c r="FL40" s="218"/>
      <c r="FM40" s="218"/>
      <c r="FN40" s="218"/>
      <c r="FO40" s="218"/>
      <c r="FP40" s="218"/>
      <c r="FQ40" s="218"/>
      <c r="FR40" s="218"/>
      <c r="FS40" s="218"/>
      <c r="FT40" s="218"/>
      <c r="FU40" s="218"/>
      <c r="FV40" s="218"/>
      <c r="FW40" s="218"/>
      <c r="FX40" s="218"/>
      <c r="FY40" s="218"/>
      <c r="FZ40" s="218"/>
      <c r="GA40" s="218"/>
      <c r="GB40" s="218"/>
      <c r="GC40" s="218"/>
      <c r="GD40" s="218"/>
      <c r="GE40" s="218"/>
      <c r="GF40" s="218"/>
      <c r="GG40" s="218"/>
      <c r="GH40" s="218"/>
      <c r="GI40" s="218"/>
      <c r="GJ40" s="218"/>
      <c r="GK40" s="218"/>
      <c r="GL40" s="218"/>
      <c r="GM40" s="218"/>
      <c r="GN40" s="218"/>
      <c r="GO40" s="218"/>
      <c r="GP40" s="218"/>
      <c r="GQ40" s="218"/>
      <c r="GR40" s="218"/>
      <c r="GS40" s="218"/>
      <c r="GT40" s="218"/>
      <c r="GU40" s="218"/>
      <c r="GV40" s="218"/>
      <c r="GW40" s="218"/>
      <c r="GX40" s="218"/>
      <c r="GY40" s="218"/>
      <c r="GZ40" s="218"/>
      <c r="HA40" s="218"/>
      <c r="HB40" s="218"/>
      <c r="HC40" s="218"/>
      <c r="HD40" s="218"/>
      <c r="HE40" s="218"/>
      <c r="HF40" s="218"/>
      <c r="HG40" s="218"/>
      <c r="HH40" s="218"/>
      <c r="HI40" s="218"/>
      <c r="HJ40" s="218"/>
      <c r="HK40" s="218"/>
      <c r="HL40" s="218"/>
      <c r="HM40" s="218"/>
      <c r="HN40" s="218"/>
      <c r="HO40" s="218"/>
      <c r="HP40" s="218"/>
      <c r="HQ40" s="218"/>
      <c r="HR40" s="218"/>
      <c r="HS40" s="218"/>
      <c r="HT40" s="218"/>
      <c r="HU40" s="218"/>
      <c r="HV40" s="218"/>
      <c r="HW40" s="218"/>
      <c r="HX40" s="218"/>
      <c r="HY40" s="218"/>
      <c r="HZ40" s="218"/>
      <c r="IA40" s="218"/>
      <c r="IB40" s="218"/>
      <c r="IC40" s="218"/>
      <c r="ID40" s="218"/>
      <c r="IE40" s="218"/>
      <c r="IF40" s="218"/>
      <c r="IG40" s="218"/>
      <c r="IH40" s="218"/>
      <c r="II40" s="218"/>
      <c r="IJ40" s="218"/>
      <c r="IK40" s="218"/>
      <c r="IL40" s="218"/>
      <c r="IM40" s="218"/>
      <c r="IN40" s="218"/>
      <c r="IO40" s="218"/>
      <c r="IP40" s="218"/>
      <c r="IQ40" s="218"/>
      <c r="IR40" s="218"/>
      <c r="IS40" s="218"/>
      <c r="IT40" s="218"/>
      <c r="IU40" s="218"/>
      <c r="IV40" s="218"/>
      <c r="IW40" s="218"/>
      <c r="IX40" s="218"/>
      <c r="IY40" s="218"/>
      <c r="IZ40" s="218"/>
      <c r="JA40" s="218"/>
      <c r="JB40" s="218"/>
      <c r="JC40" s="218"/>
      <c r="JD40" s="218"/>
      <c r="JE40" s="218"/>
      <c r="JF40" s="218"/>
      <c r="JG40" s="218"/>
      <c r="JH40" s="218"/>
    </row>
    <row r="41" spans="1:268" s="62" customFormat="1" ht="36" customHeight="1">
      <c r="A41" s="364" t="s">
        <v>233</v>
      </c>
      <c r="B41" s="313"/>
      <c r="C41" s="134">
        <v>4102</v>
      </c>
      <c r="D41" s="134">
        <v>3988</v>
      </c>
      <c r="E41" s="134">
        <v>2447</v>
      </c>
      <c r="F41" s="134">
        <v>2419</v>
      </c>
      <c r="G41" s="134">
        <v>1452</v>
      </c>
      <c r="H41" s="134">
        <v>1288</v>
      </c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>
        <v>160</v>
      </c>
      <c r="AX41" s="134">
        <v>129</v>
      </c>
      <c r="AY41" s="134"/>
      <c r="AZ41" s="134"/>
      <c r="BA41" s="134">
        <v>987</v>
      </c>
      <c r="BB41" s="134"/>
      <c r="BC41" s="135">
        <f t="shared" ref="BC41:BC43" si="82">IF(G41=0,1,BA41/G41-1)</f>
        <v>-0.32024793388429751</v>
      </c>
      <c r="BD41" s="135">
        <f t="shared" ref="BD41:BD43" si="83">IF(H41=0,1,BB41/H41-1)</f>
        <v>-1</v>
      </c>
      <c r="BE41" s="134"/>
      <c r="BF41" s="134"/>
      <c r="BG41" s="134">
        <f>'бюджет округа (района)'!AD25+'бюджеты поселений'!AD25</f>
        <v>0</v>
      </c>
      <c r="BH41" s="134">
        <f>'бюджет округа (района)'!AD25</f>
        <v>0</v>
      </c>
      <c r="BI41" s="134">
        <f t="shared" si="30"/>
        <v>0</v>
      </c>
      <c r="BJ41" s="134">
        <f t="shared" si="59"/>
        <v>0</v>
      </c>
      <c r="BK41" s="135">
        <f t="shared" si="3"/>
        <v>1</v>
      </c>
      <c r="BL41" s="135">
        <f t="shared" si="4"/>
        <v>1</v>
      </c>
      <c r="BM41" s="134">
        <f>'бюджет округа (района)'!AG25+'бюджеты поселений'!AG25</f>
        <v>0</v>
      </c>
      <c r="BN41" s="134">
        <f>'бюджет округа (района)'!AG25</f>
        <v>0</v>
      </c>
      <c r="BO41" s="134">
        <f t="shared" si="32"/>
        <v>0</v>
      </c>
      <c r="BP41" s="134">
        <f t="shared" si="60"/>
        <v>0</v>
      </c>
      <c r="BQ41" s="135">
        <f t="shared" si="5"/>
        <v>1</v>
      </c>
      <c r="BR41" s="135">
        <f t="shared" si="6"/>
        <v>1</v>
      </c>
      <c r="BS41" s="134">
        <f>'бюджет округа (района)'!AJ25+'бюджеты поселений'!AJ25</f>
        <v>0</v>
      </c>
      <c r="BT41" s="134">
        <f>'бюджет округа (района)'!AJ25</f>
        <v>0</v>
      </c>
      <c r="BU41" s="134">
        <f t="shared" si="34"/>
        <v>0</v>
      </c>
      <c r="BV41" s="134">
        <f t="shared" si="61"/>
        <v>0</v>
      </c>
      <c r="BW41" s="135">
        <f t="shared" si="7"/>
        <v>1</v>
      </c>
      <c r="BX41" s="135">
        <f t="shared" si="8"/>
        <v>1</v>
      </c>
      <c r="BY41" s="134">
        <f>'бюджет округа (района)'!AM25+'бюджеты поселений'!AM25</f>
        <v>0</v>
      </c>
      <c r="BZ41" s="134">
        <f>'бюджет округа (района)'!AM25</f>
        <v>0</v>
      </c>
      <c r="CA41" s="134">
        <f t="shared" si="36"/>
        <v>0</v>
      </c>
      <c r="CB41" s="134">
        <f t="shared" si="62"/>
        <v>0</v>
      </c>
      <c r="CC41" s="135">
        <f t="shared" si="9"/>
        <v>1</v>
      </c>
      <c r="CD41" s="135">
        <f t="shared" si="10"/>
        <v>1</v>
      </c>
      <c r="CE41" s="134">
        <f>'бюджет округа (района)'!AP25+'бюджеты поселений'!AP25</f>
        <v>0</v>
      </c>
      <c r="CF41" s="134">
        <f>'бюджет округа (района)'!AP25</f>
        <v>0</v>
      </c>
      <c r="CG41" s="134">
        <f t="shared" si="38"/>
        <v>0</v>
      </c>
      <c r="CH41" s="134">
        <f t="shared" si="63"/>
        <v>0</v>
      </c>
      <c r="CI41" s="135">
        <f t="shared" si="11"/>
        <v>1</v>
      </c>
      <c r="CJ41" s="135">
        <f t="shared" si="12"/>
        <v>1</v>
      </c>
      <c r="CK41" s="134">
        <f>'бюджет округа (района)'!AS25+'бюджеты поселений'!AS25</f>
        <v>0</v>
      </c>
      <c r="CL41" s="134">
        <f>'бюджет округа (района)'!AS25</f>
        <v>0</v>
      </c>
      <c r="CM41" s="134">
        <f t="shared" si="40"/>
        <v>0</v>
      </c>
      <c r="CN41" s="134">
        <f t="shared" si="64"/>
        <v>0</v>
      </c>
      <c r="CO41" s="135">
        <f t="shared" si="13"/>
        <v>1</v>
      </c>
      <c r="CP41" s="135">
        <f t="shared" si="14"/>
        <v>1</v>
      </c>
      <c r="CQ41" s="134">
        <f>'бюджет округа (района)'!AV25+'бюджеты поселений'!AV25</f>
        <v>0</v>
      </c>
      <c r="CR41" s="134">
        <f>'бюджет округа (района)'!AV25</f>
        <v>0</v>
      </c>
      <c r="CS41" s="134">
        <f t="shared" si="42"/>
        <v>0</v>
      </c>
      <c r="CT41" s="134">
        <f t="shared" si="65"/>
        <v>0</v>
      </c>
      <c r="CU41" s="135">
        <f t="shared" si="15"/>
        <v>1</v>
      </c>
      <c r="CV41" s="135">
        <f t="shared" si="16"/>
        <v>1</v>
      </c>
      <c r="CW41" s="134">
        <f>'бюджет округа (района)'!AY25+'бюджеты поселений'!AY25</f>
        <v>0</v>
      </c>
      <c r="CX41" s="134">
        <f>'бюджет округа (района)'!AY25</f>
        <v>0</v>
      </c>
      <c r="CY41" s="134">
        <f t="shared" si="44"/>
        <v>0</v>
      </c>
      <c r="CZ41" s="134">
        <f t="shared" si="66"/>
        <v>0</v>
      </c>
      <c r="DA41" s="135">
        <f t="shared" si="17"/>
        <v>1</v>
      </c>
      <c r="DB41" s="135">
        <f t="shared" si="18"/>
        <v>1</v>
      </c>
      <c r="DC41" s="134">
        <f>'бюджет округа (района)'!BB25+'бюджеты поселений'!BB25</f>
        <v>0</v>
      </c>
      <c r="DD41" s="134">
        <f>'бюджет округа (района)'!BB25</f>
        <v>0</v>
      </c>
      <c r="DE41" s="134">
        <f t="shared" si="46"/>
        <v>0</v>
      </c>
      <c r="DF41" s="134">
        <f t="shared" si="67"/>
        <v>0</v>
      </c>
      <c r="DG41" s="135">
        <f t="shared" si="19"/>
        <v>1</v>
      </c>
      <c r="DH41" s="135">
        <f t="shared" si="20"/>
        <v>1</v>
      </c>
      <c r="DI41" s="134">
        <f>'бюджет округа (района)'!BE25+'бюджеты поселений'!BE25</f>
        <v>0</v>
      </c>
      <c r="DJ41" s="134">
        <f>'бюджет округа (района)'!BE25</f>
        <v>0</v>
      </c>
      <c r="DK41" s="134">
        <v>218</v>
      </c>
      <c r="DL41" s="134"/>
      <c r="DM41" s="135">
        <f t="shared" si="26"/>
        <v>1.3625</v>
      </c>
      <c r="DN41" s="135">
        <f t="shared" si="27"/>
        <v>0</v>
      </c>
      <c r="DO41" s="134">
        <f>'бюджет округа (района)'!BH25+'бюджеты поселений'!BH25</f>
        <v>0</v>
      </c>
      <c r="DP41" s="134">
        <f>'бюджет округа (района)'!BH25</f>
        <v>0</v>
      </c>
      <c r="DQ41" s="134">
        <f>'бюджет округа (района)'!BI25+'бюджеты поселений'!BI25</f>
        <v>0</v>
      </c>
      <c r="DR41" s="134">
        <f>'бюджет округа (района)'!BI25</f>
        <v>0</v>
      </c>
      <c r="DS41" s="134">
        <v>987</v>
      </c>
      <c r="DT41" s="134"/>
      <c r="DU41" s="135">
        <f>IF($BA$10=0,1,DS41/$BA41)</f>
        <v>1</v>
      </c>
      <c r="DV41" s="135" t="e">
        <f>IF($BA$10=0,1,DT41/$BB41)</f>
        <v>#DIV/0!</v>
      </c>
      <c r="DW41" s="135">
        <f t="shared" si="70"/>
        <v>0.67975206611570249</v>
      </c>
      <c r="DX41" s="197">
        <f t="shared" si="73"/>
        <v>0</v>
      </c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  <c r="IQ41" s="61"/>
      <c r="IR41" s="61"/>
      <c r="IS41" s="61"/>
      <c r="IT41" s="61"/>
      <c r="IU41" s="61"/>
      <c r="IV41" s="61"/>
      <c r="IW41" s="61"/>
      <c r="IX41" s="61"/>
      <c r="IY41" s="61"/>
      <c r="IZ41" s="61"/>
      <c r="JA41" s="61"/>
      <c r="JB41" s="61"/>
      <c r="JC41" s="61"/>
      <c r="JD41" s="61"/>
      <c r="JE41" s="61"/>
      <c r="JF41" s="61"/>
      <c r="JG41" s="61"/>
      <c r="JH41" s="61"/>
    </row>
    <row r="42" spans="1:268" s="219" customFormat="1" ht="33.75" customHeight="1">
      <c r="A42" s="213" t="s">
        <v>234</v>
      </c>
      <c r="B42" s="220"/>
      <c r="C42" s="215">
        <v>508</v>
      </c>
      <c r="D42" s="215">
        <v>507</v>
      </c>
      <c r="E42" s="215">
        <v>95</v>
      </c>
      <c r="F42" s="215">
        <v>89</v>
      </c>
      <c r="G42" s="215">
        <v>59</v>
      </c>
      <c r="H42" s="215">
        <v>59</v>
      </c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>
        <v>14</v>
      </c>
      <c r="AX42" s="215">
        <v>14</v>
      </c>
      <c r="AY42" s="215"/>
      <c r="AZ42" s="215"/>
      <c r="BA42" s="215">
        <v>44</v>
      </c>
      <c r="BB42" s="215"/>
      <c r="BC42" s="216"/>
      <c r="BD42" s="216"/>
      <c r="BE42" s="215"/>
      <c r="BF42" s="215"/>
      <c r="BG42" s="215"/>
      <c r="BH42" s="215"/>
      <c r="BI42" s="215"/>
      <c r="BJ42" s="215"/>
      <c r="BK42" s="216"/>
      <c r="BL42" s="216"/>
      <c r="BM42" s="215"/>
      <c r="BN42" s="215"/>
      <c r="BO42" s="215"/>
      <c r="BP42" s="215"/>
      <c r="BQ42" s="216"/>
      <c r="BR42" s="216"/>
      <c r="BS42" s="215"/>
      <c r="BT42" s="215"/>
      <c r="BU42" s="215"/>
      <c r="BV42" s="215"/>
      <c r="BW42" s="216"/>
      <c r="BX42" s="216"/>
      <c r="BY42" s="215"/>
      <c r="BZ42" s="215"/>
      <c r="CA42" s="215"/>
      <c r="CB42" s="215"/>
      <c r="CC42" s="216"/>
      <c r="CD42" s="216"/>
      <c r="CE42" s="215"/>
      <c r="CF42" s="215"/>
      <c r="CG42" s="215"/>
      <c r="CH42" s="215"/>
      <c r="CI42" s="216"/>
      <c r="CJ42" s="216"/>
      <c r="CK42" s="215"/>
      <c r="CL42" s="215"/>
      <c r="CM42" s="215"/>
      <c r="CN42" s="215"/>
      <c r="CO42" s="216"/>
      <c r="CP42" s="216"/>
      <c r="CQ42" s="215"/>
      <c r="CR42" s="215"/>
      <c r="CS42" s="215"/>
      <c r="CT42" s="215"/>
      <c r="CU42" s="216"/>
      <c r="CV42" s="216"/>
      <c r="CW42" s="215"/>
      <c r="CX42" s="215"/>
      <c r="CY42" s="215"/>
      <c r="CZ42" s="215"/>
      <c r="DA42" s="216"/>
      <c r="DB42" s="216"/>
      <c r="DC42" s="215"/>
      <c r="DD42" s="215"/>
      <c r="DE42" s="215"/>
      <c r="DF42" s="215"/>
      <c r="DG42" s="216"/>
      <c r="DH42" s="216"/>
      <c r="DI42" s="215"/>
      <c r="DJ42" s="215"/>
      <c r="DK42" s="215">
        <v>0</v>
      </c>
      <c r="DL42" s="215"/>
      <c r="DM42" s="216">
        <f t="shared" ref="DM42" si="84">IF(AW42=0,1,DK42/AW42)</f>
        <v>0</v>
      </c>
      <c r="DN42" s="216">
        <f t="shared" ref="DN42" si="85">IF(AX42=0,1,DL42/AX42)</f>
        <v>0</v>
      </c>
      <c r="DO42" s="215"/>
      <c r="DP42" s="215"/>
      <c r="DQ42" s="215"/>
      <c r="DR42" s="215"/>
      <c r="DS42" s="215">
        <v>44</v>
      </c>
      <c r="DT42" s="215"/>
      <c r="DU42" s="135">
        <f>IF($BA$10=0,1,DS42/$BA42)</f>
        <v>1</v>
      </c>
      <c r="DV42" s="135" t="e">
        <f>IF($BA$10=0,1,DT42/$BB42)</f>
        <v>#DIV/0!</v>
      </c>
      <c r="DW42" s="135">
        <f t="shared" si="70"/>
        <v>0.74576271186440679</v>
      </c>
      <c r="DX42" s="197">
        <f t="shared" si="73"/>
        <v>0</v>
      </c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  <c r="EK42" s="218"/>
      <c r="EL42" s="218"/>
      <c r="EM42" s="218"/>
      <c r="EN42" s="218"/>
      <c r="EO42" s="218"/>
      <c r="EP42" s="218"/>
      <c r="EQ42" s="218"/>
      <c r="ER42" s="218"/>
      <c r="ES42" s="218"/>
      <c r="ET42" s="218"/>
      <c r="EU42" s="218"/>
      <c r="EV42" s="218"/>
      <c r="EW42" s="218"/>
      <c r="EX42" s="218"/>
      <c r="EY42" s="218"/>
      <c r="EZ42" s="218"/>
      <c r="FA42" s="218"/>
      <c r="FB42" s="218"/>
      <c r="FC42" s="218"/>
      <c r="FD42" s="218"/>
      <c r="FE42" s="218"/>
      <c r="FF42" s="218"/>
      <c r="FG42" s="218"/>
      <c r="FH42" s="218"/>
      <c r="FI42" s="218"/>
      <c r="FJ42" s="218"/>
      <c r="FK42" s="218"/>
      <c r="FL42" s="218"/>
      <c r="FM42" s="218"/>
      <c r="FN42" s="218"/>
      <c r="FO42" s="218"/>
      <c r="FP42" s="218"/>
      <c r="FQ42" s="218"/>
      <c r="FR42" s="218"/>
      <c r="FS42" s="218"/>
      <c r="FT42" s="218"/>
      <c r="FU42" s="218"/>
      <c r="FV42" s="218"/>
      <c r="FW42" s="218"/>
      <c r="FX42" s="218"/>
      <c r="FY42" s="218"/>
      <c r="FZ42" s="218"/>
      <c r="GA42" s="218"/>
      <c r="GB42" s="218"/>
      <c r="GC42" s="218"/>
      <c r="GD42" s="218"/>
      <c r="GE42" s="218"/>
      <c r="GF42" s="218"/>
      <c r="GG42" s="218"/>
      <c r="GH42" s="218"/>
      <c r="GI42" s="218"/>
      <c r="GJ42" s="218"/>
      <c r="GK42" s="218"/>
      <c r="GL42" s="218"/>
      <c r="GM42" s="218"/>
      <c r="GN42" s="218"/>
      <c r="GO42" s="218"/>
      <c r="GP42" s="218"/>
      <c r="GQ42" s="218"/>
      <c r="GR42" s="218"/>
      <c r="GS42" s="218"/>
      <c r="GT42" s="218"/>
      <c r="GU42" s="218"/>
      <c r="GV42" s="218"/>
      <c r="GW42" s="218"/>
      <c r="GX42" s="218"/>
      <c r="GY42" s="218"/>
      <c r="GZ42" s="218"/>
      <c r="HA42" s="218"/>
      <c r="HB42" s="218"/>
      <c r="HC42" s="218"/>
      <c r="HD42" s="218"/>
      <c r="HE42" s="218"/>
      <c r="HF42" s="218"/>
      <c r="HG42" s="218"/>
      <c r="HH42" s="218"/>
      <c r="HI42" s="218"/>
      <c r="HJ42" s="218"/>
      <c r="HK42" s="218"/>
      <c r="HL42" s="218"/>
      <c r="HM42" s="218"/>
      <c r="HN42" s="218"/>
      <c r="HO42" s="218"/>
      <c r="HP42" s="218"/>
      <c r="HQ42" s="218"/>
      <c r="HR42" s="218"/>
      <c r="HS42" s="218"/>
      <c r="HT42" s="218"/>
      <c r="HU42" s="218"/>
      <c r="HV42" s="218"/>
      <c r="HW42" s="218"/>
      <c r="HX42" s="218"/>
      <c r="HY42" s="218"/>
      <c r="HZ42" s="218"/>
      <c r="IA42" s="218"/>
      <c r="IB42" s="218"/>
      <c r="IC42" s="218"/>
      <c r="ID42" s="218"/>
      <c r="IE42" s="218"/>
      <c r="IF42" s="218"/>
      <c r="IG42" s="218"/>
      <c r="IH42" s="218"/>
      <c r="II42" s="218"/>
      <c r="IJ42" s="218"/>
      <c r="IK42" s="218"/>
      <c r="IL42" s="218"/>
      <c r="IM42" s="218"/>
      <c r="IN42" s="218"/>
      <c r="IO42" s="218"/>
      <c r="IP42" s="218"/>
      <c r="IQ42" s="218"/>
      <c r="IR42" s="218"/>
      <c r="IS42" s="218"/>
      <c r="IT42" s="218"/>
      <c r="IU42" s="218"/>
      <c r="IV42" s="218"/>
      <c r="IW42" s="218"/>
      <c r="IX42" s="218"/>
      <c r="IY42" s="218"/>
      <c r="IZ42" s="218"/>
      <c r="JA42" s="218"/>
      <c r="JB42" s="218"/>
      <c r="JC42" s="218"/>
      <c r="JD42" s="218"/>
      <c r="JE42" s="218"/>
      <c r="JF42" s="218"/>
      <c r="JG42" s="218"/>
      <c r="JH42" s="218"/>
    </row>
    <row r="43" spans="1:268" s="62" customFormat="1" ht="18" customHeight="1">
      <c r="A43" s="364" t="s">
        <v>43</v>
      </c>
      <c r="B43" s="313"/>
      <c r="C43" s="134">
        <v>289</v>
      </c>
      <c r="D43" s="134">
        <v>217</v>
      </c>
      <c r="E43" s="134">
        <v>-307</v>
      </c>
      <c r="F43" s="134">
        <v>-259</v>
      </c>
      <c r="G43" s="134">
        <v>123</v>
      </c>
      <c r="H43" s="134">
        <v>147</v>
      </c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>
        <v>-23</v>
      </c>
      <c r="AX43" s="134">
        <v>-5</v>
      </c>
      <c r="AY43" s="134"/>
      <c r="AZ43" s="134"/>
      <c r="BA43" s="134">
        <v>0</v>
      </c>
      <c r="BB43" s="134"/>
      <c r="BC43" s="135">
        <f t="shared" si="82"/>
        <v>-1</v>
      </c>
      <c r="BD43" s="135">
        <f t="shared" si="83"/>
        <v>-1</v>
      </c>
      <c r="BE43" s="134"/>
      <c r="BF43" s="134"/>
      <c r="BG43" s="134">
        <f>'бюджет округа (района)'!AD26+'бюджеты поселений'!AD26</f>
        <v>0</v>
      </c>
      <c r="BH43" s="134">
        <f>'бюджет округа (района)'!AD26</f>
        <v>0</v>
      </c>
      <c r="BI43" s="134">
        <f t="shared" si="30"/>
        <v>0</v>
      </c>
      <c r="BJ43" s="134">
        <f t="shared" si="59"/>
        <v>0</v>
      </c>
      <c r="BK43" s="135">
        <f t="shared" si="3"/>
        <v>1</v>
      </c>
      <c r="BL43" s="135">
        <f t="shared" si="4"/>
        <v>1</v>
      </c>
      <c r="BM43" s="134">
        <f>'бюджет округа (района)'!AG26+'бюджеты поселений'!AG26</f>
        <v>0</v>
      </c>
      <c r="BN43" s="134">
        <f>'бюджет округа (района)'!AG26</f>
        <v>0</v>
      </c>
      <c r="BO43" s="134">
        <f t="shared" si="32"/>
        <v>0</v>
      </c>
      <c r="BP43" s="134">
        <f t="shared" si="60"/>
        <v>0</v>
      </c>
      <c r="BQ43" s="135">
        <f t="shared" si="5"/>
        <v>1</v>
      </c>
      <c r="BR43" s="135">
        <f t="shared" si="6"/>
        <v>1</v>
      </c>
      <c r="BS43" s="134">
        <f>'бюджет округа (района)'!AJ26+'бюджеты поселений'!AJ26</f>
        <v>0</v>
      </c>
      <c r="BT43" s="134">
        <f>'бюджет округа (района)'!AJ26</f>
        <v>0</v>
      </c>
      <c r="BU43" s="134">
        <f t="shared" si="34"/>
        <v>0</v>
      </c>
      <c r="BV43" s="134">
        <f t="shared" si="61"/>
        <v>0</v>
      </c>
      <c r="BW43" s="135">
        <f t="shared" si="7"/>
        <v>1</v>
      </c>
      <c r="BX43" s="135">
        <f t="shared" si="8"/>
        <v>1</v>
      </c>
      <c r="BY43" s="134">
        <f>'бюджет округа (района)'!AM26+'бюджеты поселений'!AM26</f>
        <v>0</v>
      </c>
      <c r="BZ43" s="134">
        <f>'бюджет округа (района)'!AM26</f>
        <v>0</v>
      </c>
      <c r="CA43" s="134">
        <f t="shared" si="36"/>
        <v>0</v>
      </c>
      <c r="CB43" s="134">
        <f t="shared" si="62"/>
        <v>0</v>
      </c>
      <c r="CC43" s="135">
        <f t="shared" si="9"/>
        <v>1</v>
      </c>
      <c r="CD43" s="135">
        <f t="shared" si="10"/>
        <v>1</v>
      </c>
      <c r="CE43" s="134">
        <f>'бюджет округа (района)'!AP26+'бюджеты поселений'!AP26</f>
        <v>0</v>
      </c>
      <c r="CF43" s="134">
        <f>'бюджет округа (района)'!AP26</f>
        <v>0</v>
      </c>
      <c r="CG43" s="134">
        <f t="shared" si="38"/>
        <v>0</v>
      </c>
      <c r="CH43" s="134">
        <f t="shared" si="63"/>
        <v>0</v>
      </c>
      <c r="CI43" s="135">
        <f t="shared" si="11"/>
        <v>1</v>
      </c>
      <c r="CJ43" s="135">
        <f t="shared" si="12"/>
        <v>1</v>
      </c>
      <c r="CK43" s="134">
        <f>'бюджет округа (района)'!AS26+'бюджеты поселений'!AS26</f>
        <v>0</v>
      </c>
      <c r="CL43" s="134">
        <f>'бюджет округа (района)'!AS26</f>
        <v>0</v>
      </c>
      <c r="CM43" s="134">
        <f t="shared" si="40"/>
        <v>0</v>
      </c>
      <c r="CN43" s="134">
        <f t="shared" si="64"/>
        <v>0</v>
      </c>
      <c r="CO43" s="135">
        <f t="shared" si="13"/>
        <v>1</v>
      </c>
      <c r="CP43" s="135">
        <f t="shared" si="14"/>
        <v>1</v>
      </c>
      <c r="CQ43" s="134">
        <f>'бюджет округа (района)'!AV26+'бюджеты поселений'!AV26</f>
        <v>0</v>
      </c>
      <c r="CR43" s="134">
        <f>'бюджет округа (района)'!AV26</f>
        <v>0</v>
      </c>
      <c r="CS43" s="134">
        <f t="shared" si="42"/>
        <v>0</v>
      </c>
      <c r="CT43" s="134">
        <f t="shared" si="65"/>
        <v>0</v>
      </c>
      <c r="CU43" s="135">
        <f t="shared" si="15"/>
        <v>1</v>
      </c>
      <c r="CV43" s="135">
        <f t="shared" si="16"/>
        <v>1</v>
      </c>
      <c r="CW43" s="134">
        <f>'бюджет округа (района)'!AY26+'бюджеты поселений'!AY26</f>
        <v>0</v>
      </c>
      <c r="CX43" s="134">
        <f>'бюджет округа (района)'!AY26</f>
        <v>0</v>
      </c>
      <c r="CY43" s="134">
        <f t="shared" si="44"/>
        <v>0</v>
      </c>
      <c r="CZ43" s="134">
        <f t="shared" si="66"/>
        <v>0</v>
      </c>
      <c r="DA43" s="135">
        <f t="shared" si="17"/>
        <v>1</v>
      </c>
      <c r="DB43" s="135">
        <f t="shared" si="18"/>
        <v>1</v>
      </c>
      <c r="DC43" s="134">
        <f>'бюджет округа (района)'!BB26+'бюджеты поселений'!BB26</f>
        <v>0</v>
      </c>
      <c r="DD43" s="134">
        <f>'бюджет округа (района)'!BB26</f>
        <v>0</v>
      </c>
      <c r="DE43" s="134">
        <f t="shared" si="46"/>
        <v>0</v>
      </c>
      <c r="DF43" s="134">
        <f t="shared" si="67"/>
        <v>0</v>
      </c>
      <c r="DG43" s="135">
        <f t="shared" si="19"/>
        <v>1</v>
      </c>
      <c r="DH43" s="135">
        <f t="shared" si="20"/>
        <v>1</v>
      </c>
      <c r="DI43" s="134">
        <f>'бюджет округа (района)'!BE26+'бюджеты поселений'!BE26</f>
        <v>0</v>
      </c>
      <c r="DJ43" s="134">
        <f>'бюджет округа (района)'!BE26</f>
        <v>0</v>
      </c>
      <c r="DK43" s="134">
        <v>395</v>
      </c>
      <c r="DL43" s="134"/>
      <c r="DM43" s="135">
        <f t="shared" si="26"/>
        <v>-17.173913043478262</v>
      </c>
      <c r="DN43" s="135">
        <f t="shared" si="27"/>
        <v>0</v>
      </c>
      <c r="DO43" s="134">
        <f>'бюджет округа (района)'!BH26+'бюджеты поселений'!BH26</f>
        <v>0</v>
      </c>
      <c r="DP43" s="134">
        <f>'бюджет округа (района)'!BH26</f>
        <v>0</v>
      </c>
      <c r="DQ43" s="134">
        <f>'бюджет округа (района)'!BI26+'бюджеты поселений'!BI26</f>
        <v>0</v>
      </c>
      <c r="DR43" s="134">
        <f>'бюджет округа (района)'!BI26</f>
        <v>0</v>
      </c>
      <c r="DS43" s="134">
        <v>395</v>
      </c>
      <c r="DT43" s="134"/>
      <c r="DU43" s="229" t="s">
        <v>34</v>
      </c>
      <c r="DV43" s="229" t="s">
        <v>34</v>
      </c>
      <c r="DW43" s="135">
        <f t="shared" si="70"/>
        <v>3.2113821138211383</v>
      </c>
      <c r="DX43" s="197">
        <f t="shared" si="73"/>
        <v>0</v>
      </c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1"/>
      <c r="HU43" s="61"/>
      <c r="HV43" s="61"/>
      <c r="HW43" s="61"/>
      <c r="HX43" s="61"/>
      <c r="HY43" s="61"/>
      <c r="HZ43" s="61"/>
      <c r="IA43" s="61"/>
      <c r="IB43" s="61"/>
      <c r="IC43" s="61"/>
      <c r="ID43" s="61"/>
      <c r="IE43" s="61"/>
      <c r="IF43" s="61"/>
      <c r="IG43" s="61"/>
      <c r="IH43" s="61"/>
      <c r="II43" s="61"/>
      <c r="IJ43" s="61"/>
      <c r="IK43" s="61"/>
      <c r="IL43" s="61"/>
      <c r="IM43" s="61"/>
      <c r="IN43" s="61"/>
      <c r="IO43" s="61"/>
      <c r="IP43" s="61"/>
      <c r="IQ43" s="61"/>
      <c r="IR43" s="61"/>
      <c r="IS43" s="61"/>
      <c r="IT43" s="61"/>
      <c r="IU43" s="61"/>
      <c r="IV43" s="61"/>
      <c r="IW43" s="61"/>
      <c r="IX43" s="61"/>
      <c r="IY43" s="61"/>
      <c r="IZ43" s="61"/>
      <c r="JA43" s="61"/>
      <c r="JB43" s="61"/>
      <c r="JC43" s="61"/>
      <c r="JD43" s="61"/>
      <c r="JE43" s="61"/>
      <c r="JF43" s="61"/>
      <c r="JG43" s="61"/>
      <c r="JH43" s="61"/>
    </row>
    <row r="44" spans="1:268" s="59" customFormat="1" ht="17.25">
      <c r="A44" s="354" t="s">
        <v>44</v>
      </c>
      <c r="B44" s="315"/>
      <c r="C44" s="132">
        <f>C45+C52+C53+C54</f>
        <v>588096</v>
      </c>
      <c r="D44" s="132">
        <f t="shared" ref="D44:F44" si="86">D45+D52+D53+D54</f>
        <v>587857</v>
      </c>
      <c r="E44" s="132">
        <f t="shared" si="86"/>
        <v>767568</v>
      </c>
      <c r="F44" s="132">
        <f t="shared" si="86"/>
        <v>766083</v>
      </c>
      <c r="G44" s="132">
        <f t="shared" ref="G44:BQ44" si="87">G45+G52+G53+G54</f>
        <v>1821818</v>
      </c>
      <c r="H44" s="132">
        <f t="shared" si="87"/>
        <v>1837170</v>
      </c>
      <c r="I44" s="132">
        <f t="shared" si="87"/>
        <v>0</v>
      </c>
      <c r="J44" s="132">
        <f t="shared" si="87"/>
        <v>0</v>
      </c>
      <c r="K44" s="132">
        <f t="shared" si="87"/>
        <v>0</v>
      </c>
      <c r="L44" s="132">
        <f t="shared" si="87"/>
        <v>0</v>
      </c>
      <c r="M44" s="132">
        <f t="shared" si="87"/>
        <v>0</v>
      </c>
      <c r="N44" s="132">
        <f t="shared" si="87"/>
        <v>0</v>
      </c>
      <c r="O44" s="132">
        <f t="shared" si="87"/>
        <v>0</v>
      </c>
      <c r="P44" s="132">
        <f t="shared" si="87"/>
        <v>0</v>
      </c>
      <c r="Q44" s="132">
        <f t="shared" si="87"/>
        <v>0</v>
      </c>
      <c r="R44" s="132">
        <f t="shared" si="87"/>
        <v>0</v>
      </c>
      <c r="S44" s="132">
        <f t="shared" si="87"/>
        <v>0</v>
      </c>
      <c r="T44" s="132">
        <f t="shared" si="87"/>
        <v>0</v>
      </c>
      <c r="U44" s="132">
        <f t="shared" si="87"/>
        <v>0</v>
      </c>
      <c r="V44" s="132">
        <f t="shared" si="87"/>
        <v>0</v>
      </c>
      <c r="W44" s="132">
        <f t="shared" si="87"/>
        <v>0</v>
      </c>
      <c r="X44" s="132">
        <f t="shared" si="87"/>
        <v>0</v>
      </c>
      <c r="Y44" s="132">
        <f t="shared" si="87"/>
        <v>0</v>
      </c>
      <c r="Z44" s="132">
        <f t="shared" si="87"/>
        <v>0</v>
      </c>
      <c r="AA44" s="132">
        <f t="shared" si="87"/>
        <v>0</v>
      </c>
      <c r="AB44" s="132">
        <f t="shared" si="87"/>
        <v>0</v>
      </c>
      <c r="AC44" s="132">
        <f t="shared" si="87"/>
        <v>0</v>
      </c>
      <c r="AD44" s="132">
        <f t="shared" si="87"/>
        <v>0</v>
      </c>
      <c r="AE44" s="132">
        <f t="shared" si="87"/>
        <v>0</v>
      </c>
      <c r="AF44" s="132">
        <f t="shared" si="87"/>
        <v>0</v>
      </c>
      <c r="AG44" s="132">
        <f t="shared" si="87"/>
        <v>0</v>
      </c>
      <c r="AH44" s="132">
        <f t="shared" si="87"/>
        <v>0</v>
      </c>
      <c r="AI44" s="132">
        <f t="shared" si="87"/>
        <v>0</v>
      </c>
      <c r="AJ44" s="132">
        <f t="shared" si="87"/>
        <v>0</v>
      </c>
      <c r="AK44" s="132">
        <f t="shared" si="87"/>
        <v>0</v>
      </c>
      <c r="AL44" s="132">
        <f t="shared" si="87"/>
        <v>0</v>
      </c>
      <c r="AM44" s="132">
        <f t="shared" si="87"/>
        <v>0</v>
      </c>
      <c r="AN44" s="132">
        <f t="shared" si="87"/>
        <v>0</v>
      </c>
      <c r="AO44" s="132">
        <f t="shared" si="87"/>
        <v>0</v>
      </c>
      <c r="AP44" s="132">
        <f t="shared" si="87"/>
        <v>0</v>
      </c>
      <c r="AQ44" s="132">
        <f t="shared" si="87"/>
        <v>0</v>
      </c>
      <c r="AR44" s="132">
        <f t="shared" si="87"/>
        <v>0</v>
      </c>
      <c r="AS44" s="132">
        <f t="shared" si="87"/>
        <v>0</v>
      </c>
      <c r="AT44" s="132">
        <f t="shared" si="87"/>
        <v>0</v>
      </c>
      <c r="AU44" s="132">
        <f t="shared" si="87"/>
        <v>0</v>
      </c>
      <c r="AV44" s="132">
        <f t="shared" si="87"/>
        <v>0</v>
      </c>
      <c r="AW44" s="132">
        <f t="shared" si="87"/>
        <v>137613</v>
      </c>
      <c r="AX44" s="132">
        <f t="shared" si="87"/>
        <v>153244</v>
      </c>
      <c r="AY44" s="132">
        <f t="shared" si="87"/>
        <v>0</v>
      </c>
      <c r="AZ44" s="132">
        <f t="shared" si="87"/>
        <v>0</v>
      </c>
      <c r="BA44" s="132">
        <f t="shared" si="87"/>
        <v>902680</v>
      </c>
      <c r="BB44" s="132">
        <f t="shared" si="87"/>
        <v>0</v>
      </c>
      <c r="BC44" s="132">
        <f t="shared" si="87"/>
        <v>0</v>
      </c>
      <c r="BD44" s="132">
        <f t="shared" si="87"/>
        <v>0</v>
      </c>
      <c r="BE44" s="132">
        <f t="shared" si="87"/>
        <v>0</v>
      </c>
      <c r="BF44" s="132">
        <f t="shared" si="87"/>
        <v>0</v>
      </c>
      <c r="BG44" s="132">
        <f t="shared" si="87"/>
        <v>0</v>
      </c>
      <c r="BH44" s="132">
        <f t="shared" si="87"/>
        <v>0</v>
      </c>
      <c r="BI44" s="132">
        <f t="shared" si="87"/>
        <v>0</v>
      </c>
      <c r="BJ44" s="132">
        <f t="shared" si="87"/>
        <v>0</v>
      </c>
      <c r="BK44" s="132">
        <f t="shared" si="87"/>
        <v>0</v>
      </c>
      <c r="BL44" s="132">
        <f t="shared" si="87"/>
        <v>0</v>
      </c>
      <c r="BM44" s="132">
        <f t="shared" si="87"/>
        <v>0</v>
      </c>
      <c r="BN44" s="132">
        <f t="shared" si="87"/>
        <v>0</v>
      </c>
      <c r="BO44" s="132">
        <f t="shared" si="87"/>
        <v>0</v>
      </c>
      <c r="BP44" s="132">
        <f t="shared" si="87"/>
        <v>0</v>
      </c>
      <c r="BQ44" s="132">
        <f t="shared" si="87"/>
        <v>0</v>
      </c>
      <c r="BR44" s="132">
        <f t="shared" ref="BR44:DL44" si="88">BR45+BR52+BR53+BR54</f>
        <v>0</v>
      </c>
      <c r="BS44" s="132">
        <f t="shared" si="88"/>
        <v>0</v>
      </c>
      <c r="BT44" s="132">
        <f t="shared" si="88"/>
        <v>0</v>
      </c>
      <c r="BU44" s="132">
        <f t="shared" si="88"/>
        <v>0</v>
      </c>
      <c r="BV44" s="132">
        <f t="shared" si="88"/>
        <v>0</v>
      </c>
      <c r="BW44" s="132">
        <f t="shared" si="88"/>
        <v>0</v>
      </c>
      <c r="BX44" s="132">
        <f t="shared" si="88"/>
        <v>0</v>
      </c>
      <c r="BY44" s="132">
        <f t="shared" si="88"/>
        <v>0</v>
      </c>
      <c r="BZ44" s="132">
        <f t="shared" si="88"/>
        <v>0</v>
      </c>
      <c r="CA44" s="132">
        <f t="shared" si="88"/>
        <v>0</v>
      </c>
      <c r="CB44" s="132">
        <f t="shared" si="88"/>
        <v>0</v>
      </c>
      <c r="CC44" s="132">
        <f t="shared" si="88"/>
        <v>0</v>
      </c>
      <c r="CD44" s="132">
        <f t="shared" si="88"/>
        <v>0</v>
      </c>
      <c r="CE44" s="132">
        <f t="shared" si="88"/>
        <v>0</v>
      </c>
      <c r="CF44" s="132">
        <f t="shared" si="88"/>
        <v>0</v>
      </c>
      <c r="CG44" s="132">
        <f t="shared" si="88"/>
        <v>0</v>
      </c>
      <c r="CH44" s="132">
        <f t="shared" si="88"/>
        <v>0</v>
      </c>
      <c r="CI44" s="132">
        <f t="shared" si="88"/>
        <v>0</v>
      </c>
      <c r="CJ44" s="132">
        <f t="shared" si="88"/>
        <v>0</v>
      </c>
      <c r="CK44" s="132">
        <f t="shared" si="88"/>
        <v>0</v>
      </c>
      <c r="CL44" s="132">
        <f t="shared" si="88"/>
        <v>0</v>
      </c>
      <c r="CM44" s="132">
        <f t="shared" si="88"/>
        <v>0</v>
      </c>
      <c r="CN44" s="132">
        <f t="shared" si="88"/>
        <v>0</v>
      </c>
      <c r="CO44" s="132">
        <f t="shared" si="88"/>
        <v>0</v>
      </c>
      <c r="CP44" s="132">
        <f t="shared" si="88"/>
        <v>0</v>
      </c>
      <c r="CQ44" s="132">
        <f t="shared" si="88"/>
        <v>0</v>
      </c>
      <c r="CR44" s="132">
        <f t="shared" si="88"/>
        <v>0</v>
      </c>
      <c r="CS44" s="132">
        <f t="shared" si="88"/>
        <v>0</v>
      </c>
      <c r="CT44" s="132">
        <f t="shared" si="88"/>
        <v>0</v>
      </c>
      <c r="CU44" s="132">
        <f t="shared" si="88"/>
        <v>0</v>
      </c>
      <c r="CV44" s="132">
        <f t="shared" si="88"/>
        <v>0</v>
      </c>
      <c r="CW44" s="132">
        <f t="shared" si="88"/>
        <v>0</v>
      </c>
      <c r="CX44" s="132">
        <f t="shared" si="88"/>
        <v>0</v>
      </c>
      <c r="CY44" s="132">
        <f t="shared" si="88"/>
        <v>0</v>
      </c>
      <c r="CZ44" s="132">
        <f t="shared" si="88"/>
        <v>0</v>
      </c>
      <c r="DA44" s="132">
        <f t="shared" si="88"/>
        <v>0</v>
      </c>
      <c r="DB44" s="132">
        <f t="shared" si="88"/>
        <v>0</v>
      </c>
      <c r="DC44" s="132">
        <f t="shared" si="88"/>
        <v>0</v>
      </c>
      <c r="DD44" s="132">
        <f t="shared" si="88"/>
        <v>0</v>
      </c>
      <c r="DE44" s="132">
        <f t="shared" si="88"/>
        <v>0</v>
      </c>
      <c r="DF44" s="132">
        <f t="shared" si="88"/>
        <v>0</v>
      </c>
      <c r="DG44" s="132">
        <f t="shared" si="88"/>
        <v>0</v>
      </c>
      <c r="DH44" s="132">
        <f t="shared" si="88"/>
        <v>0</v>
      </c>
      <c r="DI44" s="132">
        <f t="shared" si="88"/>
        <v>0</v>
      </c>
      <c r="DJ44" s="132">
        <f t="shared" si="88"/>
        <v>0</v>
      </c>
      <c r="DK44" s="132">
        <f t="shared" si="88"/>
        <v>129752</v>
      </c>
      <c r="DL44" s="132">
        <f t="shared" si="88"/>
        <v>0</v>
      </c>
      <c r="DM44" s="133">
        <f t="shared" si="26"/>
        <v>0.94287603642097761</v>
      </c>
      <c r="DN44" s="133">
        <f t="shared" si="27"/>
        <v>0</v>
      </c>
      <c r="DO44" s="132" t="e">
        <f>DO46+DO49+DO52+#REF!+DO53+DO54</f>
        <v>#REF!</v>
      </c>
      <c r="DP44" s="132" t="e">
        <f>DP46+DP49+DP52+#REF!+DP53+DP54</f>
        <v>#REF!</v>
      </c>
      <c r="DQ44" s="132" t="e">
        <f>DQ46+DQ49+DQ52+#REF!+DQ53+DQ54</f>
        <v>#REF!</v>
      </c>
      <c r="DR44" s="132" t="e">
        <f>DR46+DR49+DR52+#REF!+DR53+DR54</f>
        <v>#REF!</v>
      </c>
      <c r="DS44" s="132">
        <f t="shared" ref="DS44:DT44" si="89">DS45+DS52+DS53+DS54</f>
        <v>999284</v>
      </c>
      <c r="DT44" s="132">
        <f t="shared" si="89"/>
        <v>0</v>
      </c>
      <c r="DU44" s="133">
        <f>IF($BA$10=0,1,DS44/$BA44)</f>
        <v>1.107019098683919</v>
      </c>
      <c r="DV44" s="133" t="e">
        <f>IF($BA$10=0,1,DT44/$BB44)</f>
        <v>#DIV/0!</v>
      </c>
      <c r="DW44" s="133">
        <f t="shared" si="70"/>
        <v>0.54850923637816729</v>
      </c>
      <c r="DX44" s="247">
        <f t="shared" si="73"/>
        <v>0</v>
      </c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  <c r="IS44" s="58"/>
      <c r="IT44" s="58"/>
      <c r="IU44" s="58"/>
      <c r="IV44" s="58"/>
      <c r="IW44" s="58"/>
      <c r="IX44" s="58"/>
      <c r="IY44" s="58"/>
      <c r="IZ44" s="58"/>
      <c r="JA44" s="58"/>
      <c r="JB44" s="58"/>
      <c r="JC44" s="58"/>
      <c r="JD44" s="58"/>
      <c r="JE44" s="58"/>
      <c r="JF44" s="58"/>
      <c r="JG44" s="58"/>
      <c r="JH44" s="58"/>
    </row>
    <row r="45" spans="1:268" s="59" customFormat="1" ht="17.25">
      <c r="A45" s="354" t="s">
        <v>184</v>
      </c>
      <c r="B45" s="315"/>
      <c r="C45" s="132">
        <f>SUM(C46:C51)</f>
        <v>96458</v>
      </c>
      <c r="D45" s="132">
        <f t="shared" ref="D45:F45" si="90">SUM(D46:D51)</f>
        <v>100703</v>
      </c>
      <c r="E45" s="132">
        <f t="shared" si="90"/>
        <v>98788</v>
      </c>
      <c r="F45" s="132">
        <f t="shared" si="90"/>
        <v>103968</v>
      </c>
      <c r="G45" s="132">
        <f t="shared" ref="G45:BQ45" si="91">SUM(G46:G51)</f>
        <v>105787</v>
      </c>
      <c r="H45" s="132">
        <f t="shared" si="91"/>
        <v>110854</v>
      </c>
      <c r="I45" s="132">
        <f t="shared" si="91"/>
        <v>0</v>
      </c>
      <c r="J45" s="132">
        <f t="shared" si="91"/>
        <v>0</v>
      </c>
      <c r="K45" s="132">
        <f t="shared" si="91"/>
        <v>0</v>
      </c>
      <c r="L45" s="132">
        <f t="shared" si="91"/>
        <v>0</v>
      </c>
      <c r="M45" s="132">
        <f t="shared" si="91"/>
        <v>0</v>
      </c>
      <c r="N45" s="132">
        <f t="shared" si="91"/>
        <v>0</v>
      </c>
      <c r="O45" s="132">
        <f t="shared" si="91"/>
        <v>0</v>
      </c>
      <c r="P45" s="132">
        <f t="shared" si="91"/>
        <v>0</v>
      </c>
      <c r="Q45" s="132">
        <f t="shared" si="91"/>
        <v>0</v>
      </c>
      <c r="R45" s="132">
        <f t="shared" si="91"/>
        <v>0</v>
      </c>
      <c r="S45" s="132">
        <f t="shared" si="91"/>
        <v>0</v>
      </c>
      <c r="T45" s="132">
        <f t="shared" si="91"/>
        <v>0</v>
      </c>
      <c r="U45" s="132">
        <f t="shared" si="91"/>
        <v>0</v>
      </c>
      <c r="V45" s="132">
        <f t="shared" si="91"/>
        <v>0</v>
      </c>
      <c r="W45" s="132">
        <f t="shared" si="91"/>
        <v>0</v>
      </c>
      <c r="X45" s="132">
        <f t="shared" si="91"/>
        <v>0</v>
      </c>
      <c r="Y45" s="132">
        <f t="shared" si="91"/>
        <v>0</v>
      </c>
      <c r="Z45" s="132">
        <f t="shared" si="91"/>
        <v>0</v>
      </c>
      <c r="AA45" s="132">
        <f t="shared" si="91"/>
        <v>0</v>
      </c>
      <c r="AB45" s="132">
        <f t="shared" si="91"/>
        <v>0</v>
      </c>
      <c r="AC45" s="132">
        <f t="shared" si="91"/>
        <v>0</v>
      </c>
      <c r="AD45" s="132">
        <f t="shared" si="91"/>
        <v>0</v>
      </c>
      <c r="AE45" s="132">
        <f t="shared" si="91"/>
        <v>0</v>
      </c>
      <c r="AF45" s="132">
        <f t="shared" si="91"/>
        <v>0</v>
      </c>
      <c r="AG45" s="132">
        <f t="shared" si="91"/>
        <v>0</v>
      </c>
      <c r="AH45" s="132">
        <f t="shared" si="91"/>
        <v>0</v>
      </c>
      <c r="AI45" s="132">
        <f t="shared" si="91"/>
        <v>0</v>
      </c>
      <c r="AJ45" s="132">
        <f t="shared" si="91"/>
        <v>0</v>
      </c>
      <c r="AK45" s="132">
        <f t="shared" si="91"/>
        <v>0</v>
      </c>
      <c r="AL45" s="132">
        <f t="shared" si="91"/>
        <v>0</v>
      </c>
      <c r="AM45" s="132">
        <f t="shared" si="91"/>
        <v>0</v>
      </c>
      <c r="AN45" s="132">
        <f t="shared" si="91"/>
        <v>0</v>
      </c>
      <c r="AO45" s="132">
        <f t="shared" si="91"/>
        <v>0</v>
      </c>
      <c r="AP45" s="132">
        <f t="shared" si="91"/>
        <v>0</v>
      </c>
      <c r="AQ45" s="132">
        <f t="shared" si="91"/>
        <v>0</v>
      </c>
      <c r="AR45" s="132">
        <f t="shared" si="91"/>
        <v>0</v>
      </c>
      <c r="AS45" s="132">
        <f t="shared" si="91"/>
        <v>0</v>
      </c>
      <c r="AT45" s="132">
        <f t="shared" si="91"/>
        <v>0</v>
      </c>
      <c r="AU45" s="132">
        <f t="shared" si="91"/>
        <v>0</v>
      </c>
      <c r="AV45" s="132">
        <f t="shared" si="91"/>
        <v>0</v>
      </c>
      <c r="AW45" s="132">
        <f t="shared" si="91"/>
        <v>33837</v>
      </c>
      <c r="AX45" s="132">
        <f t="shared" si="91"/>
        <v>34095</v>
      </c>
      <c r="AY45" s="132">
        <f t="shared" si="91"/>
        <v>0</v>
      </c>
      <c r="AZ45" s="132">
        <f t="shared" si="91"/>
        <v>0</v>
      </c>
      <c r="BA45" s="132">
        <f t="shared" si="91"/>
        <v>82289</v>
      </c>
      <c r="BB45" s="132">
        <f t="shared" si="91"/>
        <v>0</v>
      </c>
      <c r="BC45" s="132">
        <f t="shared" si="91"/>
        <v>0</v>
      </c>
      <c r="BD45" s="132">
        <f t="shared" si="91"/>
        <v>0</v>
      </c>
      <c r="BE45" s="132">
        <f t="shared" si="91"/>
        <v>0</v>
      </c>
      <c r="BF45" s="132">
        <f t="shared" si="91"/>
        <v>0</v>
      </c>
      <c r="BG45" s="132">
        <f t="shared" si="91"/>
        <v>0</v>
      </c>
      <c r="BH45" s="132">
        <f t="shared" si="91"/>
        <v>0</v>
      </c>
      <c r="BI45" s="132">
        <f t="shared" si="91"/>
        <v>0</v>
      </c>
      <c r="BJ45" s="132">
        <f t="shared" si="91"/>
        <v>0</v>
      </c>
      <c r="BK45" s="132">
        <f t="shared" si="91"/>
        <v>0</v>
      </c>
      <c r="BL45" s="132">
        <f t="shared" si="91"/>
        <v>0</v>
      </c>
      <c r="BM45" s="132">
        <f t="shared" si="91"/>
        <v>0</v>
      </c>
      <c r="BN45" s="132">
        <f t="shared" si="91"/>
        <v>0</v>
      </c>
      <c r="BO45" s="132">
        <f t="shared" si="91"/>
        <v>0</v>
      </c>
      <c r="BP45" s="132">
        <f t="shared" si="91"/>
        <v>0</v>
      </c>
      <c r="BQ45" s="132">
        <f t="shared" si="91"/>
        <v>0</v>
      </c>
      <c r="BR45" s="132">
        <f t="shared" ref="BR45:DL45" si="92">SUM(BR46:BR51)</f>
        <v>0</v>
      </c>
      <c r="BS45" s="132">
        <f t="shared" si="92"/>
        <v>0</v>
      </c>
      <c r="BT45" s="132">
        <f t="shared" si="92"/>
        <v>0</v>
      </c>
      <c r="BU45" s="132">
        <f t="shared" si="92"/>
        <v>0</v>
      </c>
      <c r="BV45" s="132">
        <f t="shared" si="92"/>
        <v>0</v>
      </c>
      <c r="BW45" s="132">
        <f t="shared" si="92"/>
        <v>0</v>
      </c>
      <c r="BX45" s="132">
        <f t="shared" si="92"/>
        <v>0</v>
      </c>
      <c r="BY45" s="132">
        <f t="shared" si="92"/>
        <v>0</v>
      </c>
      <c r="BZ45" s="132">
        <f t="shared" si="92"/>
        <v>0</v>
      </c>
      <c r="CA45" s="132">
        <f t="shared" si="92"/>
        <v>0</v>
      </c>
      <c r="CB45" s="132">
        <f t="shared" si="92"/>
        <v>0</v>
      </c>
      <c r="CC45" s="132">
        <f t="shared" si="92"/>
        <v>0</v>
      </c>
      <c r="CD45" s="132">
        <f t="shared" si="92"/>
        <v>0</v>
      </c>
      <c r="CE45" s="132">
        <f t="shared" si="92"/>
        <v>0</v>
      </c>
      <c r="CF45" s="132">
        <f t="shared" si="92"/>
        <v>0</v>
      </c>
      <c r="CG45" s="132">
        <f t="shared" si="92"/>
        <v>0</v>
      </c>
      <c r="CH45" s="132">
        <f t="shared" si="92"/>
        <v>0</v>
      </c>
      <c r="CI45" s="132">
        <f t="shared" si="92"/>
        <v>0</v>
      </c>
      <c r="CJ45" s="132">
        <f t="shared" si="92"/>
        <v>0</v>
      </c>
      <c r="CK45" s="132">
        <f t="shared" si="92"/>
        <v>0</v>
      </c>
      <c r="CL45" s="132">
        <f t="shared" si="92"/>
        <v>0</v>
      </c>
      <c r="CM45" s="132">
        <f t="shared" si="92"/>
        <v>0</v>
      </c>
      <c r="CN45" s="132">
        <f t="shared" si="92"/>
        <v>0</v>
      </c>
      <c r="CO45" s="132">
        <f t="shared" si="92"/>
        <v>0</v>
      </c>
      <c r="CP45" s="132">
        <f t="shared" si="92"/>
        <v>0</v>
      </c>
      <c r="CQ45" s="132">
        <f t="shared" si="92"/>
        <v>0</v>
      </c>
      <c r="CR45" s="132">
        <f t="shared" si="92"/>
        <v>0</v>
      </c>
      <c r="CS45" s="132">
        <f t="shared" si="92"/>
        <v>0</v>
      </c>
      <c r="CT45" s="132">
        <f t="shared" si="92"/>
        <v>0</v>
      </c>
      <c r="CU45" s="132">
        <f t="shared" si="92"/>
        <v>0</v>
      </c>
      <c r="CV45" s="132">
        <f t="shared" si="92"/>
        <v>0</v>
      </c>
      <c r="CW45" s="132">
        <f t="shared" si="92"/>
        <v>0</v>
      </c>
      <c r="CX45" s="132">
        <f t="shared" si="92"/>
        <v>0</v>
      </c>
      <c r="CY45" s="132">
        <f t="shared" si="92"/>
        <v>0</v>
      </c>
      <c r="CZ45" s="132">
        <f t="shared" si="92"/>
        <v>0</v>
      </c>
      <c r="DA45" s="132">
        <f t="shared" si="92"/>
        <v>0</v>
      </c>
      <c r="DB45" s="132">
        <f t="shared" si="92"/>
        <v>0</v>
      </c>
      <c r="DC45" s="132">
        <f t="shared" si="92"/>
        <v>0</v>
      </c>
      <c r="DD45" s="132">
        <f t="shared" si="92"/>
        <v>0</v>
      </c>
      <c r="DE45" s="132">
        <f t="shared" si="92"/>
        <v>0</v>
      </c>
      <c r="DF45" s="132">
        <f t="shared" si="92"/>
        <v>0</v>
      </c>
      <c r="DG45" s="132">
        <f t="shared" si="92"/>
        <v>0</v>
      </c>
      <c r="DH45" s="132">
        <f t="shared" si="92"/>
        <v>0</v>
      </c>
      <c r="DI45" s="132">
        <f t="shared" si="92"/>
        <v>0</v>
      </c>
      <c r="DJ45" s="132">
        <f t="shared" si="92"/>
        <v>0</v>
      </c>
      <c r="DK45" s="132">
        <f t="shared" si="92"/>
        <v>40646</v>
      </c>
      <c r="DL45" s="132">
        <f t="shared" si="92"/>
        <v>0</v>
      </c>
      <c r="DM45" s="135">
        <f t="shared" si="26"/>
        <v>1.2012294234122411</v>
      </c>
      <c r="DN45" s="135">
        <f t="shared" si="27"/>
        <v>0</v>
      </c>
      <c r="DO45" s="132"/>
      <c r="DP45" s="132"/>
      <c r="DQ45" s="132"/>
      <c r="DR45" s="132"/>
      <c r="DS45" s="132">
        <f t="shared" ref="DS45:DT45" si="93">SUM(DS46:DS51)</f>
        <v>82289</v>
      </c>
      <c r="DT45" s="132">
        <f t="shared" si="93"/>
        <v>0</v>
      </c>
      <c r="DU45" s="135">
        <f>IF($BA$10=0,1,DS45/$BA45)</f>
        <v>1</v>
      </c>
      <c r="DV45" s="135" t="e">
        <f>IF($BA$10=0,1,DT45/$BB45)</f>
        <v>#DIV/0!</v>
      </c>
      <c r="DW45" s="135">
        <f t="shared" si="70"/>
        <v>0.77787440800854546</v>
      </c>
      <c r="DX45" s="197">
        <f t="shared" si="73"/>
        <v>0</v>
      </c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58"/>
      <c r="IS45" s="58"/>
      <c r="IT45" s="58"/>
      <c r="IU45" s="58"/>
      <c r="IV45" s="58"/>
      <c r="IW45" s="58"/>
      <c r="IX45" s="58"/>
      <c r="IY45" s="58"/>
      <c r="IZ45" s="58"/>
      <c r="JA45" s="58"/>
      <c r="JB45" s="58"/>
      <c r="JC45" s="58"/>
      <c r="JD45" s="58"/>
      <c r="JE45" s="58"/>
      <c r="JF45" s="58"/>
      <c r="JG45" s="58"/>
      <c r="JH45" s="58"/>
    </row>
    <row r="46" spans="1:268" s="64" customFormat="1" ht="18" customHeight="1">
      <c r="A46" s="353" t="s">
        <v>188</v>
      </c>
      <c r="B46" s="299"/>
      <c r="C46" s="134">
        <v>74178</v>
      </c>
      <c r="D46" s="137">
        <v>74178</v>
      </c>
      <c r="E46" s="134">
        <v>77887</v>
      </c>
      <c r="F46" s="134">
        <v>77887</v>
      </c>
      <c r="G46" s="134">
        <v>73514</v>
      </c>
      <c r="H46" s="134">
        <v>73514</v>
      </c>
      <c r="I46" s="134"/>
      <c r="J46" s="137"/>
      <c r="K46" s="134"/>
      <c r="L46" s="137"/>
      <c r="M46" s="134"/>
      <c r="N46" s="134"/>
      <c r="O46" s="134"/>
      <c r="P46" s="137"/>
      <c r="Q46" s="134"/>
      <c r="R46" s="134"/>
      <c r="S46" s="134"/>
      <c r="T46" s="137"/>
      <c r="U46" s="134"/>
      <c r="V46" s="134"/>
      <c r="W46" s="134"/>
      <c r="X46" s="137"/>
      <c r="Y46" s="134"/>
      <c r="Z46" s="134"/>
      <c r="AA46" s="134"/>
      <c r="AB46" s="137"/>
      <c r="AC46" s="134"/>
      <c r="AD46" s="134"/>
      <c r="AE46" s="134"/>
      <c r="AF46" s="137"/>
      <c r="AG46" s="134"/>
      <c r="AH46" s="134"/>
      <c r="AI46" s="134"/>
      <c r="AJ46" s="137"/>
      <c r="AK46" s="134"/>
      <c r="AL46" s="134"/>
      <c r="AM46" s="134"/>
      <c r="AN46" s="137"/>
      <c r="AO46" s="134"/>
      <c r="AP46" s="134"/>
      <c r="AQ46" s="134"/>
      <c r="AR46" s="137"/>
      <c r="AS46" s="134"/>
      <c r="AT46" s="134"/>
      <c r="AU46" s="134"/>
      <c r="AV46" s="137"/>
      <c r="AW46" s="134">
        <v>31619</v>
      </c>
      <c r="AX46" s="137">
        <v>31619</v>
      </c>
      <c r="AY46" s="134"/>
      <c r="AZ46" s="137"/>
      <c r="BA46" s="134">
        <v>78222</v>
      </c>
      <c r="BB46" s="137"/>
      <c r="BC46" s="135"/>
      <c r="BD46" s="135"/>
      <c r="BE46" s="134"/>
      <c r="BF46" s="137"/>
      <c r="BG46" s="134"/>
      <c r="BH46" s="137"/>
      <c r="BI46" s="134"/>
      <c r="BJ46" s="134"/>
      <c r="BK46" s="135"/>
      <c r="BL46" s="135"/>
      <c r="BM46" s="134"/>
      <c r="BN46" s="137"/>
      <c r="BO46" s="134"/>
      <c r="BP46" s="134"/>
      <c r="BQ46" s="135"/>
      <c r="BR46" s="135"/>
      <c r="BS46" s="134"/>
      <c r="BT46" s="137"/>
      <c r="BU46" s="134"/>
      <c r="BV46" s="134"/>
      <c r="BW46" s="135"/>
      <c r="BX46" s="135"/>
      <c r="BY46" s="134"/>
      <c r="BZ46" s="137"/>
      <c r="CA46" s="134"/>
      <c r="CB46" s="134"/>
      <c r="CC46" s="135"/>
      <c r="CD46" s="135"/>
      <c r="CE46" s="134"/>
      <c r="CF46" s="137"/>
      <c r="CG46" s="134"/>
      <c r="CH46" s="134"/>
      <c r="CI46" s="135"/>
      <c r="CJ46" s="135"/>
      <c r="CK46" s="134"/>
      <c r="CL46" s="137"/>
      <c r="CM46" s="134"/>
      <c r="CN46" s="134"/>
      <c r="CO46" s="135"/>
      <c r="CP46" s="135"/>
      <c r="CQ46" s="134"/>
      <c r="CR46" s="137"/>
      <c r="CS46" s="134"/>
      <c r="CT46" s="134"/>
      <c r="CU46" s="135"/>
      <c r="CV46" s="135"/>
      <c r="CW46" s="134"/>
      <c r="CX46" s="137"/>
      <c r="CY46" s="134"/>
      <c r="CZ46" s="134"/>
      <c r="DA46" s="135"/>
      <c r="DB46" s="135"/>
      <c r="DC46" s="134"/>
      <c r="DD46" s="137"/>
      <c r="DE46" s="134"/>
      <c r="DF46" s="134"/>
      <c r="DG46" s="135"/>
      <c r="DH46" s="135"/>
      <c r="DI46" s="134"/>
      <c r="DJ46" s="137"/>
      <c r="DK46" s="134">
        <v>39407</v>
      </c>
      <c r="DL46" s="134"/>
      <c r="DM46" s="135">
        <f t="shared" si="26"/>
        <v>1.2463075998608433</v>
      </c>
      <c r="DN46" s="135">
        <f t="shared" si="27"/>
        <v>0</v>
      </c>
      <c r="DO46" s="134">
        <f>'бюджет округа (района)'!BH28+'бюджеты поселений'!BH28</f>
        <v>0</v>
      </c>
      <c r="DP46" s="137">
        <f>'бюджет округа (района)'!BH28</f>
        <v>0</v>
      </c>
      <c r="DQ46" s="134">
        <f>'бюджет округа (района)'!BI28+'бюджеты поселений'!BI28</f>
        <v>0</v>
      </c>
      <c r="DR46" s="137">
        <f>'бюджет округа (района)'!BI28</f>
        <v>0</v>
      </c>
      <c r="DS46" s="134">
        <v>78222</v>
      </c>
      <c r="DT46" s="137"/>
      <c r="DU46" s="135">
        <f>IF($BA$10=0,1,DS46/$BA46)</f>
        <v>1</v>
      </c>
      <c r="DV46" s="135" t="e">
        <f>IF($BA$10=0,1,DT46/$BB46)</f>
        <v>#DIV/0!</v>
      </c>
      <c r="DW46" s="135">
        <f t="shared" si="70"/>
        <v>1.0640422232499931</v>
      </c>
      <c r="DX46" s="197">
        <f t="shared" si="73"/>
        <v>0</v>
      </c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63"/>
      <c r="IG46" s="63"/>
      <c r="IH46" s="63"/>
      <c r="II46" s="63"/>
      <c r="IJ46" s="63"/>
      <c r="IK46" s="63"/>
      <c r="IL46" s="63"/>
      <c r="IM46" s="63"/>
      <c r="IN46" s="63"/>
      <c r="IO46" s="63"/>
      <c r="IP46" s="63"/>
      <c r="IQ46" s="63"/>
      <c r="IR46" s="63"/>
      <c r="IS46" s="63"/>
      <c r="IT46" s="63"/>
      <c r="IU46" s="63"/>
      <c r="IV46" s="63"/>
      <c r="IW46" s="63"/>
      <c r="IX46" s="63"/>
      <c r="IY46" s="63"/>
      <c r="IZ46" s="63"/>
      <c r="JA46" s="63"/>
      <c r="JB46" s="63"/>
      <c r="JC46" s="63"/>
      <c r="JD46" s="63"/>
      <c r="JE46" s="63"/>
      <c r="JF46" s="63"/>
      <c r="JG46" s="63"/>
      <c r="JH46" s="63"/>
    </row>
    <row r="47" spans="1:268" s="64" customFormat="1" ht="27.6" customHeight="1">
      <c r="A47" s="353" t="s">
        <v>189</v>
      </c>
      <c r="B47" s="299"/>
      <c r="C47" s="134">
        <v>12831</v>
      </c>
      <c r="D47" s="137">
        <v>12831</v>
      </c>
      <c r="E47" s="134">
        <v>10232</v>
      </c>
      <c r="F47" s="134">
        <v>10232</v>
      </c>
      <c r="G47" s="134">
        <v>20860</v>
      </c>
      <c r="H47" s="134">
        <v>20860</v>
      </c>
      <c r="I47" s="134"/>
      <c r="J47" s="137"/>
      <c r="K47" s="134"/>
      <c r="L47" s="137"/>
      <c r="M47" s="134"/>
      <c r="N47" s="134"/>
      <c r="O47" s="134"/>
      <c r="P47" s="137"/>
      <c r="Q47" s="134"/>
      <c r="R47" s="134"/>
      <c r="S47" s="134"/>
      <c r="T47" s="137"/>
      <c r="U47" s="134"/>
      <c r="V47" s="134"/>
      <c r="W47" s="134"/>
      <c r="X47" s="137"/>
      <c r="Y47" s="134"/>
      <c r="Z47" s="134"/>
      <c r="AA47" s="134"/>
      <c r="AB47" s="137"/>
      <c r="AC47" s="134"/>
      <c r="AD47" s="134"/>
      <c r="AE47" s="134"/>
      <c r="AF47" s="137"/>
      <c r="AG47" s="134"/>
      <c r="AH47" s="134"/>
      <c r="AI47" s="134"/>
      <c r="AJ47" s="137"/>
      <c r="AK47" s="134"/>
      <c r="AL47" s="134"/>
      <c r="AM47" s="134"/>
      <c r="AN47" s="137"/>
      <c r="AO47" s="134"/>
      <c r="AP47" s="134"/>
      <c r="AQ47" s="134"/>
      <c r="AR47" s="137"/>
      <c r="AS47" s="134"/>
      <c r="AT47" s="134"/>
      <c r="AU47" s="134"/>
      <c r="AV47" s="137"/>
      <c r="AW47" s="134">
        <v>0</v>
      </c>
      <c r="AX47" s="137">
        <v>0</v>
      </c>
      <c r="AY47" s="134"/>
      <c r="AZ47" s="137"/>
      <c r="BA47" s="134">
        <v>0</v>
      </c>
      <c r="BB47" s="137"/>
      <c r="BC47" s="135"/>
      <c r="BD47" s="135"/>
      <c r="BE47" s="134"/>
      <c r="BF47" s="137"/>
      <c r="BG47" s="134"/>
      <c r="BH47" s="137"/>
      <c r="BI47" s="134"/>
      <c r="BJ47" s="134"/>
      <c r="BK47" s="135"/>
      <c r="BL47" s="135"/>
      <c r="BM47" s="134"/>
      <c r="BN47" s="137"/>
      <c r="BO47" s="134"/>
      <c r="BP47" s="134"/>
      <c r="BQ47" s="135"/>
      <c r="BR47" s="135"/>
      <c r="BS47" s="134"/>
      <c r="BT47" s="137"/>
      <c r="BU47" s="134"/>
      <c r="BV47" s="134"/>
      <c r="BW47" s="135"/>
      <c r="BX47" s="135"/>
      <c r="BY47" s="134"/>
      <c r="BZ47" s="137"/>
      <c r="CA47" s="134"/>
      <c r="CB47" s="134"/>
      <c r="CC47" s="135"/>
      <c r="CD47" s="135"/>
      <c r="CE47" s="134"/>
      <c r="CF47" s="137"/>
      <c r="CG47" s="134"/>
      <c r="CH47" s="134"/>
      <c r="CI47" s="135"/>
      <c r="CJ47" s="135"/>
      <c r="CK47" s="134"/>
      <c r="CL47" s="137"/>
      <c r="CM47" s="134"/>
      <c r="CN47" s="134"/>
      <c r="CO47" s="135"/>
      <c r="CP47" s="135"/>
      <c r="CQ47" s="134"/>
      <c r="CR47" s="137"/>
      <c r="CS47" s="134"/>
      <c r="CT47" s="134"/>
      <c r="CU47" s="135"/>
      <c r="CV47" s="135"/>
      <c r="CW47" s="134"/>
      <c r="CX47" s="137"/>
      <c r="CY47" s="134"/>
      <c r="CZ47" s="134"/>
      <c r="DA47" s="135"/>
      <c r="DB47" s="135"/>
      <c r="DC47" s="134"/>
      <c r="DD47" s="137"/>
      <c r="DE47" s="134"/>
      <c r="DF47" s="134"/>
      <c r="DG47" s="135"/>
      <c r="DH47" s="135"/>
      <c r="DI47" s="134"/>
      <c r="DJ47" s="137"/>
      <c r="DK47" s="134">
        <v>0</v>
      </c>
      <c r="DL47" s="134"/>
      <c r="DM47" s="135">
        <f t="shared" si="26"/>
        <v>1</v>
      </c>
      <c r="DN47" s="135">
        <f t="shared" si="27"/>
        <v>1</v>
      </c>
      <c r="DO47" s="134">
        <f>'бюджет округа (района)'!BH29+'бюджеты поселений'!BH29</f>
        <v>0</v>
      </c>
      <c r="DP47" s="137">
        <f>'бюджет округа (района)'!BH29</f>
        <v>0</v>
      </c>
      <c r="DQ47" s="134">
        <f>'бюджет округа (района)'!BI29+'бюджеты поселений'!BI29</f>
        <v>0</v>
      </c>
      <c r="DR47" s="137">
        <f>'бюджет округа (района)'!BI29</f>
        <v>0</v>
      </c>
      <c r="DS47" s="134">
        <v>0</v>
      </c>
      <c r="DT47" s="137"/>
      <c r="DU47" s="229" t="s">
        <v>34</v>
      </c>
      <c r="DV47" s="229" t="s">
        <v>34</v>
      </c>
      <c r="DW47" s="135">
        <f t="shared" si="70"/>
        <v>0</v>
      </c>
      <c r="DX47" s="197">
        <f t="shared" si="73"/>
        <v>0</v>
      </c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  <c r="IP47" s="63"/>
      <c r="IQ47" s="63"/>
      <c r="IR47" s="63"/>
      <c r="IS47" s="63"/>
      <c r="IT47" s="63"/>
      <c r="IU47" s="63"/>
      <c r="IV47" s="63"/>
      <c r="IW47" s="63"/>
      <c r="IX47" s="63"/>
      <c r="IY47" s="63"/>
      <c r="IZ47" s="63"/>
      <c r="JA47" s="63"/>
      <c r="JB47" s="63"/>
      <c r="JC47" s="63"/>
      <c r="JD47" s="63"/>
      <c r="JE47" s="63"/>
      <c r="JF47" s="63"/>
      <c r="JG47" s="63"/>
      <c r="JH47" s="63"/>
    </row>
    <row r="48" spans="1:268" s="64" customFormat="1" ht="33.6" customHeight="1">
      <c r="A48" s="262" t="s">
        <v>190</v>
      </c>
      <c r="B48" s="259"/>
      <c r="C48" s="134">
        <v>3316</v>
      </c>
      <c r="D48" s="137">
        <v>3316</v>
      </c>
      <c r="E48" s="134">
        <v>4035</v>
      </c>
      <c r="F48" s="134">
        <v>4035</v>
      </c>
      <c r="G48" s="134">
        <v>4025</v>
      </c>
      <c r="H48" s="134">
        <v>4025</v>
      </c>
      <c r="I48" s="134"/>
      <c r="J48" s="137"/>
      <c r="K48" s="134"/>
      <c r="L48" s="137"/>
      <c r="M48" s="134"/>
      <c r="N48" s="134"/>
      <c r="O48" s="134"/>
      <c r="P48" s="137"/>
      <c r="Q48" s="134"/>
      <c r="R48" s="134"/>
      <c r="S48" s="134"/>
      <c r="T48" s="137"/>
      <c r="U48" s="134"/>
      <c r="V48" s="134"/>
      <c r="W48" s="134"/>
      <c r="X48" s="137"/>
      <c r="Y48" s="134"/>
      <c r="Z48" s="134"/>
      <c r="AA48" s="134"/>
      <c r="AB48" s="137"/>
      <c r="AC48" s="134"/>
      <c r="AD48" s="134"/>
      <c r="AE48" s="134"/>
      <c r="AF48" s="137"/>
      <c r="AG48" s="134"/>
      <c r="AH48" s="134"/>
      <c r="AI48" s="134"/>
      <c r="AJ48" s="137"/>
      <c r="AK48" s="134"/>
      <c r="AL48" s="134"/>
      <c r="AM48" s="134"/>
      <c r="AN48" s="137"/>
      <c r="AO48" s="134"/>
      <c r="AP48" s="134"/>
      <c r="AQ48" s="134"/>
      <c r="AR48" s="137"/>
      <c r="AS48" s="134"/>
      <c r="AT48" s="134"/>
      <c r="AU48" s="134"/>
      <c r="AV48" s="137"/>
      <c r="AW48" s="134">
        <v>1008</v>
      </c>
      <c r="AX48" s="137">
        <v>1008</v>
      </c>
      <c r="AY48" s="134"/>
      <c r="AZ48" s="137"/>
      <c r="BA48" s="134">
        <v>0</v>
      </c>
      <c r="BB48" s="137"/>
      <c r="BC48" s="135"/>
      <c r="BD48" s="135"/>
      <c r="BE48" s="134"/>
      <c r="BF48" s="137"/>
      <c r="BG48" s="134"/>
      <c r="BH48" s="137"/>
      <c r="BI48" s="134"/>
      <c r="BJ48" s="134"/>
      <c r="BK48" s="135"/>
      <c r="BL48" s="135"/>
      <c r="BM48" s="134"/>
      <c r="BN48" s="137"/>
      <c r="BO48" s="134"/>
      <c r="BP48" s="134"/>
      <c r="BQ48" s="135"/>
      <c r="BR48" s="135"/>
      <c r="BS48" s="134"/>
      <c r="BT48" s="137"/>
      <c r="BU48" s="134"/>
      <c r="BV48" s="134"/>
      <c r="BW48" s="135"/>
      <c r="BX48" s="135"/>
      <c r="BY48" s="134"/>
      <c r="BZ48" s="137"/>
      <c r="CA48" s="134"/>
      <c r="CB48" s="134"/>
      <c r="CC48" s="135"/>
      <c r="CD48" s="135"/>
      <c r="CE48" s="134"/>
      <c r="CF48" s="137"/>
      <c r="CG48" s="134"/>
      <c r="CH48" s="134"/>
      <c r="CI48" s="135"/>
      <c r="CJ48" s="135"/>
      <c r="CK48" s="134"/>
      <c r="CL48" s="137"/>
      <c r="CM48" s="134"/>
      <c r="CN48" s="134"/>
      <c r="CO48" s="135"/>
      <c r="CP48" s="135"/>
      <c r="CQ48" s="134"/>
      <c r="CR48" s="137"/>
      <c r="CS48" s="134"/>
      <c r="CT48" s="134"/>
      <c r="CU48" s="135"/>
      <c r="CV48" s="135"/>
      <c r="CW48" s="134"/>
      <c r="CX48" s="137"/>
      <c r="CY48" s="134"/>
      <c r="CZ48" s="134"/>
      <c r="DA48" s="135"/>
      <c r="DB48" s="135"/>
      <c r="DC48" s="134"/>
      <c r="DD48" s="137"/>
      <c r="DE48" s="134"/>
      <c r="DF48" s="134"/>
      <c r="DG48" s="135"/>
      <c r="DH48" s="135"/>
      <c r="DI48" s="134"/>
      <c r="DJ48" s="137"/>
      <c r="DK48" s="134">
        <v>0</v>
      </c>
      <c r="DL48" s="134"/>
      <c r="DM48" s="135">
        <f t="shared" si="26"/>
        <v>0</v>
      </c>
      <c r="DN48" s="135">
        <f t="shared" si="27"/>
        <v>0</v>
      </c>
      <c r="DO48" s="134"/>
      <c r="DP48" s="137"/>
      <c r="DQ48" s="134"/>
      <c r="DR48" s="137"/>
      <c r="DS48" s="134">
        <v>0</v>
      </c>
      <c r="DT48" s="137"/>
      <c r="DU48" s="135" t="e">
        <f>IF($BA$10=0,1,DS48/$BA48)</f>
        <v>#DIV/0!</v>
      </c>
      <c r="DV48" s="135" t="e">
        <f>IF($BA$10=0,1,DT48/$BB48)</f>
        <v>#DIV/0!</v>
      </c>
      <c r="DW48" s="135">
        <f t="shared" si="70"/>
        <v>0</v>
      </c>
      <c r="DX48" s="197">
        <f t="shared" si="73"/>
        <v>0</v>
      </c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  <c r="IU48" s="63"/>
      <c r="IV48" s="63"/>
      <c r="IW48" s="63"/>
      <c r="IX48" s="63"/>
      <c r="IY48" s="63"/>
      <c r="IZ48" s="63"/>
      <c r="JA48" s="63"/>
      <c r="JB48" s="63"/>
      <c r="JC48" s="63"/>
      <c r="JD48" s="63"/>
      <c r="JE48" s="63"/>
      <c r="JF48" s="63"/>
      <c r="JG48" s="63"/>
      <c r="JH48" s="63"/>
    </row>
    <row r="49" spans="1:268" s="64" customFormat="1" ht="27" customHeight="1">
      <c r="A49" s="353" t="s">
        <v>191</v>
      </c>
      <c r="B49" s="299"/>
      <c r="C49" s="134">
        <v>0</v>
      </c>
      <c r="D49" s="137">
        <v>0</v>
      </c>
      <c r="E49" s="134">
        <v>0</v>
      </c>
      <c r="F49" s="134">
        <v>0</v>
      </c>
      <c r="G49" s="134">
        <v>0</v>
      </c>
      <c r="H49" s="134">
        <v>0</v>
      </c>
      <c r="I49" s="134"/>
      <c r="J49" s="137"/>
      <c r="K49" s="134"/>
      <c r="L49" s="137"/>
      <c r="M49" s="134"/>
      <c r="N49" s="134"/>
      <c r="O49" s="134"/>
      <c r="P49" s="137"/>
      <c r="Q49" s="134"/>
      <c r="R49" s="134"/>
      <c r="S49" s="134"/>
      <c r="T49" s="137"/>
      <c r="U49" s="134"/>
      <c r="V49" s="134"/>
      <c r="W49" s="134"/>
      <c r="X49" s="137"/>
      <c r="Y49" s="134"/>
      <c r="Z49" s="134"/>
      <c r="AA49" s="134"/>
      <c r="AB49" s="137"/>
      <c r="AC49" s="134"/>
      <c r="AD49" s="134"/>
      <c r="AE49" s="134"/>
      <c r="AF49" s="137"/>
      <c r="AG49" s="134"/>
      <c r="AH49" s="134"/>
      <c r="AI49" s="134"/>
      <c r="AJ49" s="137"/>
      <c r="AK49" s="134"/>
      <c r="AL49" s="134"/>
      <c r="AM49" s="134"/>
      <c r="AN49" s="137"/>
      <c r="AO49" s="134"/>
      <c r="AP49" s="134"/>
      <c r="AQ49" s="134"/>
      <c r="AR49" s="137"/>
      <c r="AS49" s="134"/>
      <c r="AT49" s="134"/>
      <c r="AU49" s="134"/>
      <c r="AV49" s="137"/>
      <c r="AW49" s="134">
        <v>0</v>
      </c>
      <c r="AX49" s="137">
        <v>0</v>
      </c>
      <c r="AY49" s="134"/>
      <c r="AZ49" s="137"/>
      <c r="BA49" s="134">
        <v>0</v>
      </c>
      <c r="BB49" s="137">
        <v>0</v>
      </c>
      <c r="BC49" s="135"/>
      <c r="BD49" s="135"/>
      <c r="BE49" s="134"/>
      <c r="BF49" s="137"/>
      <c r="BG49" s="134"/>
      <c r="BH49" s="137"/>
      <c r="BI49" s="134"/>
      <c r="BJ49" s="134"/>
      <c r="BK49" s="135"/>
      <c r="BL49" s="135"/>
      <c r="BM49" s="134"/>
      <c r="BN49" s="137"/>
      <c r="BO49" s="134"/>
      <c r="BP49" s="134"/>
      <c r="BQ49" s="135"/>
      <c r="BR49" s="135"/>
      <c r="BS49" s="134"/>
      <c r="BT49" s="137"/>
      <c r="BU49" s="134"/>
      <c r="BV49" s="134"/>
      <c r="BW49" s="135"/>
      <c r="BX49" s="135"/>
      <c r="BY49" s="134"/>
      <c r="BZ49" s="137"/>
      <c r="CA49" s="134"/>
      <c r="CB49" s="134"/>
      <c r="CC49" s="135"/>
      <c r="CD49" s="135"/>
      <c r="CE49" s="134"/>
      <c r="CF49" s="137"/>
      <c r="CG49" s="134"/>
      <c r="CH49" s="134"/>
      <c r="CI49" s="135"/>
      <c r="CJ49" s="135"/>
      <c r="CK49" s="134"/>
      <c r="CL49" s="137"/>
      <c r="CM49" s="134"/>
      <c r="CN49" s="134"/>
      <c r="CO49" s="135"/>
      <c r="CP49" s="135"/>
      <c r="CQ49" s="134"/>
      <c r="CR49" s="137"/>
      <c r="CS49" s="134"/>
      <c r="CT49" s="134"/>
      <c r="CU49" s="135"/>
      <c r="CV49" s="135"/>
      <c r="CW49" s="134"/>
      <c r="CX49" s="137"/>
      <c r="CY49" s="134"/>
      <c r="CZ49" s="134"/>
      <c r="DA49" s="135"/>
      <c r="DB49" s="135"/>
      <c r="DC49" s="134"/>
      <c r="DD49" s="137"/>
      <c r="DE49" s="134"/>
      <c r="DF49" s="134"/>
      <c r="DG49" s="135"/>
      <c r="DH49" s="135"/>
      <c r="DI49" s="134"/>
      <c r="DJ49" s="137"/>
      <c r="DK49" s="134">
        <v>0</v>
      </c>
      <c r="DL49" s="134">
        <v>0</v>
      </c>
      <c r="DM49" s="135">
        <f t="shared" si="26"/>
        <v>1</v>
      </c>
      <c r="DN49" s="135">
        <f t="shared" si="27"/>
        <v>1</v>
      </c>
      <c r="DO49" s="134">
        <f>'бюджет округа (района)'!BH29+'бюджеты поселений'!BH29</f>
        <v>0</v>
      </c>
      <c r="DP49" s="137">
        <f>'бюджет округа (района)'!BH29</f>
        <v>0</v>
      </c>
      <c r="DQ49" s="134">
        <f>'бюджет округа (района)'!BI29+'бюджеты поселений'!BI29</f>
        <v>0</v>
      </c>
      <c r="DR49" s="137">
        <f>'бюджет округа (района)'!BI29</f>
        <v>0</v>
      </c>
      <c r="DS49" s="134">
        <v>0</v>
      </c>
      <c r="DT49" s="137"/>
      <c r="DU49" s="229" t="s">
        <v>34</v>
      </c>
      <c r="DV49" s="229" t="s">
        <v>34</v>
      </c>
      <c r="DW49" s="135">
        <f t="shared" si="70"/>
        <v>1</v>
      </c>
      <c r="DX49" s="197">
        <f t="shared" si="73"/>
        <v>1</v>
      </c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  <c r="IP49" s="63"/>
      <c r="IQ49" s="63"/>
      <c r="IR49" s="63"/>
      <c r="IS49" s="63"/>
      <c r="IT49" s="63"/>
      <c r="IU49" s="63"/>
      <c r="IV49" s="63"/>
      <c r="IW49" s="63"/>
      <c r="IX49" s="63"/>
      <c r="IY49" s="63"/>
      <c r="IZ49" s="63"/>
      <c r="JA49" s="63"/>
      <c r="JB49" s="63"/>
      <c r="JC49" s="63"/>
      <c r="JD49" s="63"/>
      <c r="JE49" s="63"/>
      <c r="JF49" s="63"/>
      <c r="JG49" s="63"/>
      <c r="JH49" s="63"/>
    </row>
    <row r="50" spans="1:268" s="64" customFormat="1" ht="63" customHeight="1">
      <c r="A50" s="262" t="s">
        <v>192</v>
      </c>
      <c r="B50" s="259"/>
      <c r="C50" s="134">
        <v>6133</v>
      </c>
      <c r="D50" s="137">
        <v>4380</v>
      </c>
      <c r="E50" s="134">
        <v>6634</v>
      </c>
      <c r="F50" s="134">
        <v>5387</v>
      </c>
      <c r="G50" s="134">
        <v>7388</v>
      </c>
      <c r="H50" s="134">
        <v>5940</v>
      </c>
      <c r="I50" s="134"/>
      <c r="J50" s="137"/>
      <c r="K50" s="134"/>
      <c r="L50" s="137"/>
      <c r="M50" s="134"/>
      <c r="N50" s="134"/>
      <c r="O50" s="134"/>
      <c r="P50" s="137"/>
      <c r="Q50" s="134"/>
      <c r="R50" s="134"/>
      <c r="S50" s="134"/>
      <c r="T50" s="137"/>
      <c r="U50" s="134"/>
      <c r="V50" s="134"/>
      <c r="W50" s="134"/>
      <c r="X50" s="137"/>
      <c r="Y50" s="134"/>
      <c r="Z50" s="134"/>
      <c r="AA50" s="134"/>
      <c r="AB50" s="137"/>
      <c r="AC50" s="134"/>
      <c r="AD50" s="134"/>
      <c r="AE50" s="134"/>
      <c r="AF50" s="137"/>
      <c r="AG50" s="134"/>
      <c r="AH50" s="134"/>
      <c r="AI50" s="134"/>
      <c r="AJ50" s="137"/>
      <c r="AK50" s="134"/>
      <c r="AL50" s="134"/>
      <c r="AM50" s="134"/>
      <c r="AN50" s="137"/>
      <c r="AO50" s="134"/>
      <c r="AP50" s="134"/>
      <c r="AQ50" s="134"/>
      <c r="AR50" s="137"/>
      <c r="AS50" s="134"/>
      <c r="AT50" s="134"/>
      <c r="AU50" s="134"/>
      <c r="AV50" s="137"/>
      <c r="AW50" s="134">
        <v>1210</v>
      </c>
      <c r="AX50" s="137">
        <v>991</v>
      </c>
      <c r="AY50" s="134"/>
      <c r="AZ50" s="137"/>
      <c r="BA50" s="134">
        <v>4067</v>
      </c>
      <c r="BB50" s="137"/>
      <c r="BC50" s="135"/>
      <c r="BD50" s="135"/>
      <c r="BE50" s="134"/>
      <c r="BF50" s="137"/>
      <c r="BG50" s="134"/>
      <c r="BH50" s="137"/>
      <c r="BI50" s="134"/>
      <c r="BJ50" s="134"/>
      <c r="BK50" s="135"/>
      <c r="BL50" s="135"/>
      <c r="BM50" s="134"/>
      <c r="BN50" s="137"/>
      <c r="BO50" s="134"/>
      <c r="BP50" s="134"/>
      <c r="BQ50" s="135"/>
      <c r="BR50" s="135"/>
      <c r="BS50" s="134"/>
      <c r="BT50" s="137"/>
      <c r="BU50" s="134"/>
      <c r="BV50" s="134"/>
      <c r="BW50" s="135"/>
      <c r="BX50" s="135"/>
      <c r="BY50" s="134"/>
      <c r="BZ50" s="137"/>
      <c r="CA50" s="134"/>
      <c r="CB50" s="134"/>
      <c r="CC50" s="135"/>
      <c r="CD50" s="135"/>
      <c r="CE50" s="134"/>
      <c r="CF50" s="137"/>
      <c r="CG50" s="134"/>
      <c r="CH50" s="134"/>
      <c r="CI50" s="135"/>
      <c r="CJ50" s="135"/>
      <c r="CK50" s="134"/>
      <c r="CL50" s="137"/>
      <c r="CM50" s="134"/>
      <c r="CN50" s="134"/>
      <c r="CO50" s="135"/>
      <c r="CP50" s="135"/>
      <c r="CQ50" s="134"/>
      <c r="CR50" s="137"/>
      <c r="CS50" s="134"/>
      <c r="CT50" s="134"/>
      <c r="CU50" s="135"/>
      <c r="CV50" s="135"/>
      <c r="CW50" s="134"/>
      <c r="CX50" s="137"/>
      <c r="CY50" s="134"/>
      <c r="CZ50" s="134"/>
      <c r="DA50" s="135"/>
      <c r="DB50" s="135"/>
      <c r="DC50" s="134"/>
      <c r="DD50" s="137"/>
      <c r="DE50" s="134"/>
      <c r="DF50" s="134"/>
      <c r="DG50" s="135"/>
      <c r="DH50" s="135"/>
      <c r="DI50" s="134"/>
      <c r="DJ50" s="137"/>
      <c r="DK50" s="134">
        <v>1239</v>
      </c>
      <c r="DL50" s="134"/>
      <c r="DM50" s="135">
        <f t="shared" si="26"/>
        <v>1.0239669421487603</v>
      </c>
      <c r="DN50" s="135">
        <f t="shared" si="27"/>
        <v>0</v>
      </c>
      <c r="DO50" s="134"/>
      <c r="DP50" s="137"/>
      <c r="DQ50" s="134"/>
      <c r="DR50" s="137"/>
      <c r="DS50" s="134">
        <v>4067</v>
      </c>
      <c r="DT50" s="137"/>
      <c r="DU50" s="135">
        <f>IF($BA$10=0,1,DS50/$BA50)</f>
        <v>1</v>
      </c>
      <c r="DV50" s="135" t="e">
        <f>IF($BA$10=0,1,DT50/$BB50)</f>
        <v>#DIV/0!</v>
      </c>
      <c r="DW50" s="135">
        <f t="shared" si="70"/>
        <v>0.55048727666486197</v>
      </c>
      <c r="DX50" s="197">
        <f t="shared" si="73"/>
        <v>0</v>
      </c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</row>
    <row r="51" spans="1:268" s="64" customFormat="1" ht="30.75" customHeight="1">
      <c r="A51" s="353" t="s">
        <v>193</v>
      </c>
      <c r="B51" s="299"/>
      <c r="C51" s="134">
        <v>0</v>
      </c>
      <c r="D51" s="137">
        <v>5998</v>
      </c>
      <c r="E51" s="134">
        <v>0</v>
      </c>
      <c r="F51" s="134">
        <v>6427</v>
      </c>
      <c r="G51" s="134">
        <v>0</v>
      </c>
      <c r="H51" s="134">
        <v>6515</v>
      </c>
      <c r="I51" s="134"/>
      <c r="J51" s="137"/>
      <c r="K51" s="134"/>
      <c r="L51" s="137"/>
      <c r="M51" s="134"/>
      <c r="N51" s="134"/>
      <c r="O51" s="134"/>
      <c r="P51" s="137"/>
      <c r="Q51" s="134"/>
      <c r="R51" s="134"/>
      <c r="S51" s="134"/>
      <c r="T51" s="137"/>
      <c r="U51" s="134"/>
      <c r="V51" s="134"/>
      <c r="W51" s="134"/>
      <c r="X51" s="137"/>
      <c r="Y51" s="134"/>
      <c r="Z51" s="134"/>
      <c r="AA51" s="134"/>
      <c r="AB51" s="137"/>
      <c r="AC51" s="134"/>
      <c r="AD51" s="134"/>
      <c r="AE51" s="134"/>
      <c r="AF51" s="137"/>
      <c r="AG51" s="134"/>
      <c r="AH51" s="134"/>
      <c r="AI51" s="134"/>
      <c r="AJ51" s="137"/>
      <c r="AK51" s="134"/>
      <c r="AL51" s="134"/>
      <c r="AM51" s="134"/>
      <c r="AN51" s="137"/>
      <c r="AO51" s="134"/>
      <c r="AP51" s="134"/>
      <c r="AQ51" s="134"/>
      <c r="AR51" s="137"/>
      <c r="AS51" s="134"/>
      <c r="AT51" s="134"/>
      <c r="AU51" s="134"/>
      <c r="AV51" s="137"/>
      <c r="AW51" s="134">
        <v>0</v>
      </c>
      <c r="AX51" s="137">
        <v>477</v>
      </c>
      <c r="AY51" s="134"/>
      <c r="AZ51" s="137"/>
      <c r="BA51" s="134">
        <v>0</v>
      </c>
      <c r="BB51" s="137"/>
      <c r="BC51" s="135"/>
      <c r="BD51" s="135"/>
      <c r="BE51" s="134"/>
      <c r="BF51" s="137"/>
      <c r="BG51" s="134"/>
      <c r="BH51" s="137"/>
      <c r="BI51" s="134"/>
      <c r="BJ51" s="134"/>
      <c r="BK51" s="135"/>
      <c r="BL51" s="135"/>
      <c r="BM51" s="134"/>
      <c r="BN51" s="137"/>
      <c r="BO51" s="134"/>
      <c r="BP51" s="134"/>
      <c r="BQ51" s="135"/>
      <c r="BR51" s="135"/>
      <c r="BS51" s="134"/>
      <c r="BT51" s="137"/>
      <c r="BU51" s="134"/>
      <c r="BV51" s="134"/>
      <c r="BW51" s="135"/>
      <c r="BX51" s="135"/>
      <c r="BY51" s="134"/>
      <c r="BZ51" s="137"/>
      <c r="CA51" s="134"/>
      <c r="CB51" s="134"/>
      <c r="CC51" s="135"/>
      <c r="CD51" s="135"/>
      <c r="CE51" s="134"/>
      <c r="CF51" s="137"/>
      <c r="CG51" s="134"/>
      <c r="CH51" s="134"/>
      <c r="CI51" s="135"/>
      <c r="CJ51" s="135"/>
      <c r="CK51" s="134"/>
      <c r="CL51" s="137"/>
      <c r="CM51" s="134"/>
      <c r="CN51" s="134"/>
      <c r="CO51" s="135"/>
      <c r="CP51" s="135"/>
      <c r="CQ51" s="134"/>
      <c r="CR51" s="137"/>
      <c r="CS51" s="134"/>
      <c r="CT51" s="134"/>
      <c r="CU51" s="135"/>
      <c r="CV51" s="135"/>
      <c r="CW51" s="134"/>
      <c r="CX51" s="137"/>
      <c r="CY51" s="134"/>
      <c r="CZ51" s="134"/>
      <c r="DA51" s="135"/>
      <c r="DB51" s="135"/>
      <c r="DC51" s="134"/>
      <c r="DD51" s="137"/>
      <c r="DE51" s="134"/>
      <c r="DF51" s="134"/>
      <c r="DG51" s="135"/>
      <c r="DH51" s="135"/>
      <c r="DI51" s="134"/>
      <c r="DJ51" s="137"/>
      <c r="DK51" s="134">
        <v>0</v>
      </c>
      <c r="DL51" s="134"/>
      <c r="DM51" s="135">
        <f t="shared" si="26"/>
        <v>1</v>
      </c>
      <c r="DN51" s="135">
        <f t="shared" si="27"/>
        <v>0</v>
      </c>
      <c r="DO51" s="134">
        <f>'бюджет округа (района)'!BH30+'бюджеты поселений'!BH30</f>
        <v>0</v>
      </c>
      <c r="DP51" s="137">
        <f>'бюджет округа (района)'!BH30</f>
        <v>0</v>
      </c>
      <c r="DQ51" s="134">
        <f>'бюджет округа (района)'!BI30+'бюджеты поселений'!BI30</f>
        <v>0</v>
      </c>
      <c r="DR51" s="137">
        <f>'бюджет округа (района)'!BI30</f>
        <v>0</v>
      </c>
      <c r="DS51" s="134">
        <v>0</v>
      </c>
      <c r="DT51" s="137"/>
      <c r="DU51" s="229" t="s">
        <v>34</v>
      </c>
      <c r="DV51" s="135" t="e">
        <f>IF($BA$10=0,1,DT51/$BB51)</f>
        <v>#DIV/0!</v>
      </c>
      <c r="DW51" s="135">
        <f t="shared" si="70"/>
        <v>1</v>
      </c>
      <c r="DX51" s="197">
        <f t="shared" si="73"/>
        <v>1</v>
      </c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  <c r="IM51" s="63"/>
      <c r="IN51" s="63"/>
      <c r="IO51" s="63"/>
      <c r="IP51" s="63"/>
      <c r="IQ51" s="63"/>
      <c r="IR51" s="63"/>
      <c r="IS51" s="63"/>
      <c r="IT51" s="63"/>
      <c r="IU51" s="63"/>
      <c r="IV51" s="63"/>
      <c r="IW51" s="63"/>
      <c r="IX51" s="63"/>
      <c r="IY51" s="63"/>
      <c r="IZ51" s="63"/>
      <c r="JA51" s="63"/>
      <c r="JB51" s="63"/>
      <c r="JC51" s="63"/>
      <c r="JD51" s="63"/>
      <c r="JE51" s="63"/>
      <c r="JF51" s="63"/>
      <c r="JG51" s="63"/>
      <c r="JH51" s="63"/>
    </row>
    <row r="52" spans="1:268" s="64" customFormat="1" ht="18" customHeight="1">
      <c r="A52" s="354" t="s">
        <v>185</v>
      </c>
      <c r="B52" s="315"/>
      <c r="C52" s="134">
        <v>494649</v>
      </c>
      <c r="D52" s="137">
        <v>490405</v>
      </c>
      <c r="E52" s="134">
        <v>668287</v>
      </c>
      <c r="F52" s="134">
        <v>662354</v>
      </c>
      <c r="G52" s="134">
        <v>1730731</v>
      </c>
      <c r="H52" s="134">
        <v>1726066</v>
      </c>
      <c r="I52" s="134"/>
      <c r="J52" s="137"/>
      <c r="K52" s="134"/>
      <c r="L52" s="137"/>
      <c r="M52" s="134"/>
      <c r="N52" s="134"/>
      <c r="O52" s="134"/>
      <c r="P52" s="137"/>
      <c r="Q52" s="134"/>
      <c r="R52" s="134"/>
      <c r="S52" s="134"/>
      <c r="T52" s="137"/>
      <c r="U52" s="134"/>
      <c r="V52" s="134"/>
      <c r="W52" s="134"/>
      <c r="X52" s="137"/>
      <c r="Y52" s="134"/>
      <c r="Z52" s="134"/>
      <c r="AA52" s="134"/>
      <c r="AB52" s="137"/>
      <c r="AC52" s="134"/>
      <c r="AD52" s="134"/>
      <c r="AE52" s="134"/>
      <c r="AF52" s="137"/>
      <c r="AG52" s="134"/>
      <c r="AH52" s="134"/>
      <c r="AI52" s="134"/>
      <c r="AJ52" s="137"/>
      <c r="AK52" s="134"/>
      <c r="AL52" s="134"/>
      <c r="AM52" s="134"/>
      <c r="AN52" s="137"/>
      <c r="AO52" s="134"/>
      <c r="AP52" s="134"/>
      <c r="AQ52" s="134"/>
      <c r="AR52" s="137"/>
      <c r="AS52" s="134"/>
      <c r="AT52" s="134"/>
      <c r="AU52" s="134"/>
      <c r="AV52" s="137"/>
      <c r="AW52" s="134">
        <v>119310</v>
      </c>
      <c r="AX52" s="137">
        <v>119149</v>
      </c>
      <c r="AY52" s="134"/>
      <c r="AZ52" s="137"/>
      <c r="BA52" s="134">
        <v>820359</v>
      </c>
      <c r="BB52" s="137"/>
      <c r="BC52" s="135"/>
      <c r="BD52" s="135"/>
      <c r="BE52" s="134"/>
      <c r="BF52" s="137"/>
      <c r="BG52" s="134"/>
      <c r="BH52" s="137"/>
      <c r="BI52" s="134"/>
      <c r="BJ52" s="134"/>
      <c r="BK52" s="135"/>
      <c r="BL52" s="135"/>
      <c r="BM52" s="134"/>
      <c r="BN52" s="137"/>
      <c r="BO52" s="134"/>
      <c r="BP52" s="134"/>
      <c r="BQ52" s="135"/>
      <c r="BR52" s="135"/>
      <c r="BS52" s="134"/>
      <c r="BT52" s="137"/>
      <c r="BU52" s="134"/>
      <c r="BV52" s="134"/>
      <c r="BW52" s="135"/>
      <c r="BX52" s="135"/>
      <c r="BY52" s="134"/>
      <c r="BZ52" s="137"/>
      <c r="CA52" s="134"/>
      <c r="CB52" s="134"/>
      <c r="CC52" s="135"/>
      <c r="CD52" s="135"/>
      <c r="CE52" s="134"/>
      <c r="CF52" s="137"/>
      <c r="CG52" s="134"/>
      <c r="CH52" s="134"/>
      <c r="CI52" s="135"/>
      <c r="CJ52" s="135"/>
      <c r="CK52" s="134"/>
      <c r="CL52" s="137"/>
      <c r="CM52" s="134"/>
      <c r="CN52" s="134"/>
      <c r="CO52" s="135"/>
      <c r="CP52" s="135"/>
      <c r="CQ52" s="134"/>
      <c r="CR52" s="137"/>
      <c r="CS52" s="134"/>
      <c r="CT52" s="134"/>
      <c r="CU52" s="135"/>
      <c r="CV52" s="135"/>
      <c r="CW52" s="134"/>
      <c r="CX52" s="137"/>
      <c r="CY52" s="134"/>
      <c r="CZ52" s="134"/>
      <c r="DA52" s="135"/>
      <c r="DB52" s="135"/>
      <c r="DC52" s="134"/>
      <c r="DD52" s="137"/>
      <c r="DE52" s="134"/>
      <c r="DF52" s="134"/>
      <c r="DG52" s="135"/>
      <c r="DH52" s="135"/>
      <c r="DI52" s="134"/>
      <c r="DJ52" s="137"/>
      <c r="DK52" s="134">
        <v>91670</v>
      </c>
      <c r="DL52" s="134"/>
      <c r="DM52" s="135">
        <f t="shared" si="26"/>
        <v>0.7683345905624005</v>
      </c>
      <c r="DN52" s="135">
        <f t="shared" si="27"/>
        <v>0</v>
      </c>
      <c r="DO52" s="134">
        <f>'бюджет округа (района)'!BH31+'бюджеты поселений'!BH31</f>
        <v>0</v>
      </c>
      <c r="DP52" s="137">
        <f>'бюджет округа (района)'!BH31</f>
        <v>0</v>
      </c>
      <c r="DQ52" s="134">
        <f>'бюджет округа (района)'!BI31+'бюджеты поселений'!BI31</f>
        <v>0</v>
      </c>
      <c r="DR52" s="137">
        <f>'бюджет округа (района)'!BI31</f>
        <v>0</v>
      </c>
      <c r="DS52" s="134">
        <v>920359</v>
      </c>
      <c r="DT52" s="137"/>
      <c r="DU52" s="135">
        <f>IF($BA$10=0,1,DS52/$BA52)</f>
        <v>1.1218978520379492</v>
      </c>
      <c r="DV52" s="135" t="e">
        <f>IF($BA$10=0,1,DT52/$BB52)</f>
        <v>#DIV/0!</v>
      </c>
      <c r="DW52" s="135">
        <f t="shared" si="70"/>
        <v>0.53177472409057214</v>
      </c>
      <c r="DX52" s="197">
        <f t="shared" si="73"/>
        <v>0</v>
      </c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  <c r="HN52" s="63"/>
      <c r="HO52" s="63"/>
      <c r="HP52" s="63"/>
      <c r="HQ52" s="63"/>
      <c r="HR52" s="63"/>
      <c r="HS52" s="63"/>
      <c r="HT52" s="63"/>
      <c r="HU52" s="63"/>
      <c r="HV52" s="63"/>
      <c r="HW52" s="63"/>
      <c r="HX52" s="63"/>
      <c r="HY52" s="63"/>
      <c r="HZ52" s="63"/>
      <c r="IA52" s="63"/>
      <c r="IB52" s="63"/>
      <c r="IC52" s="63"/>
      <c r="ID52" s="63"/>
      <c r="IE52" s="63"/>
      <c r="IF52" s="63"/>
      <c r="IG52" s="63"/>
      <c r="IH52" s="63"/>
      <c r="II52" s="63"/>
      <c r="IJ52" s="63"/>
      <c r="IK52" s="63"/>
      <c r="IL52" s="63"/>
      <c r="IM52" s="63"/>
      <c r="IN52" s="63"/>
      <c r="IO52" s="63"/>
      <c r="IP52" s="63"/>
      <c r="IQ52" s="63"/>
      <c r="IR52" s="63"/>
      <c r="IS52" s="63"/>
      <c r="IT52" s="63"/>
      <c r="IU52" s="63"/>
      <c r="IV52" s="63"/>
      <c r="IW52" s="63"/>
      <c r="IX52" s="63"/>
      <c r="IY52" s="63"/>
      <c r="IZ52" s="63"/>
      <c r="JA52" s="63"/>
      <c r="JB52" s="63"/>
      <c r="JC52" s="63"/>
      <c r="JD52" s="63"/>
      <c r="JE52" s="63"/>
      <c r="JF52" s="63"/>
      <c r="JG52" s="63"/>
      <c r="JH52" s="63"/>
    </row>
    <row r="53" spans="1:268" s="66" customFormat="1" ht="18" customHeight="1">
      <c r="A53" s="354" t="s">
        <v>186</v>
      </c>
      <c r="B53" s="315"/>
      <c r="C53" s="134">
        <v>410</v>
      </c>
      <c r="D53" s="137">
        <v>170</v>
      </c>
      <c r="E53" s="134">
        <v>805</v>
      </c>
      <c r="F53" s="134">
        <v>73</v>
      </c>
      <c r="G53" s="134">
        <v>852</v>
      </c>
      <c r="H53" s="134">
        <v>250</v>
      </c>
      <c r="I53" s="134"/>
      <c r="J53" s="137"/>
      <c r="K53" s="134"/>
      <c r="L53" s="137"/>
      <c r="M53" s="134"/>
      <c r="N53" s="134"/>
      <c r="O53" s="134"/>
      <c r="P53" s="137"/>
      <c r="Q53" s="134"/>
      <c r="R53" s="134"/>
      <c r="S53" s="134"/>
      <c r="T53" s="137"/>
      <c r="U53" s="134"/>
      <c r="V53" s="134"/>
      <c r="W53" s="134"/>
      <c r="X53" s="137"/>
      <c r="Y53" s="134"/>
      <c r="Z53" s="134"/>
      <c r="AA53" s="134"/>
      <c r="AB53" s="137"/>
      <c r="AC53" s="134"/>
      <c r="AD53" s="134"/>
      <c r="AE53" s="134"/>
      <c r="AF53" s="137"/>
      <c r="AG53" s="134"/>
      <c r="AH53" s="134"/>
      <c r="AI53" s="134"/>
      <c r="AJ53" s="137"/>
      <c r="AK53" s="134"/>
      <c r="AL53" s="134"/>
      <c r="AM53" s="134"/>
      <c r="AN53" s="137"/>
      <c r="AO53" s="134"/>
      <c r="AP53" s="134"/>
      <c r="AQ53" s="134"/>
      <c r="AR53" s="137"/>
      <c r="AS53" s="134"/>
      <c r="AT53" s="134"/>
      <c r="AU53" s="134"/>
      <c r="AV53" s="137"/>
      <c r="AW53" s="134">
        <v>18</v>
      </c>
      <c r="AX53" s="137">
        <v>0</v>
      </c>
      <c r="AY53" s="134"/>
      <c r="AZ53" s="137"/>
      <c r="BA53" s="134">
        <v>40</v>
      </c>
      <c r="BB53" s="137"/>
      <c r="BC53" s="135"/>
      <c r="BD53" s="135"/>
      <c r="BE53" s="134"/>
      <c r="BF53" s="137"/>
      <c r="BG53" s="134"/>
      <c r="BH53" s="137"/>
      <c r="BI53" s="134"/>
      <c r="BJ53" s="134"/>
      <c r="BK53" s="135"/>
      <c r="BL53" s="135"/>
      <c r="BM53" s="134"/>
      <c r="BN53" s="137"/>
      <c r="BO53" s="134"/>
      <c r="BP53" s="134"/>
      <c r="BQ53" s="135"/>
      <c r="BR53" s="135"/>
      <c r="BS53" s="134"/>
      <c r="BT53" s="137"/>
      <c r="BU53" s="134"/>
      <c r="BV53" s="134"/>
      <c r="BW53" s="135"/>
      <c r="BX53" s="135"/>
      <c r="BY53" s="134"/>
      <c r="BZ53" s="137"/>
      <c r="CA53" s="134"/>
      <c r="CB53" s="134"/>
      <c r="CC53" s="135"/>
      <c r="CD53" s="135"/>
      <c r="CE53" s="134"/>
      <c r="CF53" s="137"/>
      <c r="CG53" s="134"/>
      <c r="CH53" s="134"/>
      <c r="CI53" s="135"/>
      <c r="CJ53" s="135"/>
      <c r="CK53" s="134"/>
      <c r="CL53" s="137"/>
      <c r="CM53" s="134"/>
      <c r="CN53" s="134"/>
      <c r="CO53" s="135"/>
      <c r="CP53" s="135"/>
      <c r="CQ53" s="134"/>
      <c r="CR53" s="137"/>
      <c r="CS53" s="134"/>
      <c r="CT53" s="134"/>
      <c r="CU53" s="135"/>
      <c r="CV53" s="135"/>
      <c r="CW53" s="134"/>
      <c r="CX53" s="137"/>
      <c r="CY53" s="134"/>
      <c r="CZ53" s="134"/>
      <c r="DA53" s="135"/>
      <c r="DB53" s="135"/>
      <c r="DC53" s="134"/>
      <c r="DD53" s="137"/>
      <c r="DE53" s="134"/>
      <c r="DF53" s="134"/>
      <c r="DG53" s="135"/>
      <c r="DH53" s="135"/>
      <c r="DI53" s="134"/>
      <c r="DJ53" s="137"/>
      <c r="DK53" s="134">
        <v>0</v>
      </c>
      <c r="DL53" s="134"/>
      <c r="DM53" s="135">
        <f t="shared" si="26"/>
        <v>0</v>
      </c>
      <c r="DN53" s="135">
        <f t="shared" si="27"/>
        <v>1</v>
      </c>
      <c r="DO53" s="134">
        <f>'бюджет округа (района)'!BH35+'бюджеты поселений'!BH35</f>
        <v>0</v>
      </c>
      <c r="DP53" s="137">
        <f>'бюджет округа (района)'!BH35</f>
        <v>0</v>
      </c>
      <c r="DQ53" s="134">
        <f>'бюджет округа (района)'!BI35+'бюджеты поселений'!BI35</f>
        <v>0</v>
      </c>
      <c r="DR53" s="137">
        <f>'бюджет округа (района)'!BI35</f>
        <v>0</v>
      </c>
      <c r="DS53" s="134">
        <v>40</v>
      </c>
      <c r="DT53" s="137"/>
      <c r="DU53" s="135">
        <f>IF($BA$10=0,1,DS53/$BA53)</f>
        <v>1</v>
      </c>
      <c r="DV53" s="229" t="s">
        <v>34</v>
      </c>
      <c r="DW53" s="135">
        <f t="shared" si="70"/>
        <v>4.6948356807511735E-2</v>
      </c>
      <c r="DX53" s="197">
        <f t="shared" si="73"/>
        <v>0</v>
      </c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65"/>
      <c r="IZ53" s="65"/>
      <c r="JA53" s="65"/>
      <c r="JB53" s="65"/>
      <c r="JC53" s="65"/>
      <c r="JD53" s="65"/>
      <c r="JE53" s="65"/>
      <c r="JF53" s="65"/>
      <c r="JG53" s="65"/>
      <c r="JH53" s="65"/>
    </row>
    <row r="54" spans="1:268" s="66" customFormat="1" ht="18" customHeight="1">
      <c r="A54" s="354" t="s">
        <v>187</v>
      </c>
      <c r="B54" s="315"/>
      <c r="C54" s="134">
        <v>-3421</v>
      </c>
      <c r="D54" s="137">
        <v>-3421</v>
      </c>
      <c r="E54" s="134">
        <v>-312</v>
      </c>
      <c r="F54" s="134">
        <v>-312</v>
      </c>
      <c r="G54" s="134">
        <v>-15552</v>
      </c>
      <c r="H54" s="134">
        <v>0</v>
      </c>
      <c r="I54" s="134"/>
      <c r="J54" s="137"/>
      <c r="K54" s="134"/>
      <c r="L54" s="137"/>
      <c r="M54" s="134"/>
      <c r="N54" s="134"/>
      <c r="O54" s="134"/>
      <c r="P54" s="137"/>
      <c r="Q54" s="134"/>
      <c r="R54" s="134"/>
      <c r="S54" s="134"/>
      <c r="T54" s="137"/>
      <c r="U54" s="134"/>
      <c r="V54" s="134"/>
      <c r="W54" s="134"/>
      <c r="X54" s="137"/>
      <c r="Y54" s="134"/>
      <c r="Z54" s="134"/>
      <c r="AA54" s="134"/>
      <c r="AB54" s="137"/>
      <c r="AC54" s="134"/>
      <c r="AD54" s="134"/>
      <c r="AE54" s="134"/>
      <c r="AF54" s="137"/>
      <c r="AG54" s="134"/>
      <c r="AH54" s="134"/>
      <c r="AI54" s="134"/>
      <c r="AJ54" s="137"/>
      <c r="AK54" s="134"/>
      <c r="AL54" s="134"/>
      <c r="AM54" s="134"/>
      <c r="AN54" s="137"/>
      <c r="AO54" s="134"/>
      <c r="AP54" s="134"/>
      <c r="AQ54" s="134"/>
      <c r="AR54" s="137"/>
      <c r="AS54" s="134"/>
      <c r="AT54" s="134"/>
      <c r="AU54" s="134"/>
      <c r="AV54" s="137"/>
      <c r="AW54" s="134">
        <v>-15552</v>
      </c>
      <c r="AX54" s="137">
        <v>0</v>
      </c>
      <c r="AY54" s="134"/>
      <c r="AZ54" s="137"/>
      <c r="BA54" s="134">
        <v>-8</v>
      </c>
      <c r="BB54" s="137"/>
      <c r="BC54" s="135"/>
      <c r="BD54" s="135"/>
      <c r="BE54" s="134"/>
      <c r="BF54" s="137"/>
      <c r="BG54" s="134"/>
      <c r="BH54" s="137"/>
      <c r="BI54" s="134"/>
      <c r="BJ54" s="134"/>
      <c r="BK54" s="135"/>
      <c r="BL54" s="135"/>
      <c r="BM54" s="134"/>
      <c r="BN54" s="137"/>
      <c r="BO54" s="134"/>
      <c r="BP54" s="134"/>
      <c r="BQ54" s="135"/>
      <c r="BR54" s="135"/>
      <c r="BS54" s="134"/>
      <c r="BT54" s="137"/>
      <c r="BU54" s="134"/>
      <c r="BV54" s="134"/>
      <c r="BW54" s="135"/>
      <c r="BX54" s="135"/>
      <c r="BY54" s="134"/>
      <c r="BZ54" s="137"/>
      <c r="CA54" s="134"/>
      <c r="CB54" s="134"/>
      <c r="CC54" s="135"/>
      <c r="CD54" s="135"/>
      <c r="CE54" s="134"/>
      <c r="CF54" s="137"/>
      <c r="CG54" s="134"/>
      <c r="CH54" s="134"/>
      <c r="CI54" s="135"/>
      <c r="CJ54" s="135"/>
      <c r="CK54" s="134"/>
      <c r="CL54" s="137"/>
      <c r="CM54" s="134"/>
      <c r="CN54" s="134"/>
      <c r="CO54" s="135"/>
      <c r="CP54" s="135"/>
      <c r="CQ54" s="134"/>
      <c r="CR54" s="137"/>
      <c r="CS54" s="134"/>
      <c r="CT54" s="134"/>
      <c r="CU54" s="135"/>
      <c r="CV54" s="135"/>
      <c r="CW54" s="134"/>
      <c r="CX54" s="137"/>
      <c r="CY54" s="134"/>
      <c r="CZ54" s="134"/>
      <c r="DA54" s="135"/>
      <c r="DB54" s="135"/>
      <c r="DC54" s="134"/>
      <c r="DD54" s="137"/>
      <c r="DE54" s="134"/>
      <c r="DF54" s="134"/>
      <c r="DG54" s="135"/>
      <c r="DH54" s="135"/>
      <c r="DI54" s="134"/>
      <c r="DJ54" s="137"/>
      <c r="DK54" s="134">
        <v>-2564</v>
      </c>
      <c r="DL54" s="134">
        <v>0</v>
      </c>
      <c r="DM54" s="135">
        <f t="shared" si="26"/>
        <v>0.16486625514403291</v>
      </c>
      <c r="DN54" s="135">
        <f t="shared" si="27"/>
        <v>1</v>
      </c>
      <c r="DO54" s="134">
        <f>'бюджет округа (района)'!BH36+'бюджеты поселений'!BH36</f>
        <v>0</v>
      </c>
      <c r="DP54" s="137">
        <f>'бюджет округа (района)'!BH36</f>
        <v>0</v>
      </c>
      <c r="DQ54" s="134">
        <f>'бюджет округа (района)'!BI36+'бюджеты поселений'!BI36</f>
        <v>0</v>
      </c>
      <c r="DR54" s="137">
        <f>'бюджет округа (района)'!BI36</f>
        <v>0</v>
      </c>
      <c r="DS54" s="134">
        <v>-3404</v>
      </c>
      <c r="DT54" s="137"/>
      <c r="DU54" s="229" t="s">
        <v>34</v>
      </c>
      <c r="DV54" s="229" t="s">
        <v>34</v>
      </c>
      <c r="DW54" s="135">
        <f t="shared" si="70"/>
        <v>0.21887860082304528</v>
      </c>
      <c r="DX54" s="197" t="e">
        <f t="shared" si="73"/>
        <v>#DIV/0!</v>
      </c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  <c r="IW54" s="65"/>
      <c r="IX54" s="65"/>
      <c r="IY54" s="65"/>
      <c r="IZ54" s="65"/>
      <c r="JA54" s="65"/>
      <c r="JB54" s="65"/>
      <c r="JC54" s="65"/>
      <c r="JD54" s="65"/>
      <c r="JE54" s="65"/>
      <c r="JF54" s="65"/>
      <c r="JG54" s="65"/>
      <c r="JH54" s="65"/>
    </row>
    <row r="55" spans="1:268" s="18" customFormat="1" ht="16.5">
      <c r="A55" s="341" t="s">
        <v>49</v>
      </c>
      <c r="B55" s="280"/>
      <c r="C55" s="267">
        <f>C56+C57</f>
        <v>757349</v>
      </c>
      <c r="D55" s="267">
        <f t="shared" ref="D55" si="94">D56+D57</f>
        <v>712552</v>
      </c>
      <c r="E55" s="267">
        <f>E56+E57</f>
        <v>934512</v>
      </c>
      <c r="F55" s="267">
        <f t="shared" ref="F55:BQ55" si="95">F56+F57</f>
        <v>897974</v>
      </c>
      <c r="G55" s="267">
        <f t="shared" si="95"/>
        <v>2029105</v>
      </c>
      <c r="H55" s="267">
        <f t="shared" si="95"/>
        <v>1974898</v>
      </c>
      <c r="I55" s="267">
        <f t="shared" si="95"/>
        <v>0</v>
      </c>
      <c r="J55" s="267">
        <f t="shared" si="95"/>
        <v>0</v>
      </c>
      <c r="K55" s="267">
        <f t="shared" si="95"/>
        <v>0</v>
      </c>
      <c r="L55" s="267">
        <f t="shared" si="95"/>
        <v>0</v>
      </c>
      <c r="M55" s="267">
        <f t="shared" si="95"/>
        <v>0</v>
      </c>
      <c r="N55" s="267">
        <f t="shared" si="95"/>
        <v>0</v>
      </c>
      <c r="O55" s="267">
        <f t="shared" si="95"/>
        <v>0</v>
      </c>
      <c r="P55" s="267">
        <f t="shared" si="95"/>
        <v>0</v>
      </c>
      <c r="Q55" s="267">
        <f t="shared" si="95"/>
        <v>0</v>
      </c>
      <c r="R55" s="267">
        <f t="shared" si="95"/>
        <v>0</v>
      </c>
      <c r="S55" s="267">
        <f t="shared" si="95"/>
        <v>0</v>
      </c>
      <c r="T55" s="267">
        <f t="shared" si="95"/>
        <v>0</v>
      </c>
      <c r="U55" s="267">
        <f t="shared" si="95"/>
        <v>0</v>
      </c>
      <c r="V55" s="267">
        <f t="shared" si="95"/>
        <v>0</v>
      </c>
      <c r="W55" s="267">
        <f t="shared" si="95"/>
        <v>0</v>
      </c>
      <c r="X55" s="267">
        <f t="shared" si="95"/>
        <v>0</v>
      </c>
      <c r="Y55" s="267">
        <f t="shared" si="95"/>
        <v>0</v>
      </c>
      <c r="Z55" s="267">
        <f t="shared" si="95"/>
        <v>0</v>
      </c>
      <c r="AA55" s="267">
        <f t="shared" si="95"/>
        <v>0</v>
      </c>
      <c r="AB55" s="267">
        <f t="shared" si="95"/>
        <v>0</v>
      </c>
      <c r="AC55" s="267">
        <f t="shared" si="95"/>
        <v>0</v>
      </c>
      <c r="AD55" s="267">
        <f t="shared" si="95"/>
        <v>0</v>
      </c>
      <c r="AE55" s="267">
        <f t="shared" si="95"/>
        <v>0</v>
      </c>
      <c r="AF55" s="267">
        <f t="shared" si="95"/>
        <v>0</v>
      </c>
      <c r="AG55" s="267">
        <f t="shared" si="95"/>
        <v>0</v>
      </c>
      <c r="AH55" s="267">
        <f t="shared" si="95"/>
        <v>0</v>
      </c>
      <c r="AI55" s="267">
        <f t="shared" si="95"/>
        <v>0</v>
      </c>
      <c r="AJ55" s="267">
        <f t="shared" si="95"/>
        <v>0</v>
      </c>
      <c r="AK55" s="267">
        <f t="shared" si="95"/>
        <v>0</v>
      </c>
      <c r="AL55" s="267">
        <f t="shared" si="95"/>
        <v>0</v>
      </c>
      <c r="AM55" s="267">
        <f t="shared" si="95"/>
        <v>0</v>
      </c>
      <c r="AN55" s="267">
        <f t="shared" si="95"/>
        <v>0</v>
      </c>
      <c r="AO55" s="267">
        <f t="shared" si="95"/>
        <v>0</v>
      </c>
      <c r="AP55" s="267">
        <f t="shared" si="95"/>
        <v>0</v>
      </c>
      <c r="AQ55" s="267">
        <f t="shared" si="95"/>
        <v>0</v>
      </c>
      <c r="AR55" s="267">
        <f t="shared" si="95"/>
        <v>0</v>
      </c>
      <c r="AS55" s="267">
        <f t="shared" si="95"/>
        <v>0</v>
      </c>
      <c r="AT55" s="267">
        <f t="shared" si="95"/>
        <v>0</v>
      </c>
      <c r="AU55" s="267">
        <f t="shared" si="95"/>
        <v>0</v>
      </c>
      <c r="AV55" s="267">
        <f t="shared" si="95"/>
        <v>0</v>
      </c>
      <c r="AW55" s="274">
        <f t="shared" si="95"/>
        <v>191549</v>
      </c>
      <c r="AX55" s="274">
        <f t="shared" si="95"/>
        <v>180557</v>
      </c>
      <c r="AY55" s="274">
        <f t="shared" si="95"/>
        <v>0</v>
      </c>
      <c r="AZ55" s="274">
        <f t="shared" si="95"/>
        <v>0</v>
      </c>
      <c r="BA55" s="274">
        <f t="shared" si="95"/>
        <v>1205487</v>
      </c>
      <c r="BB55" s="274">
        <f t="shared" si="95"/>
        <v>0</v>
      </c>
      <c r="BC55" s="131">
        <f t="shared" si="95"/>
        <v>0</v>
      </c>
      <c r="BD55" s="131">
        <f t="shared" si="95"/>
        <v>0</v>
      </c>
      <c r="BE55" s="274">
        <f t="shared" si="95"/>
        <v>0</v>
      </c>
      <c r="BF55" s="274">
        <f t="shared" si="95"/>
        <v>0</v>
      </c>
      <c r="BG55" s="274">
        <f t="shared" si="95"/>
        <v>0</v>
      </c>
      <c r="BH55" s="274">
        <f t="shared" si="95"/>
        <v>0</v>
      </c>
      <c r="BI55" s="274">
        <f t="shared" si="95"/>
        <v>0</v>
      </c>
      <c r="BJ55" s="274">
        <f t="shared" si="95"/>
        <v>0</v>
      </c>
      <c r="BK55" s="131">
        <f t="shared" si="95"/>
        <v>0</v>
      </c>
      <c r="BL55" s="131">
        <f t="shared" si="95"/>
        <v>0</v>
      </c>
      <c r="BM55" s="274">
        <f t="shared" si="95"/>
        <v>0</v>
      </c>
      <c r="BN55" s="274">
        <f t="shared" si="95"/>
        <v>0</v>
      </c>
      <c r="BO55" s="274">
        <f t="shared" si="95"/>
        <v>0</v>
      </c>
      <c r="BP55" s="274">
        <f t="shared" si="95"/>
        <v>0</v>
      </c>
      <c r="BQ55" s="131">
        <f t="shared" si="95"/>
        <v>0</v>
      </c>
      <c r="BR55" s="131">
        <f t="shared" ref="BR55:DL55" si="96">BR56+BR57</f>
        <v>0</v>
      </c>
      <c r="BS55" s="274">
        <f t="shared" si="96"/>
        <v>0</v>
      </c>
      <c r="BT55" s="274">
        <f t="shared" si="96"/>
        <v>0</v>
      </c>
      <c r="BU55" s="274">
        <f t="shared" si="96"/>
        <v>0</v>
      </c>
      <c r="BV55" s="274">
        <f t="shared" si="96"/>
        <v>0</v>
      </c>
      <c r="BW55" s="131">
        <f t="shared" si="96"/>
        <v>0</v>
      </c>
      <c r="BX55" s="131">
        <f t="shared" si="96"/>
        <v>0</v>
      </c>
      <c r="BY55" s="274">
        <f t="shared" si="96"/>
        <v>0</v>
      </c>
      <c r="BZ55" s="274">
        <f t="shared" si="96"/>
        <v>0</v>
      </c>
      <c r="CA55" s="274">
        <f t="shared" si="96"/>
        <v>0</v>
      </c>
      <c r="CB55" s="274">
        <f t="shared" si="96"/>
        <v>0</v>
      </c>
      <c r="CC55" s="131">
        <f t="shared" si="96"/>
        <v>0</v>
      </c>
      <c r="CD55" s="131">
        <f t="shared" si="96"/>
        <v>0</v>
      </c>
      <c r="CE55" s="274">
        <f t="shared" si="96"/>
        <v>0</v>
      </c>
      <c r="CF55" s="274">
        <f t="shared" si="96"/>
        <v>0</v>
      </c>
      <c r="CG55" s="274">
        <f t="shared" si="96"/>
        <v>0</v>
      </c>
      <c r="CH55" s="274">
        <f t="shared" si="96"/>
        <v>0</v>
      </c>
      <c r="CI55" s="131">
        <f t="shared" si="96"/>
        <v>0</v>
      </c>
      <c r="CJ55" s="131">
        <f t="shared" si="96"/>
        <v>0</v>
      </c>
      <c r="CK55" s="274">
        <f t="shared" si="96"/>
        <v>0</v>
      </c>
      <c r="CL55" s="274">
        <f t="shared" si="96"/>
        <v>0</v>
      </c>
      <c r="CM55" s="274">
        <f t="shared" si="96"/>
        <v>0</v>
      </c>
      <c r="CN55" s="274">
        <f t="shared" si="96"/>
        <v>0</v>
      </c>
      <c r="CO55" s="131">
        <f t="shared" si="96"/>
        <v>0</v>
      </c>
      <c r="CP55" s="131">
        <f t="shared" si="96"/>
        <v>0</v>
      </c>
      <c r="CQ55" s="274">
        <f t="shared" si="96"/>
        <v>0</v>
      </c>
      <c r="CR55" s="274">
        <f t="shared" si="96"/>
        <v>0</v>
      </c>
      <c r="CS55" s="274">
        <f t="shared" si="96"/>
        <v>0</v>
      </c>
      <c r="CT55" s="274">
        <f t="shared" si="96"/>
        <v>0</v>
      </c>
      <c r="CU55" s="131">
        <f t="shared" si="96"/>
        <v>0</v>
      </c>
      <c r="CV55" s="131">
        <f t="shared" si="96"/>
        <v>0</v>
      </c>
      <c r="CW55" s="274">
        <f t="shared" si="96"/>
        <v>0</v>
      </c>
      <c r="CX55" s="274">
        <f t="shared" si="96"/>
        <v>0</v>
      </c>
      <c r="CY55" s="274">
        <f t="shared" si="96"/>
        <v>0</v>
      </c>
      <c r="CZ55" s="274">
        <f t="shared" si="96"/>
        <v>0</v>
      </c>
      <c r="DA55" s="131">
        <f t="shared" si="96"/>
        <v>0</v>
      </c>
      <c r="DB55" s="131">
        <f t="shared" si="96"/>
        <v>0</v>
      </c>
      <c r="DC55" s="274">
        <f t="shared" si="96"/>
        <v>0</v>
      </c>
      <c r="DD55" s="274">
        <f t="shared" si="96"/>
        <v>0</v>
      </c>
      <c r="DE55" s="274">
        <f t="shared" si="96"/>
        <v>0</v>
      </c>
      <c r="DF55" s="274">
        <f t="shared" si="96"/>
        <v>0</v>
      </c>
      <c r="DG55" s="131">
        <f t="shared" si="96"/>
        <v>0</v>
      </c>
      <c r="DH55" s="131">
        <f t="shared" si="96"/>
        <v>0</v>
      </c>
      <c r="DI55" s="274">
        <f t="shared" si="96"/>
        <v>0</v>
      </c>
      <c r="DJ55" s="274">
        <f t="shared" si="96"/>
        <v>0</v>
      </c>
      <c r="DK55" s="274">
        <f t="shared" si="96"/>
        <v>171118</v>
      </c>
      <c r="DL55" s="274">
        <f t="shared" si="96"/>
        <v>0</v>
      </c>
      <c r="DM55" s="131">
        <f t="shared" si="26"/>
        <v>0.8933379970660249</v>
      </c>
      <c r="DN55" s="131">
        <f t="shared" si="27"/>
        <v>0</v>
      </c>
      <c r="DO55" s="274" t="e">
        <f>DO58+DO60+#REF!+#REF!+#REF!+#REF!</f>
        <v>#REF!</v>
      </c>
      <c r="DP55" s="274" t="e">
        <f>DP58+DP60+#REF!+#REF!+#REF!+#REF!</f>
        <v>#REF!</v>
      </c>
      <c r="DQ55" s="274" t="e">
        <f>DQ58+DQ60+#REF!+#REF!+#REF!+#REF!</f>
        <v>#REF!</v>
      </c>
      <c r="DR55" s="274" t="e">
        <f>DR58+DR60+#REF!+#REF!+#REF!+#REF!</f>
        <v>#REF!</v>
      </c>
      <c r="DS55" s="274">
        <f t="shared" ref="DS55:DT55" si="97">DS56+DS57</f>
        <v>1218688</v>
      </c>
      <c r="DT55" s="274">
        <f t="shared" si="97"/>
        <v>0</v>
      </c>
      <c r="DU55" s="230">
        <f>IF($BA$10=0,1,DS55/$BA55)</f>
        <v>1.010950760978758</v>
      </c>
      <c r="DV55" s="230" t="e">
        <f t="shared" ref="DV55:DV60" si="98">IF($BA$10=0,1,DT55/$BB55)</f>
        <v>#DIV/0!</v>
      </c>
      <c r="DW55" s="230">
        <f t="shared" si="70"/>
        <v>0.6006037144455314</v>
      </c>
      <c r="DX55" s="246">
        <f t="shared" si="73"/>
        <v>0</v>
      </c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  <c r="IW55" s="22"/>
      <c r="IX55" s="22"/>
      <c r="IY55" s="22"/>
      <c r="IZ55" s="22"/>
      <c r="JA55" s="22"/>
      <c r="JB55" s="22"/>
      <c r="JC55" s="22"/>
      <c r="JD55" s="22"/>
      <c r="JE55" s="22"/>
      <c r="JF55" s="22"/>
      <c r="JG55" s="22"/>
      <c r="JH55" s="22"/>
    </row>
    <row r="56" spans="1:268" s="18" customFormat="1" ht="74.25" customHeight="1">
      <c r="A56" s="356" t="s">
        <v>174</v>
      </c>
      <c r="B56" s="303"/>
      <c r="C56" s="267">
        <v>494649</v>
      </c>
      <c r="D56" s="267">
        <v>490405</v>
      </c>
      <c r="E56" s="235">
        <v>668287</v>
      </c>
      <c r="F56" s="235">
        <v>662354</v>
      </c>
      <c r="G56" s="235">
        <v>1730731</v>
      </c>
      <c r="H56" s="235">
        <v>1726066</v>
      </c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1"/>
      <c r="AK56" s="271"/>
      <c r="AL56" s="271"/>
      <c r="AM56" s="271"/>
      <c r="AN56" s="271"/>
      <c r="AO56" s="271"/>
      <c r="AP56" s="271"/>
      <c r="AQ56" s="271"/>
      <c r="AR56" s="271"/>
      <c r="AS56" s="271"/>
      <c r="AT56" s="271"/>
      <c r="AU56" s="271"/>
      <c r="AV56" s="271"/>
      <c r="AW56" s="235">
        <v>119310</v>
      </c>
      <c r="AX56" s="440">
        <v>119149</v>
      </c>
      <c r="AY56" s="274"/>
      <c r="AZ56" s="274"/>
      <c r="BA56" s="274">
        <f>820359+100000</f>
        <v>920359</v>
      </c>
      <c r="BB56" s="440"/>
      <c r="BC56" s="230"/>
      <c r="BD56" s="230"/>
      <c r="BE56" s="235"/>
      <c r="BF56" s="440"/>
      <c r="BG56" s="235"/>
      <c r="BH56" s="440"/>
      <c r="BI56" s="235"/>
      <c r="BJ56" s="235"/>
      <c r="BK56" s="230"/>
      <c r="BL56" s="230"/>
      <c r="BM56" s="235"/>
      <c r="BN56" s="440"/>
      <c r="BO56" s="235"/>
      <c r="BP56" s="235"/>
      <c r="BQ56" s="230"/>
      <c r="BR56" s="230"/>
      <c r="BS56" s="235"/>
      <c r="BT56" s="440"/>
      <c r="BU56" s="235"/>
      <c r="BV56" s="235"/>
      <c r="BW56" s="230"/>
      <c r="BX56" s="230"/>
      <c r="BY56" s="235"/>
      <c r="BZ56" s="440"/>
      <c r="CA56" s="235"/>
      <c r="CB56" s="235"/>
      <c r="CC56" s="230"/>
      <c r="CD56" s="230"/>
      <c r="CE56" s="235"/>
      <c r="CF56" s="440"/>
      <c r="CG56" s="235"/>
      <c r="CH56" s="235"/>
      <c r="CI56" s="230"/>
      <c r="CJ56" s="230"/>
      <c r="CK56" s="235"/>
      <c r="CL56" s="440"/>
      <c r="CM56" s="235"/>
      <c r="CN56" s="235"/>
      <c r="CO56" s="230"/>
      <c r="CP56" s="230"/>
      <c r="CQ56" s="235"/>
      <c r="CR56" s="440"/>
      <c r="CS56" s="235"/>
      <c r="CT56" s="235"/>
      <c r="CU56" s="230"/>
      <c r="CV56" s="230"/>
      <c r="CW56" s="235"/>
      <c r="CX56" s="440"/>
      <c r="CY56" s="235"/>
      <c r="CZ56" s="235"/>
      <c r="DA56" s="230"/>
      <c r="DB56" s="230"/>
      <c r="DC56" s="235"/>
      <c r="DD56" s="440"/>
      <c r="DE56" s="235"/>
      <c r="DF56" s="235"/>
      <c r="DG56" s="230"/>
      <c r="DH56" s="230"/>
      <c r="DI56" s="235"/>
      <c r="DJ56" s="440"/>
      <c r="DK56" s="235">
        <v>91670</v>
      </c>
      <c r="DL56" s="235"/>
      <c r="DM56" s="131">
        <f t="shared" si="26"/>
        <v>0.7683345905624005</v>
      </c>
      <c r="DN56" s="131">
        <f t="shared" si="27"/>
        <v>0</v>
      </c>
      <c r="DO56" s="274" t="e">
        <f>#REF!+#REF!+#REF!</f>
        <v>#REF!</v>
      </c>
      <c r="DP56" s="274" t="e">
        <f>#REF!+#REF!+#REF!</f>
        <v>#REF!</v>
      </c>
      <c r="DQ56" s="274" t="e">
        <f>#REF!+#REF!+#REF!</f>
        <v>#REF!</v>
      </c>
      <c r="DR56" s="274" t="e">
        <f>#REF!+#REF!+#REF!</f>
        <v>#REF!</v>
      </c>
      <c r="DS56" s="235">
        <v>920359</v>
      </c>
      <c r="DT56" s="440">
        <v>0</v>
      </c>
      <c r="DU56" s="230">
        <f>IF($BA$10=0,1,DS56/$BA56)</f>
        <v>1</v>
      </c>
      <c r="DV56" s="230" t="e">
        <f t="shared" si="98"/>
        <v>#DIV/0!</v>
      </c>
      <c r="DW56" s="230">
        <f t="shared" si="70"/>
        <v>0.53177472409057214</v>
      </c>
      <c r="DX56" s="246">
        <f t="shared" si="73"/>
        <v>0</v>
      </c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  <c r="IW56" s="22"/>
      <c r="IX56" s="22"/>
      <c r="IY56" s="22"/>
      <c r="IZ56" s="22"/>
      <c r="JA56" s="22"/>
      <c r="JB56" s="22"/>
      <c r="JC56" s="22"/>
      <c r="JD56" s="22"/>
      <c r="JE56" s="22"/>
      <c r="JF56" s="22"/>
      <c r="JG56" s="22"/>
      <c r="JH56" s="22"/>
    </row>
    <row r="57" spans="1:268" s="18" customFormat="1" ht="62.25" customHeight="1">
      <c r="A57" s="356" t="s">
        <v>197</v>
      </c>
      <c r="B57" s="303"/>
      <c r="C57" s="267">
        <f>C58+C59+C60+C61+C62</f>
        <v>262700</v>
      </c>
      <c r="D57" s="267">
        <f t="shared" ref="D57" si="99">D58+D59+D60+D61+D62</f>
        <v>222147</v>
      </c>
      <c r="E57" s="267">
        <f>E58+E59+E60+E61+E62</f>
        <v>266225</v>
      </c>
      <c r="F57" s="267">
        <f t="shared" ref="F57:BQ57" si="100">F58+F59+F60+F61+F62</f>
        <v>235620</v>
      </c>
      <c r="G57" s="267">
        <f t="shared" si="100"/>
        <v>298374</v>
      </c>
      <c r="H57" s="267">
        <f t="shared" si="100"/>
        <v>248832</v>
      </c>
      <c r="I57" s="267">
        <f t="shared" si="100"/>
        <v>0</v>
      </c>
      <c r="J57" s="267">
        <f t="shared" si="100"/>
        <v>0</v>
      </c>
      <c r="K57" s="267">
        <f t="shared" si="100"/>
        <v>0</v>
      </c>
      <c r="L57" s="267">
        <f t="shared" si="100"/>
        <v>0</v>
      </c>
      <c r="M57" s="267">
        <f t="shared" si="100"/>
        <v>0</v>
      </c>
      <c r="N57" s="267">
        <f t="shared" si="100"/>
        <v>0</v>
      </c>
      <c r="O57" s="267">
        <f t="shared" si="100"/>
        <v>0</v>
      </c>
      <c r="P57" s="267">
        <f t="shared" si="100"/>
        <v>0</v>
      </c>
      <c r="Q57" s="267">
        <f t="shared" si="100"/>
        <v>0</v>
      </c>
      <c r="R57" s="267">
        <f t="shared" si="100"/>
        <v>0</v>
      </c>
      <c r="S57" s="267">
        <f t="shared" si="100"/>
        <v>0</v>
      </c>
      <c r="T57" s="267">
        <f t="shared" si="100"/>
        <v>0</v>
      </c>
      <c r="U57" s="267">
        <f t="shared" si="100"/>
        <v>0</v>
      </c>
      <c r="V57" s="267">
        <f t="shared" si="100"/>
        <v>0</v>
      </c>
      <c r="W57" s="267">
        <f t="shared" si="100"/>
        <v>0</v>
      </c>
      <c r="X57" s="267">
        <f t="shared" si="100"/>
        <v>0</v>
      </c>
      <c r="Y57" s="267">
        <f t="shared" si="100"/>
        <v>0</v>
      </c>
      <c r="Z57" s="267">
        <f t="shared" si="100"/>
        <v>0</v>
      </c>
      <c r="AA57" s="267">
        <f t="shared" si="100"/>
        <v>0</v>
      </c>
      <c r="AB57" s="267">
        <f t="shared" si="100"/>
        <v>0</v>
      </c>
      <c r="AC57" s="267">
        <f t="shared" si="100"/>
        <v>0</v>
      </c>
      <c r="AD57" s="267">
        <f t="shared" si="100"/>
        <v>0</v>
      </c>
      <c r="AE57" s="267">
        <f t="shared" si="100"/>
        <v>0</v>
      </c>
      <c r="AF57" s="267">
        <f t="shared" si="100"/>
        <v>0</v>
      </c>
      <c r="AG57" s="267">
        <f t="shared" si="100"/>
        <v>0</v>
      </c>
      <c r="AH57" s="267">
        <f t="shared" si="100"/>
        <v>0</v>
      </c>
      <c r="AI57" s="267">
        <f t="shared" si="100"/>
        <v>0</v>
      </c>
      <c r="AJ57" s="267">
        <f t="shared" si="100"/>
        <v>0</v>
      </c>
      <c r="AK57" s="267">
        <f t="shared" si="100"/>
        <v>0</v>
      </c>
      <c r="AL57" s="267">
        <f t="shared" si="100"/>
        <v>0</v>
      </c>
      <c r="AM57" s="267">
        <f t="shared" si="100"/>
        <v>0</v>
      </c>
      <c r="AN57" s="267">
        <f t="shared" si="100"/>
        <v>0</v>
      </c>
      <c r="AO57" s="267">
        <f t="shared" si="100"/>
        <v>0</v>
      </c>
      <c r="AP57" s="267">
        <f t="shared" si="100"/>
        <v>0</v>
      </c>
      <c r="AQ57" s="267">
        <f t="shared" si="100"/>
        <v>0</v>
      </c>
      <c r="AR57" s="267">
        <f t="shared" si="100"/>
        <v>0</v>
      </c>
      <c r="AS57" s="267">
        <f t="shared" si="100"/>
        <v>0</v>
      </c>
      <c r="AT57" s="267">
        <f t="shared" si="100"/>
        <v>0</v>
      </c>
      <c r="AU57" s="267">
        <f t="shared" si="100"/>
        <v>0</v>
      </c>
      <c r="AV57" s="267">
        <f t="shared" si="100"/>
        <v>0</v>
      </c>
      <c r="AW57" s="267">
        <f t="shared" si="100"/>
        <v>72239</v>
      </c>
      <c r="AX57" s="267">
        <f t="shared" si="100"/>
        <v>61408</v>
      </c>
      <c r="AY57" s="267">
        <f t="shared" si="100"/>
        <v>0</v>
      </c>
      <c r="AZ57" s="267">
        <f t="shared" si="100"/>
        <v>0</v>
      </c>
      <c r="BA57" s="267">
        <f t="shared" si="100"/>
        <v>285128</v>
      </c>
      <c r="BB57" s="267">
        <f t="shared" si="100"/>
        <v>0</v>
      </c>
      <c r="BC57" s="131">
        <f t="shared" si="100"/>
        <v>0</v>
      </c>
      <c r="BD57" s="131">
        <f t="shared" si="100"/>
        <v>0</v>
      </c>
      <c r="BE57" s="267">
        <f t="shared" si="100"/>
        <v>0</v>
      </c>
      <c r="BF57" s="267">
        <f t="shared" si="100"/>
        <v>0</v>
      </c>
      <c r="BG57" s="267">
        <f t="shared" si="100"/>
        <v>0</v>
      </c>
      <c r="BH57" s="267">
        <f t="shared" si="100"/>
        <v>0</v>
      </c>
      <c r="BI57" s="267">
        <f t="shared" si="100"/>
        <v>0</v>
      </c>
      <c r="BJ57" s="267">
        <f t="shared" si="100"/>
        <v>0</v>
      </c>
      <c r="BK57" s="131">
        <f t="shared" si="100"/>
        <v>0</v>
      </c>
      <c r="BL57" s="131">
        <f t="shared" si="100"/>
        <v>0</v>
      </c>
      <c r="BM57" s="267">
        <f t="shared" si="100"/>
        <v>0</v>
      </c>
      <c r="BN57" s="267">
        <f t="shared" si="100"/>
        <v>0</v>
      </c>
      <c r="BO57" s="267">
        <f t="shared" si="100"/>
        <v>0</v>
      </c>
      <c r="BP57" s="267">
        <f t="shared" si="100"/>
        <v>0</v>
      </c>
      <c r="BQ57" s="131">
        <f t="shared" si="100"/>
        <v>0</v>
      </c>
      <c r="BR57" s="131">
        <f t="shared" ref="BR57:DL57" si="101">BR58+BR59+BR60+BR61+BR62</f>
        <v>0</v>
      </c>
      <c r="BS57" s="267">
        <f t="shared" si="101"/>
        <v>0</v>
      </c>
      <c r="BT57" s="267">
        <f t="shared" si="101"/>
        <v>0</v>
      </c>
      <c r="BU57" s="267">
        <f t="shared" si="101"/>
        <v>0</v>
      </c>
      <c r="BV57" s="267">
        <f t="shared" si="101"/>
        <v>0</v>
      </c>
      <c r="BW57" s="131">
        <f t="shared" si="101"/>
        <v>0</v>
      </c>
      <c r="BX57" s="131">
        <f t="shared" si="101"/>
        <v>0</v>
      </c>
      <c r="BY57" s="267">
        <f t="shared" si="101"/>
        <v>0</v>
      </c>
      <c r="BZ57" s="267">
        <f t="shared" si="101"/>
        <v>0</v>
      </c>
      <c r="CA57" s="267">
        <f t="shared" si="101"/>
        <v>0</v>
      </c>
      <c r="CB57" s="267">
        <f t="shared" si="101"/>
        <v>0</v>
      </c>
      <c r="CC57" s="131">
        <f t="shared" si="101"/>
        <v>0</v>
      </c>
      <c r="CD57" s="131">
        <f t="shared" si="101"/>
        <v>0</v>
      </c>
      <c r="CE57" s="267">
        <f t="shared" si="101"/>
        <v>0</v>
      </c>
      <c r="CF57" s="267">
        <f t="shared" si="101"/>
        <v>0</v>
      </c>
      <c r="CG57" s="267">
        <f t="shared" si="101"/>
        <v>0</v>
      </c>
      <c r="CH57" s="267">
        <f t="shared" si="101"/>
        <v>0</v>
      </c>
      <c r="CI57" s="131">
        <f t="shared" si="101"/>
        <v>0</v>
      </c>
      <c r="CJ57" s="131">
        <f t="shared" si="101"/>
        <v>0</v>
      </c>
      <c r="CK57" s="267">
        <f t="shared" si="101"/>
        <v>0</v>
      </c>
      <c r="CL57" s="267">
        <f t="shared" si="101"/>
        <v>0</v>
      </c>
      <c r="CM57" s="267">
        <f t="shared" si="101"/>
        <v>0</v>
      </c>
      <c r="CN57" s="267">
        <f t="shared" si="101"/>
        <v>0</v>
      </c>
      <c r="CO57" s="131">
        <f t="shared" si="101"/>
        <v>0</v>
      </c>
      <c r="CP57" s="131">
        <f t="shared" si="101"/>
        <v>0</v>
      </c>
      <c r="CQ57" s="267">
        <f t="shared" si="101"/>
        <v>0</v>
      </c>
      <c r="CR57" s="267">
        <f t="shared" si="101"/>
        <v>0</v>
      </c>
      <c r="CS57" s="267">
        <f t="shared" si="101"/>
        <v>0</v>
      </c>
      <c r="CT57" s="267">
        <f t="shared" si="101"/>
        <v>0</v>
      </c>
      <c r="CU57" s="131">
        <f t="shared" si="101"/>
        <v>0</v>
      </c>
      <c r="CV57" s="131">
        <f t="shared" si="101"/>
        <v>0</v>
      </c>
      <c r="CW57" s="267">
        <f t="shared" si="101"/>
        <v>0</v>
      </c>
      <c r="CX57" s="267">
        <f t="shared" si="101"/>
        <v>0</v>
      </c>
      <c r="CY57" s="267">
        <f t="shared" si="101"/>
        <v>0</v>
      </c>
      <c r="CZ57" s="267">
        <f t="shared" si="101"/>
        <v>0</v>
      </c>
      <c r="DA57" s="131">
        <f t="shared" si="101"/>
        <v>0</v>
      </c>
      <c r="DB57" s="131">
        <f t="shared" si="101"/>
        <v>0</v>
      </c>
      <c r="DC57" s="267">
        <f t="shared" si="101"/>
        <v>0</v>
      </c>
      <c r="DD57" s="267">
        <f t="shared" si="101"/>
        <v>0</v>
      </c>
      <c r="DE57" s="267">
        <f t="shared" si="101"/>
        <v>0</v>
      </c>
      <c r="DF57" s="267">
        <f t="shared" si="101"/>
        <v>0</v>
      </c>
      <c r="DG57" s="131">
        <f t="shared" si="101"/>
        <v>0</v>
      </c>
      <c r="DH57" s="131">
        <f t="shared" si="101"/>
        <v>0</v>
      </c>
      <c r="DI57" s="267">
        <f t="shared" si="101"/>
        <v>0</v>
      </c>
      <c r="DJ57" s="267">
        <f t="shared" si="101"/>
        <v>0</v>
      </c>
      <c r="DK57" s="267">
        <f t="shared" si="101"/>
        <v>79448</v>
      </c>
      <c r="DL57" s="267">
        <f t="shared" si="101"/>
        <v>0</v>
      </c>
      <c r="DM57" s="131">
        <f t="shared" si="26"/>
        <v>1.099793740223425</v>
      </c>
      <c r="DN57" s="131">
        <f t="shared" si="27"/>
        <v>0</v>
      </c>
      <c r="DO57" s="267" t="e">
        <f t="shared" ref="DO57:DR57" si="102">DO55-DO56</f>
        <v>#REF!</v>
      </c>
      <c r="DP57" s="267" t="e">
        <f t="shared" si="102"/>
        <v>#REF!</v>
      </c>
      <c r="DQ57" s="267" t="e">
        <f t="shared" si="102"/>
        <v>#REF!</v>
      </c>
      <c r="DR57" s="267" t="e">
        <f t="shared" si="102"/>
        <v>#REF!</v>
      </c>
      <c r="DS57" s="267">
        <f t="shared" ref="DS57:DT57" si="103">DS58+DS59+DS60+DS61+DS62</f>
        <v>298329</v>
      </c>
      <c r="DT57" s="267">
        <f t="shared" si="103"/>
        <v>0</v>
      </c>
      <c r="DU57" s="230">
        <f>IF($BA$10=0,1,DS57/$BA57)</f>
        <v>1.0462985045312982</v>
      </c>
      <c r="DV57" s="230" t="e">
        <f t="shared" si="98"/>
        <v>#DIV/0!</v>
      </c>
      <c r="DW57" s="230">
        <f t="shared" ref="DW57:DW73" si="104">IF($G57=0,1,DS57/$G57)</f>
        <v>0.99984918256952682</v>
      </c>
      <c r="DX57" s="246">
        <f t="shared" si="73"/>
        <v>0</v>
      </c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2"/>
      <c r="IX57" s="22"/>
      <c r="IY57" s="22"/>
      <c r="IZ57" s="22"/>
      <c r="JA57" s="22"/>
      <c r="JB57" s="22"/>
      <c r="JC57" s="22"/>
      <c r="JD57" s="22"/>
      <c r="JE57" s="22"/>
      <c r="JF57" s="22"/>
      <c r="JG57" s="22"/>
      <c r="JH57" s="22"/>
    </row>
    <row r="58" spans="1:268" s="68" customFormat="1" ht="17.25">
      <c r="A58" s="367" t="s">
        <v>100</v>
      </c>
      <c r="B58" s="311"/>
      <c r="C58" s="140">
        <v>126963</v>
      </c>
      <c r="D58" s="140">
        <v>112846</v>
      </c>
      <c r="E58" s="140">
        <v>137709</v>
      </c>
      <c r="F58" s="140">
        <v>122695</v>
      </c>
      <c r="G58" s="140">
        <v>147856</v>
      </c>
      <c r="H58" s="140">
        <v>131538</v>
      </c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>
        <v>27284</v>
      </c>
      <c r="AX58" s="140">
        <v>24186</v>
      </c>
      <c r="AY58" s="140"/>
      <c r="AZ58" s="140"/>
      <c r="BA58" s="140">
        <v>145554</v>
      </c>
      <c r="BB58" s="140"/>
      <c r="BC58" s="133"/>
      <c r="BD58" s="133"/>
      <c r="BE58" s="140"/>
      <c r="BF58" s="140"/>
      <c r="BG58" s="140"/>
      <c r="BH58" s="140"/>
      <c r="BI58" s="140"/>
      <c r="BJ58" s="140"/>
      <c r="BK58" s="133"/>
      <c r="BL58" s="133"/>
      <c r="BM58" s="140"/>
      <c r="BN58" s="140"/>
      <c r="BO58" s="140"/>
      <c r="BP58" s="140"/>
      <c r="BQ58" s="133"/>
      <c r="BR58" s="133"/>
      <c r="BS58" s="140"/>
      <c r="BT58" s="140"/>
      <c r="BU58" s="140"/>
      <c r="BV58" s="140"/>
      <c r="BW58" s="133"/>
      <c r="BX58" s="133"/>
      <c r="BY58" s="140"/>
      <c r="BZ58" s="140"/>
      <c r="CA58" s="140"/>
      <c r="CB58" s="140"/>
      <c r="CC58" s="133"/>
      <c r="CD58" s="133"/>
      <c r="CE58" s="140"/>
      <c r="CF58" s="140"/>
      <c r="CG58" s="140"/>
      <c r="CH58" s="140"/>
      <c r="CI58" s="133"/>
      <c r="CJ58" s="133"/>
      <c r="CK58" s="140"/>
      <c r="CL58" s="140"/>
      <c r="CM58" s="140"/>
      <c r="CN58" s="140"/>
      <c r="CO58" s="133"/>
      <c r="CP58" s="133"/>
      <c r="CQ58" s="140"/>
      <c r="CR58" s="140"/>
      <c r="CS58" s="140"/>
      <c r="CT58" s="140"/>
      <c r="CU58" s="133"/>
      <c r="CV58" s="133"/>
      <c r="CW58" s="140"/>
      <c r="CX58" s="140"/>
      <c r="CY58" s="140"/>
      <c r="CZ58" s="140"/>
      <c r="DA58" s="133"/>
      <c r="DB58" s="133"/>
      <c r="DC58" s="140"/>
      <c r="DD58" s="140"/>
      <c r="DE58" s="140"/>
      <c r="DF58" s="140"/>
      <c r="DG58" s="133"/>
      <c r="DH58" s="133"/>
      <c r="DI58" s="140"/>
      <c r="DJ58" s="140"/>
      <c r="DK58" s="140">
        <v>31075</v>
      </c>
      <c r="DL58" s="140"/>
      <c r="DM58" s="142">
        <f t="shared" si="26"/>
        <v>1.1389459023603576</v>
      </c>
      <c r="DN58" s="142">
        <f t="shared" si="27"/>
        <v>0</v>
      </c>
      <c r="DO58" s="140">
        <f>'бюджет округа (района)'!BH41+'бюджеты поселений'!BH41</f>
        <v>0</v>
      </c>
      <c r="DP58" s="140">
        <f>'бюджет округа (района)'!BH41</f>
        <v>0</v>
      </c>
      <c r="DQ58" s="140">
        <f>'бюджет округа (района)'!BI41+'бюджеты поселений'!BI41</f>
        <v>0</v>
      </c>
      <c r="DR58" s="140">
        <f>'бюджет округа (района)'!BI41</f>
        <v>0</v>
      </c>
      <c r="DS58" s="140">
        <v>148466</v>
      </c>
      <c r="DT58" s="140"/>
      <c r="DU58" s="135">
        <f>IF($BA$10=0,1,DS58/$BA58)</f>
        <v>1.0200063206782362</v>
      </c>
      <c r="DV58" s="135" t="e">
        <f t="shared" si="98"/>
        <v>#DIV/0!</v>
      </c>
      <c r="DW58" s="135">
        <f t="shared" si="104"/>
        <v>1.0041256357537063</v>
      </c>
      <c r="DX58" s="197">
        <f t="shared" si="73"/>
        <v>0</v>
      </c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  <c r="IW58" s="67"/>
      <c r="IX58" s="67"/>
      <c r="IY58" s="67"/>
      <c r="IZ58" s="67"/>
      <c r="JA58" s="67"/>
      <c r="JB58" s="67"/>
      <c r="JC58" s="67"/>
      <c r="JD58" s="67"/>
      <c r="JE58" s="67"/>
      <c r="JF58" s="67"/>
      <c r="JG58" s="67"/>
      <c r="JH58" s="67"/>
    </row>
    <row r="59" spans="1:268" s="64" customFormat="1" ht="18" customHeight="1">
      <c r="A59" s="358" t="s">
        <v>194</v>
      </c>
      <c r="B59" s="309"/>
      <c r="C59" s="134">
        <v>54735</v>
      </c>
      <c r="D59" s="137">
        <v>51363</v>
      </c>
      <c r="E59" s="273">
        <v>51639</v>
      </c>
      <c r="F59" s="273">
        <v>47540</v>
      </c>
      <c r="G59" s="273">
        <v>60602</v>
      </c>
      <c r="H59" s="273">
        <v>56907</v>
      </c>
      <c r="I59" s="134"/>
      <c r="J59" s="137"/>
      <c r="K59" s="134"/>
      <c r="L59" s="137"/>
      <c r="M59" s="134"/>
      <c r="N59" s="134"/>
      <c r="O59" s="134"/>
      <c r="P59" s="137"/>
      <c r="Q59" s="134"/>
      <c r="R59" s="134"/>
      <c r="S59" s="134"/>
      <c r="T59" s="137"/>
      <c r="U59" s="134"/>
      <c r="V59" s="134"/>
      <c r="W59" s="134"/>
      <c r="X59" s="137"/>
      <c r="Y59" s="134"/>
      <c r="Z59" s="134"/>
      <c r="AA59" s="134"/>
      <c r="AB59" s="137"/>
      <c r="AC59" s="134"/>
      <c r="AD59" s="134"/>
      <c r="AE59" s="134"/>
      <c r="AF59" s="137"/>
      <c r="AG59" s="134"/>
      <c r="AH59" s="134"/>
      <c r="AI59" s="134"/>
      <c r="AJ59" s="137"/>
      <c r="AK59" s="134"/>
      <c r="AL59" s="134"/>
      <c r="AM59" s="134"/>
      <c r="AN59" s="137"/>
      <c r="AO59" s="134"/>
      <c r="AP59" s="134"/>
      <c r="AQ59" s="134"/>
      <c r="AR59" s="137"/>
      <c r="AS59" s="134"/>
      <c r="AT59" s="134"/>
      <c r="AU59" s="134"/>
      <c r="AV59" s="137"/>
      <c r="AW59" s="134">
        <v>25147</v>
      </c>
      <c r="AX59" s="137">
        <v>23616</v>
      </c>
      <c r="AY59" s="134"/>
      <c r="AZ59" s="137"/>
      <c r="BA59" s="134">
        <v>61215</v>
      </c>
      <c r="BB59" s="137"/>
      <c r="BC59" s="135"/>
      <c r="BD59" s="135"/>
      <c r="BE59" s="134"/>
      <c r="BF59" s="137"/>
      <c r="BG59" s="134"/>
      <c r="BH59" s="137"/>
      <c r="BI59" s="134"/>
      <c r="BJ59" s="134"/>
      <c r="BK59" s="135"/>
      <c r="BL59" s="135"/>
      <c r="BM59" s="134"/>
      <c r="BN59" s="137"/>
      <c r="BO59" s="134"/>
      <c r="BP59" s="134"/>
      <c r="BQ59" s="135"/>
      <c r="BR59" s="135"/>
      <c r="BS59" s="134"/>
      <c r="BT59" s="137"/>
      <c r="BU59" s="134"/>
      <c r="BV59" s="134"/>
      <c r="BW59" s="135"/>
      <c r="BX59" s="135"/>
      <c r="BY59" s="134"/>
      <c r="BZ59" s="137"/>
      <c r="CA59" s="134"/>
      <c r="CB59" s="134"/>
      <c r="CC59" s="135"/>
      <c r="CD59" s="135"/>
      <c r="CE59" s="134"/>
      <c r="CF59" s="137"/>
      <c r="CG59" s="134"/>
      <c r="CH59" s="134"/>
      <c r="CI59" s="135"/>
      <c r="CJ59" s="135"/>
      <c r="CK59" s="134"/>
      <c r="CL59" s="137"/>
      <c r="CM59" s="134"/>
      <c r="CN59" s="134"/>
      <c r="CO59" s="135"/>
      <c r="CP59" s="135"/>
      <c r="CQ59" s="134"/>
      <c r="CR59" s="137"/>
      <c r="CS59" s="134"/>
      <c r="CT59" s="134"/>
      <c r="CU59" s="135"/>
      <c r="CV59" s="135"/>
      <c r="CW59" s="134"/>
      <c r="CX59" s="137"/>
      <c r="CY59" s="134"/>
      <c r="CZ59" s="134"/>
      <c r="DA59" s="135"/>
      <c r="DB59" s="135"/>
      <c r="DC59" s="134"/>
      <c r="DD59" s="137"/>
      <c r="DE59" s="134"/>
      <c r="DF59" s="134"/>
      <c r="DG59" s="135"/>
      <c r="DH59" s="135"/>
      <c r="DI59" s="134"/>
      <c r="DJ59" s="137"/>
      <c r="DK59" s="273">
        <v>28943</v>
      </c>
      <c r="DL59" s="273"/>
      <c r="DM59" s="142">
        <f t="shared" si="26"/>
        <v>1.1509523998886546</v>
      </c>
      <c r="DN59" s="142">
        <f t="shared" si="27"/>
        <v>0</v>
      </c>
      <c r="DO59" s="140">
        <f>'бюджет округа (района)'!BH42+'бюджеты поселений'!BH42</f>
        <v>0</v>
      </c>
      <c r="DP59" s="140">
        <f>'бюджет округа (района)'!BH42</f>
        <v>0</v>
      </c>
      <c r="DQ59" s="140">
        <f>'бюджет округа (района)'!BI42+'бюджеты поселений'!BI42</f>
        <v>0</v>
      </c>
      <c r="DR59" s="140">
        <f>'бюджет округа (района)'!BI42</f>
        <v>0</v>
      </c>
      <c r="DS59" s="134">
        <v>61215</v>
      </c>
      <c r="DT59" s="137"/>
      <c r="DU59" s="135">
        <f>IF($BA$10=0,1,DS59/$BA59)</f>
        <v>1</v>
      </c>
      <c r="DV59" s="135" t="e">
        <f t="shared" si="98"/>
        <v>#DIV/0!</v>
      </c>
      <c r="DW59" s="135">
        <f t="shared" si="104"/>
        <v>1.0101151777169071</v>
      </c>
      <c r="DX59" s="197">
        <f t="shared" si="73"/>
        <v>0</v>
      </c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  <c r="JE59" s="63"/>
      <c r="JF59" s="63"/>
      <c r="JG59" s="63"/>
      <c r="JH59" s="63"/>
    </row>
    <row r="60" spans="1:268" s="68" customFormat="1" ht="18" customHeight="1">
      <c r="A60" s="358" t="s">
        <v>195</v>
      </c>
      <c r="B60" s="309"/>
      <c r="C60" s="140">
        <v>0</v>
      </c>
      <c r="D60" s="140">
        <v>8316</v>
      </c>
      <c r="E60" s="132">
        <v>0</v>
      </c>
      <c r="F60" s="132">
        <v>8735</v>
      </c>
      <c r="G60" s="132">
        <v>0</v>
      </c>
      <c r="H60" s="132">
        <v>8725</v>
      </c>
      <c r="I60" s="140"/>
      <c r="J60" s="140"/>
      <c r="K60" s="140"/>
      <c r="L60" s="140"/>
      <c r="M60" s="132"/>
      <c r="N60" s="132"/>
      <c r="O60" s="140"/>
      <c r="P60" s="140"/>
      <c r="Q60" s="132"/>
      <c r="R60" s="132"/>
      <c r="S60" s="140"/>
      <c r="T60" s="140"/>
      <c r="U60" s="132"/>
      <c r="V60" s="132"/>
      <c r="W60" s="140"/>
      <c r="X60" s="140"/>
      <c r="Y60" s="132"/>
      <c r="Z60" s="132"/>
      <c r="AA60" s="140"/>
      <c r="AB60" s="140"/>
      <c r="AC60" s="132"/>
      <c r="AD60" s="132"/>
      <c r="AE60" s="140"/>
      <c r="AF60" s="140"/>
      <c r="AG60" s="132"/>
      <c r="AH60" s="132"/>
      <c r="AI60" s="140"/>
      <c r="AJ60" s="140"/>
      <c r="AK60" s="132"/>
      <c r="AL60" s="132"/>
      <c r="AM60" s="140"/>
      <c r="AN60" s="140"/>
      <c r="AO60" s="132"/>
      <c r="AP60" s="132"/>
      <c r="AQ60" s="140"/>
      <c r="AR60" s="140"/>
      <c r="AS60" s="132"/>
      <c r="AT60" s="132"/>
      <c r="AU60" s="140"/>
      <c r="AV60" s="140"/>
      <c r="AW60" s="140">
        <v>0</v>
      </c>
      <c r="AX60" s="140">
        <v>2528</v>
      </c>
      <c r="AY60" s="140"/>
      <c r="AZ60" s="140"/>
      <c r="BA60" s="140">
        <v>0</v>
      </c>
      <c r="BB60" s="140"/>
      <c r="BC60" s="142"/>
      <c r="BD60" s="142"/>
      <c r="BE60" s="140"/>
      <c r="BF60" s="140"/>
      <c r="BG60" s="140"/>
      <c r="BH60" s="140"/>
      <c r="BI60" s="132"/>
      <c r="BJ60" s="132"/>
      <c r="BK60" s="142"/>
      <c r="BL60" s="142"/>
      <c r="BM60" s="140"/>
      <c r="BN60" s="140"/>
      <c r="BO60" s="132"/>
      <c r="BP60" s="132"/>
      <c r="BQ60" s="142"/>
      <c r="BR60" s="142"/>
      <c r="BS60" s="140"/>
      <c r="BT60" s="140"/>
      <c r="BU60" s="132"/>
      <c r="BV60" s="132"/>
      <c r="BW60" s="142"/>
      <c r="BX60" s="142"/>
      <c r="BY60" s="140"/>
      <c r="BZ60" s="140"/>
      <c r="CA60" s="132"/>
      <c r="CB60" s="132"/>
      <c r="CC60" s="142"/>
      <c r="CD60" s="142"/>
      <c r="CE60" s="140"/>
      <c r="CF60" s="140"/>
      <c r="CG60" s="132"/>
      <c r="CH60" s="132"/>
      <c r="CI60" s="142"/>
      <c r="CJ60" s="142"/>
      <c r="CK60" s="140"/>
      <c r="CL60" s="140"/>
      <c r="CM60" s="132"/>
      <c r="CN60" s="132"/>
      <c r="CO60" s="142"/>
      <c r="CP60" s="142"/>
      <c r="CQ60" s="140"/>
      <c r="CR60" s="140"/>
      <c r="CS60" s="132"/>
      <c r="CT60" s="132"/>
      <c r="CU60" s="142"/>
      <c r="CV60" s="142"/>
      <c r="CW60" s="140"/>
      <c r="CX60" s="140"/>
      <c r="CY60" s="132"/>
      <c r="CZ60" s="132"/>
      <c r="DA60" s="142"/>
      <c r="DB60" s="142"/>
      <c r="DC60" s="140"/>
      <c r="DD60" s="140"/>
      <c r="DE60" s="132"/>
      <c r="DF60" s="132"/>
      <c r="DG60" s="142"/>
      <c r="DH60" s="142"/>
      <c r="DI60" s="140"/>
      <c r="DJ60" s="140"/>
      <c r="DK60" s="132">
        <v>0</v>
      </c>
      <c r="DL60" s="132"/>
      <c r="DM60" s="142">
        <f t="shared" si="26"/>
        <v>1</v>
      </c>
      <c r="DN60" s="142">
        <f t="shared" si="27"/>
        <v>0</v>
      </c>
      <c r="DO60" s="140">
        <f>'бюджет округа (района)'!BH43+'бюджеты поселений'!BH43</f>
        <v>0</v>
      </c>
      <c r="DP60" s="140">
        <f>'бюджет округа (района)'!BH43</f>
        <v>0</v>
      </c>
      <c r="DQ60" s="140">
        <f>'бюджет округа (района)'!BI43+'бюджеты поселений'!BI43</f>
        <v>0</v>
      </c>
      <c r="DR60" s="140">
        <f>'бюджет округа (района)'!BI43</f>
        <v>0</v>
      </c>
      <c r="DS60" s="140">
        <v>0</v>
      </c>
      <c r="DT60" s="140"/>
      <c r="DU60" s="257" t="s">
        <v>34</v>
      </c>
      <c r="DV60" s="135" t="e">
        <f t="shared" si="98"/>
        <v>#DIV/0!</v>
      </c>
      <c r="DW60" s="135">
        <f t="shared" si="104"/>
        <v>1</v>
      </c>
      <c r="DX60" s="197">
        <f t="shared" si="73"/>
        <v>1</v>
      </c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  <c r="IV60" s="67"/>
      <c r="IW60" s="67"/>
      <c r="IX60" s="67"/>
      <c r="IY60" s="67"/>
      <c r="IZ60" s="67"/>
      <c r="JA60" s="67"/>
      <c r="JB60" s="67"/>
      <c r="JC60" s="67"/>
      <c r="JD60" s="67"/>
      <c r="JE60" s="67"/>
      <c r="JF60" s="67"/>
      <c r="JG60" s="67"/>
      <c r="JH60" s="67"/>
    </row>
    <row r="61" spans="1:268" s="68" customFormat="1" ht="18" customHeight="1">
      <c r="A61" s="358" t="s">
        <v>196</v>
      </c>
      <c r="B61" s="309"/>
      <c r="C61" s="140">
        <v>10848</v>
      </c>
      <c r="D61" s="140">
        <v>0</v>
      </c>
      <c r="E61" s="132">
        <v>13027</v>
      </c>
      <c r="F61" s="132">
        <v>0</v>
      </c>
      <c r="G61" s="132">
        <v>16842</v>
      </c>
      <c r="H61" s="132">
        <v>0</v>
      </c>
      <c r="I61" s="140"/>
      <c r="J61" s="140"/>
      <c r="K61" s="140"/>
      <c r="L61" s="140"/>
      <c r="M61" s="132"/>
      <c r="N61" s="132"/>
      <c r="O61" s="140"/>
      <c r="P61" s="140"/>
      <c r="Q61" s="132"/>
      <c r="R61" s="132"/>
      <c r="S61" s="140"/>
      <c r="T61" s="140"/>
      <c r="U61" s="132"/>
      <c r="V61" s="132"/>
      <c r="W61" s="140"/>
      <c r="X61" s="140"/>
      <c r="Y61" s="132"/>
      <c r="Z61" s="132"/>
      <c r="AA61" s="140"/>
      <c r="AB61" s="140"/>
      <c r="AC61" s="132"/>
      <c r="AD61" s="132"/>
      <c r="AE61" s="140"/>
      <c r="AF61" s="140"/>
      <c r="AG61" s="132"/>
      <c r="AH61" s="132"/>
      <c r="AI61" s="140"/>
      <c r="AJ61" s="140"/>
      <c r="AK61" s="132"/>
      <c r="AL61" s="132"/>
      <c r="AM61" s="140"/>
      <c r="AN61" s="140"/>
      <c r="AO61" s="132"/>
      <c r="AP61" s="132"/>
      <c r="AQ61" s="140"/>
      <c r="AR61" s="140"/>
      <c r="AS61" s="132"/>
      <c r="AT61" s="132"/>
      <c r="AU61" s="140"/>
      <c r="AV61" s="140"/>
      <c r="AW61" s="132">
        <v>4794</v>
      </c>
      <c r="AX61" s="132">
        <v>0</v>
      </c>
      <c r="AY61" s="140"/>
      <c r="AZ61" s="140"/>
      <c r="BA61" s="140">
        <v>16599</v>
      </c>
      <c r="BB61" s="140"/>
      <c r="BC61" s="142"/>
      <c r="BD61" s="142"/>
      <c r="BE61" s="140"/>
      <c r="BF61" s="140"/>
      <c r="BG61" s="140"/>
      <c r="BH61" s="140"/>
      <c r="BI61" s="132"/>
      <c r="BJ61" s="132"/>
      <c r="BK61" s="142"/>
      <c r="BL61" s="142"/>
      <c r="BM61" s="140"/>
      <c r="BN61" s="140"/>
      <c r="BO61" s="132"/>
      <c r="BP61" s="132"/>
      <c r="BQ61" s="142"/>
      <c r="BR61" s="142"/>
      <c r="BS61" s="140"/>
      <c r="BT61" s="140"/>
      <c r="BU61" s="132"/>
      <c r="BV61" s="132"/>
      <c r="BW61" s="142"/>
      <c r="BX61" s="142"/>
      <c r="BY61" s="140"/>
      <c r="BZ61" s="140"/>
      <c r="CA61" s="132"/>
      <c r="CB61" s="132"/>
      <c r="CC61" s="142"/>
      <c r="CD61" s="142"/>
      <c r="CE61" s="140"/>
      <c r="CF61" s="140"/>
      <c r="CG61" s="132"/>
      <c r="CH61" s="132"/>
      <c r="CI61" s="142"/>
      <c r="CJ61" s="142"/>
      <c r="CK61" s="140"/>
      <c r="CL61" s="140"/>
      <c r="CM61" s="132"/>
      <c r="CN61" s="132"/>
      <c r="CO61" s="142"/>
      <c r="CP61" s="142"/>
      <c r="CQ61" s="140"/>
      <c r="CR61" s="140"/>
      <c r="CS61" s="132"/>
      <c r="CT61" s="132"/>
      <c r="CU61" s="142"/>
      <c r="CV61" s="142"/>
      <c r="CW61" s="140"/>
      <c r="CX61" s="140"/>
      <c r="CY61" s="132"/>
      <c r="CZ61" s="132"/>
      <c r="DA61" s="142"/>
      <c r="DB61" s="142"/>
      <c r="DC61" s="140"/>
      <c r="DD61" s="140"/>
      <c r="DE61" s="132"/>
      <c r="DF61" s="132"/>
      <c r="DG61" s="142"/>
      <c r="DH61" s="142"/>
      <c r="DI61" s="140"/>
      <c r="DJ61" s="140"/>
      <c r="DK61" s="132">
        <v>4736</v>
      </c>
      <c r="DL61" s="132"/>
      <c r="DM61" s="142">
        <f t="shared" si="26"/>
        <v>0.98790154359616189</v>
      </c>
      <c r="DN61" s="142">
        <f t="shared" si="27"/>
        <v>1</v>
      </c>
      <c r="DO61" s="140">
        <f>'бюджет округа (района)'!BH44+'бюджеты поселений'!BH44</f>
        <v>0</v>
      </c>
      <c r="DP61" s="140">
        <f>'бюджет округа (района)'!BH44</f>
        <v>0</v>
      </c>
      <c r="DQ61" s="140">
        <f>'бюджет округа (района)'!BI44+'бюджеты поселений'!BI44</f>
        <v>0</v>
      </c>
      <c r="DR61" s="140">
        <f>'бюджет округа (района)'!BI44</f>
        <v>0</v>
      </c>
      <c r="DS61" s="140">
        <v>16599</v>
      </c>
      <c r="DT61" s="140"/>
      <c r="DU61" s="256">
        <f t="shared" ref="DU61:DU66" si="105">IF($BA$10=0,1,DS61/$BA61)</f>
        <v>1</v>
      </c>
      <c r="DV61" s="229" t="s">
        <v>34</v>
      </c>
      <c r="DW61" s="135">
        <f t="shared" si="104"/>
        <v>0.98557178482365515</v>
      </c>
      <c r="DX61" s="244" t="s">
        <v>34</v>
      </c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  <c r="IX61" s="67"/>
      <c r="IY61" s="67"/>
      <c r="IZ61" s="67"/>
      <c r="JA61" s="67"/>
      <c r="JB61" s="67"/>
      <c r="JC61" s="67"/>
      <c r="JD61" s="67"/>
      <c r="JE61" s="67"/>
      <c r="JF61" s="67"/>
      <c r="JG61" s="67"/>
      <c r="JH61" s="67"/>
    </row>
    <row r="62" spans="1:268" s="68" customFormat="1" ht="66.75" customHeight="1">
      <c r="A62" s="358" t="s">
        <v>198</v>
      </c>
      <c r="B62" s="309"/>
      <c r="C62" s="140">
        <f>SUM(C63:C71)</f>
        <v>70154</v>
      </c>
      <c r="D62" s="140">
        <f t="shared" ref="D62:F62" si="106">SUM(D63:D71)</f>
        <v>49622</v>
      </c>
      <c r="E62" s="140">
        <f t="shared" si="106"/>
        <v>63850</v>
      </c>
      <c r="F62" s="140">
        <f t="shared" si="106"/>
        <v>56650</v>
      </c>
      <c r="G62" s="140">
        <f t="shared" ref="G62:BQ62" si="107">SUM(G63:G71)</f>
        <v>73074</v>
      </c>
      <c r="H62" s="140">
        <f t="shared" si="107"/>
        <v>51662</v>
      </c>
      <c r="I62" s="140">
        <f t="shared" si="107"/>
        <v>0</v>
      </c>
      <c r="J62" s="140">
        <f t="shared" si="107"/>
        <v>0</v>
      </c>
      <c r="K62" s="140">
        <f t="shared" si="107"/>
        <v>0</v>
      </c>
      <c r="L62" s="140">
        <f t="shared" si="107"/>
        <v>0</v>
      </c>
      <c r="M62" s="132">
        <f t="shared" si="107"/>
        <v>0</v>
      </c>
      <c r="N62" s="132">
        <f t="shared" si="107"/>
        <v>0</v>
      </c>
      <c r="O62" s="140">
        <f t="shared" si="107"/>
        <v>0</v>
      </c>
      <c r="P62" s="140">
        <f t="shared" si="107"/>
        <v>0</v>
      </c>
      <c r="Q62" s="132">
        <f t="shared" si="107"/>
        <v>0</v>
      </c>
      <c r="R62" s="132">
        <f t="shared" si="107"/>
        <v>0</v>
      </c>
      <c r="S62" s="140">
        <f t="shared" si="107"/>
        <v>0</v>
      </c>
      <c r="T62" s="140">
        <f t="shared" si="107"/>
        <v>0</v>
      </c>
      <c r="U62" s="132">
        <f t="shared" si="107"/>
        <v>0</v>
      </c>
      <c r="V62" s="132">
        <f t="shared" si="107"/>
        <v>0</v>
      </c>
      <c r="W62" s="140">
        <f t="shared" si="107"/>
        <v>0</v>
      </c>
      <c r="X62" s="140">
        <f t="shared" si="107"/>
        <v>0</v>
      </c>
      <c r="Y62" s="132">
        <f t="shared" si="107"/>
        <v>0</v>
      </c>
      <c r="Z62" s="132">
        <f t="shared" si="107"/>
        <v>0</v>
      </c>
      <c r="AA62" s="140">
        <f t="shared" si="107"/>
        <v>0</v>
      </c>
      <c r="AB62" s="140">
        <f t="shared" si="107"/>
        <v>0</v>
      </c>
      <c r="AC62" s="132">
        <f t="shared" si="107"/>
        <v>0</v>
      </c>
      <c r="AD62" s="132">
        <f t="shared" si="107"/>
        <v>0</v>
      </c>
      <c r="AE62" s="140">
        <f t="shared" si="107"/>
        <v>0</v>
      </c>
      <c r="AF62" s="140">
        <f t="shared" si="107"/>
        <v>0</v>
      </c>
      <c r="AG62" s="132">
        <f t="shared" si="107"/>
        <v>0</v>
      </c>
      <c r="AH62" s="132">
        <f t="shared" si="107"/>
        <v>0</v>
      </c>
      <c r="AI62" s="140">
        <f t="shared" si="107"/>
        <v>0</v>
      </c>
      <c r="AJ62" s="140">
        <f t="shared" si="107"/>
        <v>0</v>
      </c>
      <c r="AK62" s="132">
        <f t="shared" si="107"/>
        <v>0</v>
      </c>
      <c r="AL62" s="132">
        <f t="shared" si="107"/>
        <v>0</v>
      </c>
      <c r="AM62" s="140">
        <f t="shared" si="107"/>
        <v>0</v>
      </c>
      <c r="AN62" s="140">
        <f t="shared" si="107"/>
        <v>0</v>
      </c>
      <c r="AO62" s="132">
        <f t="shared" si="107"/>
        <v>0</v>
      </c>
      <c r="AP62" s="132">
        <f t="shared" si="107"/>
        <v>0</v>
      </c>
      <c r="AQ62" s="140">
        <f t="shared" si="107"/>
        <v>0</v>
      </c>
      <c r="AR62" s="140">
        <f t="shared" si="107"/>
        <v>0</v>
      </c>
      <c r="AS62" s="132">
        <f t="shared" si="107"/>
        <v>0</v>
      </c>
      <c r="AT62" s="132">
        <f t="shared" si="107"/>
        <v>0</v>
      </c>
      <c r="AU62" s="140">
        <f t="shared" si="107"/>
        <v>0</v>
      </c>
      <c r="AV62" s="140">
        <f t="shared" si="107"/>
        <v>0</v>
      </c>
      <c r="AW62" s="132">
        <f t="shared" si="107"/>
        <v>15014</v>
      </c>
      <c r="AX62" s="132">
        <f t="shared" si="107"/>
        <v>11078</v>
      </c>
      <c r="AY62" s="140">
        <f t="shared" si="107"/>
        <v>0</v>
      </c>
      <c r="AZ62" s="140">
        <f t="shared" si="107"/>
        <v>0</v>
      </c>
      <c r="BA62" s="140">
        <f t="shared" si="107"/>
        <v>61760</v>
      </c>
      <c r="BB62" s="140">
        <f t="shared" si="107"/>
        <v>0</v>
      </c>
      <c r="BC62" s="142">
        <f t="shared" si="107"/>
        <v>0</v>
      </c>
      <c r="BD62" s="142">
        <f t="shared" si="107"/>
        <v>0</v>
      </c>
      <c r="BE62" s="140">
        <f t="shared" si="107"/>
        <v>0</v>
      </c>
      <c r="BF62" s="140">
        <f t="shared" si="107"/>
        <v>0</v>
      </c>
      <c r="BG62" s="140">
        <f t="shared" si="107"/>
        <v>0</v>
      </c>
      <c r="BH62" s="140">
        <f t="shared" si="107"/>
        <v>0</v>
      </c>
      <c r="BI62" s="132">
        <f t="shared" si="107"/>
        <v>0</v>
      </c>
      <c r="BJ62" s="132">
        <f t="shared" si="107"/>
        <v>0</v>
      </c>
      <c r="BK62" s="142">
        <f t="shared" si="107"/>
        <v>0</v>
      </c>
      <c r="BL62" s="142">
        <f t="shared" si="107"/>
        <v>0</v>
      </c>
      <c r="BM62" s="140">
        <f t="shared" si="107"/>
        <v>0</v>
      </c>
      <c r="BN62" s="140">
        <f t="shared" si="107"/>
        <v>0</v>
      </c>
      <c r="BO62" s="132">
        <f t="shared" si="107"/>
        <v>0</v>
      </c>
      <c r="BP62" s="132">
        <f t="shared" si="107"/>
        <v>0</v>
      </c>
      <c r="BQ62" s="142">
        <f t="shared" si="107"/>
        <v>0</v>
      </c>
      <c r="BR62" s="142">
        <f t="shared" ref="BR62:DL62" si="108">SUM(BR63:BR71)</f>
        <v>0</v>
      </c>
      <c r="BS62" s="140">
        <f t="shared" si="108"/>
        <v>0</v>
      </c>
      <c r="BT62" s="140">
        <f t="shared" si="108"/>
        <v>0</v>
      </c>
      <c r="BU62" s="132">
        <f t="shared" si="108"/>
        <v>0</v>
      </c>
      <c r="BV62" s="132">
        <f t="shared" si="108"/>
        <v>0</v>
      </c>
      <c r="BW62" s="142">
        <f t="shared" si="108"/>
        <v>0</v>
      </c>
      <c r="BX62" s="142">
        <f t="shared" si="108"/>
        <v>0</v>
      </c>
      <c r="BY62" s="140">
        <f t="shared" si="108"/>
        <v>0</v>
      </c>
      <c r="BZ62" s="140">
        <f t="shared" si="108"/>
        <v>0</v>
      </c>
      <c r="CA62" s="132">
        <f t="shared" si="108"/>
        <v>0</v>
      </c>
      <c r="CB62" s="132">
        <f t="shared" si="108"/>
        <v>0</v>
      </c>
      <c r="CC62" s="142">
        <f t="shared" si="108"/>
        <v>0</v>
      </c>
      <c r="CD62" s="142">
        <f t="shared" si="108"/>
        <v>0</v>
      </c>
      <c r="CE62" s="140">
        <f t="shared" si="108"/>
        <v>0</v>
      </c>
      <c r="CF62" s="140">
        <f t="shared" si="108"/>
        <v>0</v>
      </c>
      <c r="CG62" s="132">
        <f t="shared" si="108"/>
        <v>0</v>
      </c>
      <c r="CH62" s="132">
        <f t="shared" si="108"/>
        <v>0</v>
      </c>
      <c r="CI62" s="142">
        <f t="shared" si="108"/>
        <v>0</v>
      </c>
      <c r="CJ62" s="142">
        <f t="shared" si="108"/>
        <v>0</v>
      </c>
      <c r="CK62" s="140">
        <f t="shared" si="108"/>
        <v>0</v>
      </c>
      <c r="CL62" s="140">
        <f t="shared" si="108"/>
        <v>0</v>
      </c>
      <c r="CM62" s="132">
        <f t="shared" si="108"/>
        <v>0</v>
      </c>
      <c r="CN62" s="132">
        <f t="shared" si="108"/>
        <v>0</v>
      </c>
      <c r="CO62" s="142">
        <f t="shared" si="108"/>
        <v>0</v>
      </c>
      <c r="CP62" s="142">
        <f t="shared" si="108"/>
        <v>0</v>
      </c>
      <c r="CQ62" s="140">
        <f t="shared" si="108"/>
        <v>0</v>
      </c>
      <c r="CR62" s="140">
        <f t="shared" si="108"/>
        <v>0</v>
      </c>
      <c r="CS62" s="132">
        <f t="shared" si="108"/>
        <v>0</v>
      </c>
      <c r="CT62" s="132">
        <f t="shared" si="108"/>
        <v>0</v>
      </c>
      <c r="CU62" s="142">
        <f t="shared" si="108"/>
        <v>0</v>
      </c>
      <c r="CV62" s="142">
        <f t="shared" si="108"/>
        <v>0</v>
      </c>
      <c r="CW62" s="140">
        <f t="shared" si="108"/>
        <v>0</v>
      </c>
      <c r="CX62" s="140">
        <f t="shared" si="108"/>
        <v>0</v>
      </c>
      <c r="CY62" s="132">
        <f t="shared" si="108"/>
        <v>0</v>
      </c>
      <c r="CZ62" s="132">
        <f t="shared" si="108"/>
        <v>0</v>
      </c>
      <c r="DA62" s="142">
        <f t="shared" si="108"/>
        <v>0</v>
      </c>
      <c r="DB62" s="142">
        <f t="shared" si="108"/>
        <v>0</v>
      </c>
      <c r="DC62" s="140">
        <f t="shared" si="108"/>
        <v>0</v>
      </c>
      <c r="DD62" s="140">
        <f t="shared" si="108"/>
        <v>0</v>
      </c>
      <c r="DE62" s="132">
        <f t="shared" si="108"/>
        <v>0</v>
      </c>
      <c r="DF62" s="132">
        <f t="shared" si="108"/>
        <v>0</v>
      </c>
      <c r="DG62" s="142">
        <f t="shared" si="108"/>
        <v>0</v>
      </c>
      <c r="DH62" s="142">
        <f t="shared" si="108"/>
        <v>0</v>
      </c>
      <c r="DI62" s="140">
        <f t="shared" si="108"/>
        <v>0</v>
      </c>
      <c r="DJ62" s="140">
        <f t="shared" si="108"/>
        <v>0</v>
      </c>
      <c r="DK62" s="132">
        <f t="shared" si="108"/>
        <v>14694</v>
      </c>
      <c r="DL62" s="132">
        <f t="shared" si="108"/>
        <v>0</v>
      </c>
      <c r="DM62" s="142">
        <f t="shared" si="26"/>
        <v>0.97868655921140268</v>
      </c>
      <c r="DN62" s="142">
        <f t="shared" si="27"/>
        <v>0</v>
      </c>
      <c r="DO62" s="140"/>
      <c r="DP62" s="140"/>
      <c r="DQ62" s="140"/>
      <c r="DR62" s="140"/>
      <c r="DS62" s="140">
        <f t="shared" ref="DS62:DT62" si="109">SUM(DS63:DS71)</f>
        <v>72049</v>
      </c>
      <c r="DT62" s="140">
        <f t="shared" si="109"/>
        <v>0</v>
      </c>
      <c r="DU62" s="256">
        <f t="shared" si="105"/>
        <v>1.1665965025906735</v>
      </c>
      <c r="DV62" s="135" t="e">
        <f>IF($BA$10=0,1,DT62/$BB62)</f>
        <v>#DIV/0!</v>
      </c>
      <c r="DW62" s="135">
        <f t="shared" si="104"/>
        <v>0.98597312313545171</v>
      </c>
      <c r="DX62" s="197">
        <f>IF($G62=0,1,DT62/$H62)</f>
        <v>0</v>
      </c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67"/>
      <c r="JA62" s="67"/>
      <c r="JB62" s="67"/>
      <c r="JC62" s="67"/>
      <c r="JD62" s="67"/>
      <c r="JE62" s="67"/>
      <c r="JF62" s="67"/>
      <c r="JG62" s="67"/>
      <c r="JH62" s="67"/>
    </row>
    <row r="63" spans="1:268" s="68" customFormat="1" ht="34.5" customHeight="1">
      <c r="A63" s="353" t="s">
        <v>199</v>
      </c>
      <c r="B63" s="299"/>
      <c r="C63" s="140">
        <v>7452</v>
      </c>
      <c r="D63" s="140">
        <v>6401</v>
      </c>
      <c r="E63" s="132">
        <v>6976</v>
      </c>
      <c r="F63" s="132">
        <v>6025</v>
      </c>
      <c r="G63" s="132">
        <v>7005</v>
      </c>
      <c r="H63" s="132">
        <v>5938</v>
      </c>
      <c r="I63" s="140"/>
      <c r="J63" s="140"/>
      <c r="K63" s="140"/>
      <c r="L63" s="140"/>
      <c r="M63" s="132"/>
      <c r="N63" s="132"/>
      <c r="O63" s="140"/>
      <c r="P63" s="140"/>
      <c r="Q63" s="132"/>
      <c r="R63" s="132"/>
      <c r="S63" s="140"/>
      <c r="T63" s="140"/>
      <c r="U63" s="132"/>
      <c r="V63" s="132"/>
      <c r="W63" s="140"/>
      <c r="X63" s="140"/>
      <c r="Y63" s="132"/>
      <c r="Z63" s="132"/>
      <c r="AA63" s="140"/>
      <c r="AB63" s="140"/>
      <c r="AC63" s="132"/>
      <c r="AD63" s="132"/>
      <c r="AE63" s="140"/>
      <c r="AF63" s="140"/>
      <c r="AG63" s="132"/>
      <c r="AH63" s="132"/>
      <c r="AI63" s="140"/>
      <c r="AJ63" s="140"/>
      <c r="AK63" s="132"/>
      <c r="AL63" s="132"/>
      <c r="AM63" s="140"/>
      <c r="AN63" s="140"/>
      <c r="AO63" s="132"/>
      <c r="AP63" s="132"/>
      <c r="AQ63" s="140"/>
      <c r="AR63" s="140"/>
      <c r="AS63" s="132"/>
      <c r="AT63" s="132"/>
      <c r="AU63" s="140"/>
      <c r="AV63" s="140"/>
      <c r="AW63" s="140">
        <v>1764</v>
      </c>
      <c r="AX63" s="140">
        <v>1515</v>
      </c>
      <c r="AY63" s="140"/>
      <c r="AZ63" s="140"/>
      <c r="BA63" s="140">
        <v>7375</v>
      </c>
      <c r="BB63" s="140"/>
      <c r="BC63" s="142"/>
      <c r="BD63" s="142"/>
      <c r="BE63" s="140"/>
      <c r="BF63" s="140"/>
      <c r="BG63" s="140"/>
      <c r="BH63" s="140"/>
      <c r="BI63" s="132"/>
      <c r="BJ63" s="132"/>
      <c r="BK63" s="142"/>
      <c r="BL63" s="142"/>
      <c r="BM63" s="140"/>
      <c r="BN63" s="140"/>
      <c r="BO63" s="132"/>
      <c r="BP63" s="132"/>
      <c r="BQ63" s="142"/>
      <c r="BR63" s="142"/>
      <c r="BS63" s="140"/>
      <c r="BT63" s="140"/>
      <c r="BU63" s="132"/>
      <c r="BV63" s="132"/>
      <c r="BW63" s="142"/>
      <c r="BX63" s="142"/>
      <c r="BY63" s="140"/>
      <c r="BZ63" s="140"/>
      <c r="CA63" s="132"/>
      <c r="CB63" s="132"/>
      <c r="CC63" s="142"/>
      <c r="CD63" s="142"/>
      <c r="CE63" s="140"/>
      <c r="CF63" s="140"/>
      <c r="CG63" s="132"/>
      <c r="CH63" s="132"/>
      <c r="CI63" s="142"/>
      <c r="CJ63" s="142"/>
      <c r="CK63" s="140"/>
      <c r="CL63" s="140"/>
      <c r="CM63" s="132"/>
      <c r="CN63" s="132"/>
      <c r="CO63" s="142"/>
      <c r="CP63" s="142"/>
      <c r="CQ63" s="140"/>
      <c r="CR63" s="140"/>
      <c r="CS63" s="132"/>
      <c r="CT63" s="132"/>
      <c r="CU63" s="142"/>
      <c r="CV63" s="142"/>
      <c r="CW63" s="140"/>
      <c r="CX63" s="140"/>
      <c r="CY63" s="132"/>
      <c r="CZ63" s="132"/>
      <c r="DA63" s="142"/>
      <c r="DB63" s="142"/>
      <c r="DC63" s="140"/>
      <c r="DD63" s="140"/>
      <c r="DE63" s="132"/>
      <c r="DF63" s="132"/>
      <c r="DG63" s="142"/>
      <c r="DH63" s="142"/>
      <c r="DI63" s="140"/>
      <c r="DJ63" s="140"/>
      <c r="DK63" s="132">
        <v>1715</v>
      </c>
      <c r="DL63" s="132"/>
      <c r="DM63" s="142">
        <f t="shared" si="26"/>
        <v>0.97222222222222221</v>
      </c>
      <c r="DN63" s="142">
        <f t="shared" si="27"/>
        <v>0</v>
      </c>
      <c r="DO63" s="140"/>
      <c r="DP63" s="140"/>
      <c r="DQ63" s="140"/>
      <c r="DR63" s="140"/>
      <c r="DS63" s="140">
        <v>7375</v>
      </c>
      <c r="DT63" s="140"/>
      <c r="DU63" s="256">
        <f t="shared" si="105"/>
        <v>1</v>
      </c>
      <c r="DV63" s="135" t="e">
        <f>IF($BA$10=0,1,DT63/$BB63)</f>
        <v>#DIV/0!</v>
      </c>
      <c r="DW63" s="135">
        <f t="shared" si="104"/>
        <v>1.052819414703783</v>
      </c>
      <c r="DX63" s="197">
        <f>IF($G63=0,1,DT63/$H63)</f>
        <v>0</v>
      </c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</row>
    <row r="64" spans="1:268" s="68" customFormat="1" ht="30" customHeight="1">
      <c r="A64" s="353" t="s">
        <v>200</v>
      </c>
      <c r="B64" s="299"/>
      <c r="C64" s="140">
        <v>1751</v>
      </c>
      <c r="D64" s="140">
        <v>0</v>
      </c>
      <c r="E64" s="132">
        <v>18</v>
      </c>
      <c r="F64" s="132">
        <v>18</v>
      </c>
      <c r="G64" s="132">
        <v>780</v>
      </c>
      <c r="H64" s="132">
        <v>780</v>
      </c>
      <c r="I64" s="140"/>
      <c r="J64" s="140"/>
      <c r="K64" s="140"/>
      <c r="L64" s="140"/>
      <c r="M64" s="132"/>
      <c r="N64" s="132"/>
      <c r="O64" s="140"/>
      <c r="P64" s="140"/>
      <c r="Q64" s="132"/>
      <c r="R64" s="132"/>
      <c r="S64" s="140"/>
      <c r="T64" s="140"/>
      <c r="U64" s="132"/>
      <c r="V64" s="132"/>
      <c r="W64" s="140"/>
      <c r="X64" s="140"/>
      <c r="Y64" s="132"/>
      <c r="Z64" s="132"/>
      <c r="AA64" s="140"/>
      <c r="AB64" s="140"/>
      <c r="AC64" s="132"/>
      <c r="AD64" s="132"/>
      <c r="AE64" s="140"/>
      <c r="AF64" s="140"/>
      <c r="AG64" s="132"/>
      <c r="AH64" s="132"/>
      <c r="AI64" s="140"/>
      <c r="AJ64" s="140"/>
      <c r="AK64" s="132"/>
      <c r="AL64" s="132"/>
      <c r="AM64" s="140"/>
      <c r="AN64" s="140"/>
      <c r="AO64" s="132"/>
      <c r="AP64" s="132"/>
      <c r="AQ64" s="140"/>
      <c r="AR64" s="140"/>
      <c r="AS64" s="132"/>
      <c r="AT64" s="132"/>
      <c r="AU64" s="140"/>
      <c r="AV64" s="140"/>
      <c r="AW64" s="140">
        <v>0</v>
      </c>
      <c r="AX64" s="140">
        <v>0</v>
      </c>
      <c r="AY64" s="140"/>
      <c r="AZ64" s="140"/>
      <c r="BA64" s="140">
        <v>1890</v>
      </c>
      <c r="BB64" s="140"/>
      <c r="BC64" s="142"/>
      <c r="BD64" s="142"/>
      <c r="BE64" s="140"/>
      <c r="BF64" s="140"/>
      <c r="BG64" s="140"/>
      <c r="BH64" s="140"/>
      <c r="BI64" s="132"/>
      <c r="BJ64" s="132"/>
      <c r="BK64" s="142"/>
      <c r="BL64" s="142"/>
      <c r="BM64" s="140"/>
      <c r="BN64" s="140"/>
      <c r="BO64" s="132"/>
      <c r="BP64" s="132"/>
      <c r="BQ64" s="142"/>
      <c r="BR64" s="142"/>
      <c r="BS64" s="140"/>
      <c r="BT64" s="140"/>
      <c r="BU64" s="132"/>
      <c r="BV64" s="132"/>
      <c r="BW64" s="142"/>
      <c r="BX64" s="142"/>
      <c r="BY64" s="140"/>
      <c r="BZ64" s="140"/>
      <c r="CA64" s="132"/>
      <c r="CB64" s="132"/>
      <c r="CC64" s="142"/>
      <c r="CD64" s="142"/>
      <c r="CE64" s="140"/>
      <c r="CF64" s="140"/>
      <c r="CG64" s="132"/>
      <c r="CH64" s="132"/>
      <c r="CI64" s="142"/>
      <c r="CJ64" s="142"/>
      <c r="CK64" s="140"/>
      <c r="CL64" s="140"/>
      <c r="CM64" s="132"/>
      <c r="CN64" s="132"/>
      <c r="CO64" s="142"/>
      <c r="CP64" s="142"/>
      <c r="CQ64" s="140"/>
      <c r="CR64" s="140"/>
      <c r="CS64" s="132"/>
      <c r="CT64" s="132"/>
      <c r="CU64" s="142"/>
      <c r="CV64" s="142"/>
      <c r="CW64" s="140"/>
      <c r="CX64" s="140"/>
      <c r="CY64" s="132"/>
      <c r="CZ64" s="132"/>
      <c r="DA64" s="142"/>
      <c r="DB64" s="142"/>
      <c r="DC64" s="140"/>
      <c r="DD64" s="140"/>
      <c r="DE64" s="132"/>
      <c r="DF64" s="132"/>
      <c r="DG64" s="142"/>
      <c r="DH64" s="142"/>
      <c r="DI64" s="140"/>
      <c r="DJ64" s="140"/>
      <c r="DK64" s="132">
        <v>0</v>
      </c>
      <c r="DL64" s="132"/>
      <c r="DM64" s="142">
        <f t="shared" si="26"/>
        <v>1</v>
      </c>
      <c r="DN64" s="142">
        <f t="shared" si="27"/>
        <v>1</v>
      </c>
      <c r="DO64" s="140"/>
      <c r="DP64" s="140"/>
      <c r="DQ64" s="140"/>
      <c r="DR64" s="140"/>
      <c r="DS64" s="140">
        <v>1890</v>
      </c>
      <c r="DT64" s="140"/>
      <c r="DU64" s="256">
        <f t="shared" si="105"/>
        <v>1</v>
      </c>
      <c r="DV64" s="135" t="e">
        <f>IF($BA$10=0,1,DT64/$BB64)</f>
        <v>#DIV/0!</v>
      </c>
      <c r="DW64" s="135">
        <f t="shared" si="104"/>
        <v>2.4230769230769229</v>
      </c>
      <c r="DX64" s="244" t="s">
        <v>34</v>
      </c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</row>
    <row r="65" spans="1:268" s="68" customFormat="1" ht="17.25">
      <c r="A65" s="265" t="s">
        <v>202</v>
      </c>
      <c r="B65" s="260"/>
      <c r="C65" s="140">
        <v>400</v>
      </c>
      <c r="D65" s="140">
        <v>200</v>
      </c>
      <c r="E65" s="132">
        <v>425</v>
      </c>
      <c r="F65" s="132">
        <v>200</v>
      </c>
      <c r="G65" s="132">
        <v>50</v>
      </c>
      <c r="H65" s="132">
        <v>50</v>
      </c>
      <c r="I65" s="140"/>
      <c r="J65" s="140"/>
      <c r="K65" s="140"/>
      <c r="L65" s="140"/>
      <c r="M65" s="132"/>
      <c r="N65" s="132"/>
      <c r="O65" s="140"/>
      <c r="P65" s="140"/>
      <c r="Q65" s="132"/>
      <c r="R65" s="132"/>
      <c r="S65" s="140"/>
      <c r="T65" s="140"/>
      <c r="U65" s="132"/>
      <c r="V65" s="132"/>
      <c r="W65" s="140"/>
      <c r="X65" s="140"/>
      <c r="Y65" s="132"/>
      <c r="Z65" s="132"/>
      <c r="AA65" s="140"/>
      <c r="AB65" s="140"/>
      <c r="AC65" s="132"/>
      <c r="AD65" s="132"/>
      <c r="AE65" s="140"/>
      <c r="AF65" s="140"/>
      <c r="AG65" s="132"/>
      <c r="AH65" s="132"/>
      <c r="AI65" s="140"/>
      <c r="AJ65" s="140"/>
      <c r="AK65" s="132"/>
      <c r="AL65" s="132"/>
      <c r="AM65" s="140"/>
      <c r="AN65" s="140"/>
      <c r="AO65" s="132"/>
      <c r="AP65" s="132"/>
      <c r="AQ65" s="140"/>
      <c r="AR65" s="140"/>
      <c r="AS65" s="132"/>
      <c r="AT65" s="132"/>
      <c r="AU65" s="140"/>
      <c r="AV65" s="140"/>
      <c r="AW65" s="140">
        <v>0</v>
      </c>
      <c r="AX65" s="140">
        <v>0</v>
      </c>
      <c r="AY65" s="140"/>
      <c r="AZ65" s="140"/>
      <c r="BA65" s="140">
        <v>367</v>
      </c>
      <c r="BB65" s="140"/>
      <c r="BC65" s="142"/>
      <c r="BD65" s="142"/>
      <c r="BE65" s="140"/>
      <c r="BF65" s="140"/>
      <c r="BG65" s="140"/>
      <c r="BH65" s="140"/>
      <c r="BI65" s="132"/>
      <c r="BJ65" s="132"/>
      <c r="BK65" s="142"/>
      <c r="BL65" s="142"/>
      <c r="BM65" s="140"/>
      <c r="BN65" s="140"/>
      <c r="BO65" s="132"/>
      <c r="BP65" s="132"/>
      <c r="BQ65" s="142"/>
      <c r="BR65" s="142"/>
      <c r="BS65" s="140"/>
      <c r="BT65" s="140"/>
      <c r="BU65" s="132"/>
      <c r="BV65" s="132"/>
      <c r="BW65" s="142"/>
      <c r="BX65" s="142"/>
      <c r="BY65" s="140"/>
      <c r="BZ65" s="140"/>
      <c r="CA65" s="132"/>
      <c r="CB65" s="132"/>
      <c r="CC65" s="142"/>
      <c r="CD65" s="142"/>
      <c r="CE65" s="140"/>
      <c r="CF65" s="140"/>
      <c r="CG65" s="132"/>
      <c r="CH65" s="132"/>
      <c r="CI65" s="142"/>
      <c r="CJ65" s="142"/>
      <c r="CK65" s="140"/>
      <c r="CL65" s="140"/>
      <c r="CM65" s="132"/>
      <c r="CN65" s="132"/>
      <c r="CO65" s="142"/>
      <c r="CP65" s="142"/>
      <c r="CQ65" s="140"/>
      <c r="CR65" s="140"/>
      <c r="CS65" s="132"/>
      <c r="CT65" s="132"/>
      <c r="CU65" s="142"/>
      <c r="CV65" s="142"/>
      <c r="CW65" s="140"/>
      <c r="CX65" s="140"/>
      <c r="CY65" s="132"/>
      <c r="CZ65" s="132"/>
      <c r="DA65" s="142"/>
      <c r="DB65" s="142"/>
      <c r="DC65" s="140"/>
      <c r="DD65" s="140"/>
      <c r="DE65" s="132"/>
      <c r="DF65" s="132"/>
      <c r="DG65" s="142"/>
      <c r="DH65" s="142"/>
      <c r="DI65" s="140"/>
      <c r="DJ65" s="140"/>
      <c r="DK65" s="132">
        <v>327</v>
      </c>
      <c r="DL65" s="132"/>
      <c r="DM65" s="142">
        <f t="shared" si="26"/>
        <v>1</v>
      </c>
      <c r="DN65" s="142">
        <f t="shared" si="27"/>
        <v>1</v>
      </c>
      <c r="DO65" s="140"/>
      <c r="DP65" s="140"/>
      <c r="DQ65" s="140"/>
      <c r="DR65" s="140"/>
      <c r="DS65" s="140">
        <v>367</v>
      </c>
      <c r="DT65" s="140"/>
      <c r="DU65" s="256">
        <f t="shared" si="105"/>
        <v>1</v>
      </c>
      <c r="DV65" s="135" t="e">
        <f>IF($BA$10=0,1,DT65/$BB65)</f>
        <v>#DIV/0!</v>
      </c>
      <c r="DW65" s="135">
        <f t="shared" si="104"/>
        <v>7.34</v>
      </c>
      <c r="DX65" s="197">
        <f t="shared" ref="DX65:DX73" si="110">IF($G65=0,1,DT65/$H65)</f>
        <v>0</v>
      </c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</row>
    <row r="66" spans="1:268" s="68" customFormat="1" ht="29.25">
      <c r="A66" s="265" t="s">
        <v>201</v>
      </c>
      <c r="B66" s="260"/>
      <c r="C66" s="140">
        <v>2329</v>
      </c>
      <c r="D66" s="140">
        <v>1238</v>
      </c>
      <c r="E66" s="132">
        <v>745</v>
      </c>
      <c r="F66" s="132">
        <v>640</v>
      </c>
      <c r="G66" s="132">
        <v>3168</v>
      </c>
      <c r="H66" s="132">
        <v>2922</v>
      </c>
      <c r="I66" s="140"/>
      <c r="J66" s="140"/>
      <c r="K66" s="140"/>
      <c r="L66" s="140"/>
      <c r="M66" s="132"/>
      <c r="N66" s="132"/>
      <c r="O66" s="140"/>
      <c r="P66" s="140"/>
      <c r="Q66" s="132"/>
      <c r="R66" s="132"/>
      <c r="S66" s="140"/>
      <c r="T66" s="140"/>
      <c r="U66" s="132"/>
      <c r="V66" s="132"/>
      <c r="W66" s="140"/>
      <c r="X66" s="140"/>
      <c r="Y66" s="132"/>
      <c r="Z66" s="132"/>
      <c r="AA66" s="140"/>
      <c r="AB66" s="140"/>
      <c r="AC66" s="132"/>
      <c r="AD66" s="132"/>
      <c r="AE66" s="140"/>
      <c r="AF66" s="140"/>
      <c r="AG66" s="132"/>
      <c r="AH66" s="132"/>
      <c r="AI66" s="140"/>
      <c r="AJ66" s="140"/>
      <c r="AK66" s="132"/>
      <c r="AL66" s="132"/>
      <c r="AM66" s="140"/>
      <c r="AN66" s="140"/>
      <c r="AO66" s="132"/>
      <c r="AP66" s="132"/>
      <c r="AQ66" s="140"/>
      <c r="AR66" s="140"/>
      <c r="AS66" s="132"/>
      <c r="AT66" s="132"/>
      <c r="AU66" s="140"/>
      <c r="AV66" s="140"/>
      <c r="AW66" s="140">
        <v>796</v>
      </c>
      <c r="AX66" s="140">
        <v>751</v>
      </c>
      <c r="AY66" s="140"/>
      <c r="AZ66" s="140"/>
      <c r="BA66" s="140">
        <v>219</v>
      </c>
      <c r="BB66" s="140"/>
      <c r="BC66" s="142"/>
      <c r="BD66" s="142"/>
      <c r="BE66" s="140"/>
      <c r="BF66" s="140"/>
      <c r="BG66" s="140"/>
      <c r="BH66" s="140"/>
      <c r="BI66" s="132"/>
      <c r="BJ66" s="132"/>
      <c r="BK66" s="142"/>
      <c r="BL66" s="142"/>
      <c r="BM66" s="140"/>
      <c r="BN66" s="140"/>
      <c r="BO66" s="132"/>
      <c r="BP66" s="132"/>
      <c r="BQ66" s="142"/>
      <c r="BR66" s="142"/>
      <c r="BS66" s="140"/>
      <c r="BT66" s="140"/>
      <c r="BU66" s="132"/>
      <c r="BV66" s="132"/>
      <c r="BW66" s="142"/>
      <c r="BX66" s="142"/>
      <c r="BY66" s="140"/>
      <c r="BZ66" s="140"/>
      <c r="CA66" s="132"/>
      <c r="CB66" s="132"/>
      <c r="CC66" s="142"/>
      <c r="CD66" s="142"/>
      <c r="CE66" s="140"/>
      <c r="CF66" s="140"/>
      <c r="CG66" s="132"/>
      <c r="CH66" s="132"/>
      <c r="CI66" s="142"/>
      <c r="CJ66" s="142"/>
      <c r="CK66" s="140"/>
      <c r="CL66" s="140"/>
      <c r="CM66" s="132"/>
      <c r="CN66" s="132"/>
      <c r="CO66" s="142"/>
      <c r="CP66" s="142"/>
      <c r="CQ66" s="140"/>
      <c r="CR66" s="140"/>
      <c r="CS66" s="132"/>
      <c r="CT66" s="132"/>
      <c r="CU66" s="142"/>
      <c r="CV66" s="142"/>
      <c r="CW66" s="140"/>
      <c r="CX66" s="140"/>
      <c r="CY66" s="132"/>
      <c r="CZ66" s="132"/>
      <c r="DA66" s="142"/>
      <c r="DB66" s="142"/>
      <c r="DC66" s="140"/>
      <c r="DD66" s="140"/>
      <c r="DE66" s="132"/>
      <c r="DF66" s="132"/>
      <c r="DG66" s="142"/>
      <c r="DH66" s="142"/>
      <c r="DI66" s="140"/>
      <c r="DJ66" s="140"/>
      <c r="DK66" s="132">
        <v>8</v>
      </c>
      <c r="DL66" s="132"/>
      <c r="DM66" s="142">
        <f t="shared" si="26"/>
        <v>1.0050251256281407E-2</v>
      </c>
      <c r="DN66" s="142">
        <f t="shared" si="27"/>
        <v>0</v>
      </c>
      <c r="DO66" s="140"/>
      <c r="DP66" s="140"/>
      <c r="DQ66" s="140"/>
      <c r="DR66" s="140"/>
      <c r="DS66" s="140">
        <v>219</v>
      </c>
      <c r="DT66" s="140"/>
      <c r="DU66" s="256">
        <f t="shared" si="105"/>
        <v>1</v>
      </c>
      <c r="DV66" s="135" t="e">
        <f>IF($BA$10=0,1,DT66/$BB66)</f>
        <v>#DIV/0!</v>
      </c>
      <c r="DW66" s="135">
        <f t="shared" si="104"/>
        <v>6.9128787878787873E-2</v>
      </c>
      <c r="DX66" s="197">
        <f t="shared" si="110"/>
        <v>0</v>
      </c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  <c r="JD66" s="67"/>
      <c r="JE66" s="67"/>
      <c r="JF66" s="67"/>
      <c r="JG66" s="67"/>
      <c r="JH66" s="67"/>
    </row>
    <row r="67" spans="1:268" s="68" customFormat="1" ht="29.25">
      <c r="A67" s="265" t="s">
        <v>203</v>
      </c>
      <c r="B67" s="260"/>
      <c r="C67" s="140">
        <v>0</v>
      </c>
      <c r="D67" s="140">
        <v>0</v>
      </c>
      <c r="E67" s="132">
        <v>0</v>
      </c>
      <c r="F67" s="132">
        <v>0</v>
      </c>
      <c r="G67" s="132">
        <v>0</v>
      </c>
      <c r="H67" s="132">
        <v>0</v>
      </c>
      <c r="I67" s="140"/>
      <c r="J67" s="140"/>
      <c r="K67" s="140"/>
      <c r="L67" s="140"/>
      <c r="M67" s="132"/>
      <c r="N67" s="132"/>
      <c r="O67" s="140"/>
      <c r="P67" s="140"/>
      <c r="Q67" s="132"/>
      <c r="R67" s="132"/>
      <c r="S67" s="140"/>
      <c r="T67" s="140"/>
      <c r="U67" s="132"/>
      <c r="V67" s="132"/>
      <c r="W67" s="140"/>
      <c r="X67" s="140"/>
      <c r="Y67" s="132"/>
      <c r="Z67" s="132"/>
      <c r="AA67" s="140"/>
      <c r="AB67" s="140"/>
      <c r="AC67" s="132"/>
      <c r="AD67" s="132"/>
      <c r="AE67" s="140"/>
      <c r="AF67" s="140"/>
      <c r="AG67" s="132"/>
      <c r="AH67" s="132"/>
      <c r="AI67" s="140"/>
      <c r="AJ67" s="140"/>
      <c r="AK67" s="132"/>
      <c r="AL67" s="132"/>
      <c r="AM67" s="140"/>
      <c r="AN67" s="140"/>
      <c r="AO67" s="132"/>
      <c r="AP67" s="132"/>
      <c r="AQ67" s="140"/>
      <c r="AR67" s="140"/>
      <c r="AS67" s="132"/>
      <c r="AT67" s="132"/>
      <c r="AU67" s="140"/>
      <c r="AV67" s="140"/>
      <c r="AW67" s="140">
        <v>0</v>
      </c>
      <c r="AX67" s="140">
        <v>0</v>
      </c>
      <c r="AY67" s="140"/>
      <c r="AZ67" s="140"/>
      <c r="BA67" s="140">
        <v>0</v>
      </c>
      <c r="BB67" s="140"/>
      <c r="BC67" s="142"/>
      <c r="BD67" s="142"/>
      <c r="BE67" s="140"/>
      <c r="BF67" s="140"/>
      <c r="BG67" s="140"/>
      <c r="BH67" s="140"/>
      <c r="BI67" s="132"/>
      <c r="BJ67" s="132"/>
      <c r="BK67" s="142"/>
      <c r="BL67" s="142"/>
      <c r="BM67" s="140"/>
      <c r="BN67" s="140"/>
      <c r="BO67" s="132"/>
      <c r="BP67" s="132"/>
      <c r="BQ67" s="142"/>
      <c r="BR67" s="142"/>
      <c r="BS67" s="140"/>
      <c r="BT67" s="140"/>
      <c r="BU67" s="132"/>
      <c r="BV67" s="132"/>
      <c r="BW67" s="142"/>
      <c r="BX67" s="142"/>
      <c r="BY67" s="140"/>
      <c r="BZ67" s="140"/>
      <c r="CA67" s="132"/>
      <c r="CB67" s="132"/>
      <c r="CC67" s="142"/>
      <c r="CD67" s="142"/>
      <c r="CE67" s="140"/>
      <c r="CF67" s="140"/>
      <c r="CG67" s="132"/>
      <c r="CH67" s="132"/>
      <c r="CI67" s="142"/>
      <c r="CJ67" s="142"/>
      <c r="CK67" s="140"/>
      <c r="CL67" s="140"/>
      <c r="CM67" s="132"/>
      <c r="CN67" s="132"/>
      <c r="CO67" s="142"/>
      <c r="CP67" s="142"/>
      <c r="CQ67" s="140"/>
      <c r="CR67" s="140"/>
      <c r="CS67" s="132"/>
      <c r="CT67" s="132"/>
      <c r="CU67" s="142"/>
      <c r="CV67" s="142"/>
      <c r="CW67" s="140"/>
      <c r="CX67" s="140"/>
      <c r="CY67" s="132"/>
      <c r="CZ67" s="132"/>
      <c r="DA67" s="142"/>
      <c r="DB67" s="142"/>
      <c r="DC67" s="140"/>
      <c r="DD67" s="140"/>
      <c r="DE67" s="132"/>
      <c r="DF67" s="132"/>
      <c r="DG67" s="142"/>
      <c r="DH67" s="142"/>
      <c r="DI67" s="140"/>
      <c r="DJ67" s="140"/>
      <c r="DK67" s="132">
        <v>0</v>
      </c>
      <c r="DL67" s="132"/>
      <c r="DM67" s="142">
        <f t="shared" si="26"/>
        <v>1</v>
      </c>
      <c r="DN67" s="142">
        <f t="shared" si="27"/>
        <v>1</v>
      </c>
      <c r="DO67" s="140"/>
      <c r="DP67" s="140"/>
      <c r="DQ67" s="140"/>
      <c r="DR67" s="140"/>
      <c r="DS67" s="140">
        <v>0</v>
      </c>
      <c r="DT67" s="140"/>
      <c r="DU67" s="257" t="s">
        <v>34</v>
      </c>
      <c r="DV67" s="229" t="s">
        <v>34</v>
      </c>
      <c r="DW67" s="135">
        <f t="shared" si="104"/>
        <v>1</v>
      </c>
      <c r="DX67" s="197">
        <f t="shared" si="110"/>
        <v>1</v>
      </c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  <c r="IW67" s="67"/>
      <c r="IX67" s="67"/>
      <c r="IY67" s="67"/>
      <c r="IZ67" s="67"/>
      <c r="JA67" s="67"/>
      <c r="JB67" s="67"/>
      <c r="JC67" s="67"/>
      <c r="JD67" s="67"/>
      <c r="JE67" s="67"/>
      <c r="JF67" s="67"/>
      <c r="JG67" s="67"/>
      <c r="JH67" s="67"/>
    </row>
    <row r="68" spans="1:268" s="68" customFormat="1" ht="30.75" customHeight="1">
      <c r="A68" s="348" t="s">
        <v>204</v>
      </c>
      <c r="B68" s="291"/>
      <c r="C68" s="140">
        <v>3469</v>
      </c>
      <c r="D68" s="140">
        <v>3336</v>
      </c>
      <c r="E68" s="132">
        <v>4302</v>
      </c>
      <c r="F68" s="132">
        <v>3947</v>
      </c>
      <c r="G68" s="132">
        <v>3472</v>
      </c>
      <c r="H68" s="132">
        <v>3179</v>
      </c>
      <c r="I68" s="140"/>
      <c r="J68" s="140"/>
      <c r="K68" s="140"/>
      <c r="L68" s="140"/>
      <c r="M68" s="132"/>
      <c r="N68" s="132"/>
      <c r="O68" s="140"/>
      <c r="P68" s="140"/>
      <c r="Q68" s="132"/>
      <c r="R68" s="132"/>
      <c r="S68" s="140"/>
      <c r="T68" s="140"/>
      <c r="U68" s="132"/>
      <c r="V68" s="132"/>
      <c r="W68" s="140"/>
      <c r="X68" s="140"/>
      <c r="Y68" s="132"/>
      <c r="Z68" s="132"/>
      <c r="AA68" s="140"/>
      <c r="AB68" s="140"/>
      <c r="AC68" s="132"/>
      <c r="AD68" s="132"/>
      <c r="AE68" s="140"/>
      <c r="AF68" s="140"/>
      <c r="AG68" s="132"/>
      <c r="AH68" s="132"/>
      <c r="AI68" s="140"/>
      <c r="AJ68" s="140"/>
      <c r="AK68" s="132"/>
      <c r="AL68" s="132"/>
      <c r="AM68" s="140"/>
      <c r="AN68" s="140"/>
      <c r="AO68" s="132"/>
      <c r="AP68" s="132"/>
      <c r="AQ68" s="140"/>
      <c r="AR68" s="140"/>
      <c r="AS68" s="132"/>
      <c r="AT68" s="132"/>
      <c r="AU68" s="140"/>
      <c r="AV68" s="140"/>
      <c r="AW68" s="140">
        <v>736</v>
      </c>
      <c r="AX68" s="140">
        <v>708</v>
      </c>
      <c r="AY68" s="140"/>
      <c r="AZ68" s="140"/>
      <c r="BA68" s="140">
        <v>3098</v>
      </c>
      <c r="BB68" s="140"/>
      <c r="BC68" s="142"/>
      <c r="BD68" s="142"/>
      <c r="BE68" s="140"/>
      <c r="BF68" s="140"/>
      <c r="BG68" s="140"/>
      <c r="BH68" s="140"/>
      <c r="BI68" s="132"/>
      <c r="BJ68" s="132"/>
      <c r="BK68" s="142"/>
      <c r="BL68" s="142"/>
      <c r="BM68" s="140"/>
      <c r="BN68" s="140"/>
      <c r="BO68" s="132"/>
      <c r="BP68" s="132"/>
      <c r="BQ68" s="142"/>
      <c r="BR68" s="142"/>
      <c r="BS68" s="140"/>
      <c r="BT68" s="140"/>
      <c r="BU68" s="132"/>
      <c r="BV68" s="132"/>
      <c r="BW68" s="142"/>
      <c r="BX68" s="142"/>
      <c r="BY68" s="140"/>
      <c r="BZ68" s="140"/>
      <c r="CA68" s="132"/>
      <c r="CB68" s="132"/>
      <c r="CC68" s="142"/>
      <c r="CD68" s="142"/>
      <c r="CE68" s="140"/>
      <c r="CF68" s="140"/>
      <c r="CG68" s="132"/>
      <c r="CH68" s="132"/>
      <c r="CI68" s="142"/>
      <c r="CJ68" s="142"/>
      <c r="CK68" s="140"/>
      <c r="CL68" s="140"/>
      <c r="CM68" s="132"/>
      <c r="CN68" s="132"/>
      <c r="CO68" s="142"/>
      <c r="CP68" s="142"/>
      <c r="CQ68" s="140"/>
      <c r="CR68" s="140"/>
      <c r="CS68" s="132"/>
      <c r="CT68" s="132"/>
      <c r="CU68" s="142"/>
      <c r="CV68" s="142"/>
      <c r="CW68" s="140"/>
      <c r="CX68" s="140"/>
      <c r="CY68" s="132"/>
      <c r="CZ68" s="132"/>
      <c r="DA68" s="142"/>
      <c r="DB68" s="142"/>
      <c r="DC68" s="140"/>
      <c r="DD68" s="140"/>
      <c r="DE68" s="132"/>
      <c r="DF68" s="132"/>
      <c r="DG68" s="142"/>
      <c r="DH68" s="142"/>
      <c r="DI68" s="140"/>
      <c r="DJ68" s="140"/>
      <c r="DK68" s="132">
        <v>842</v>
      </c>
      <c r="DL68" s="132"/>
      <c r="DM68" s="142">
        <f t="shared" si="26"/>
        <v>1.1440217391304348</v>
      </c>
      <c r="DN68" s="142">
        <f t="shared" si="27"/>
        <v>0</v>
      </c>
      <c r="DO68" s="140"/>
      <c r="DP68" s="140"/>
      <c r="DQ68" s="140"/>
      <c r="DR68" s="140"/>
      <c r="DS68" s="140">
        <v>3098</v>
      </c>
      <c r="DT68" s="140"/>
      <c r="DU68" s="256">
        <f>IF($BA$10=0,1,DS68/$BA68)</f>
        <v>1</v>
      </c>
      <c r="DV68" s="135" t="e">
        <f>IF($BA$10=0,1,DT68/$BB68)</f>
        <v>#DIV/0!</v>
      </c>
      <c r="DW68" s="135">
        <f t="shared" si="104"/>
        <v>0.89228110599078336</v>
      </c>
      <c r="DX68" s="197">
        <f t="shared" si="110"/>
        <v>0</v>
      </c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7"/>
      <c r="IX68" s="67"/>
      <c r="IY68" s="67"/>
      <c r="IZ68" s="67"/>
      <c r="JA68" s="67"/>
      <c r="JB68" s="67"/>
      <c r="JC68" s="67"/>
      <c r="JD68" s="67"/>
      <c r="JE68" s="67"/>
      <c r="JF68" s="67"/>
      <c r="JG68" s="67"/>
      <c r="JH68" s="67"/>
    </row>
    <row r="69" spans="1:268" s="68" customFormat="1" ht="17.25">
      <c r="A69" s="348" t="s">
        <v>205</v>
      </c>
      <c r="B69" s="291"/>
      <c r="C69" s="140">
        <v>0</v>
      </c>
      <c r="D69" s="140">
        <v>0</v>
      </c>
      <c r="E69" s="132">
        <v>0</v>
      </c>
      <c r="F69" s="132">
        <v>0</v>
      </c>
      <c r="G69" s="132">
        <v>0</v>
      </c>
      <c r="H69" s="132">
        <v>0</v>
      </c>
      <c r="I69" s="140"/>
      <c r="J69" s="140"/>
      <c r="K69" s="140"/>
      <c r="L69" s="140"/>
      <c r="M69" s="132"/>
      <c r="N69" s="132"/>
      <c r="O69" s="140"/>
      <c r="P69" s="140"/>
      <c r="Q69" s="132"/>
      <c r="R69" s="132"/>
      <c r="S69" s="140"/>
      <c r="T69" s="140"/>
      <c r="U69" s="132"/>
      <c r="V69" s="132"/>
      <c r="W69" s="140"/>
      <c r="X69" s="140"/>
      <c r="Y69" s="132"/>
      <c r="Z69" s="132"/>
      <c r="AA69" s="140"/>
      <c r="AB69" s="140"/>
      <c r="AC69" s="132"/>
      <c r="AD69" s="132"/>
      <c r="AE69" s="140"/>
      <c r="AF69" s="140"/>
      <c r="AG69" s="132"/>
      <c r="AH69" s="132"/>
      <c r="AI69" s="140"/>
      <c r="AJ69" s="140"/>
      <c r="AK69" s="132"/>
      <c r="AL69" s="132"/>
      <c r="AM69" s="140"/>
      <c r="AN69" s="140"/>
      <c r="AO69" s="132"/>
      <c r="AP69" s="132"/>
      <c r="AQ69" s="140"/>
      <c r="AR69" s="140"/>
      <c r="AS69" s="132"/>
      <c r="AT69" s="132"/>
      <c r="AU69" s="140"/>
      <c r="AV69" s="140"/>
      <c r="AW69" s="140">
        <v>0</v>
      </c>
      <c r="AX69" s="140">
        <v>0</v>
      </c>
      <c r="AY69" s="140"/>
      <c r="AZ69" s="140"/>
      <c r="BA69" s="140">
        <v>100</v>
      </c>
      <c r="BB69" s="140"/>
      <c r="BC69" s="142"/>
      <c r="BD69" s="142"/>
      <c r="BE69" s="140"/>
      <c r="BF69" s="140"/>
      <c r="BG69" s="140"/>
      <c r="BH69" s="140"/>
      <c r="BI69" s="132"/>
      <c r="BJ69" s="132"/>
      <c r="BK69" s="142"/>
      <c r="BL69" s="142"/>
      <c r="BM69" s="140"/>
      <c r="BN69" s="140"/>
      <c r="BO69" s="132"/>
      <c r="BP69" s="132"/>
      <c r="BQ69" s="142"/>
      <c r="BR69" s="142"/>
      <c r="BS69" s="140"/>
      <c r="BT69" s="140"/>
      <c r="BU69" s="132"/>
      <c r="BV69" s="132"/>
      <c r="BW69" s="142"/>
      <c r="BX69" s="142"/>
      <c r="BY69" s="140"/>
      <c r="BZ69" s="140"/>
      <c r="CA69" s="132"/>
      <c r="CB69" s="132"/>
      <c r="CC69" s="142"/>
      <c r="CD69" s="142"/>
      <c r="CE69" s="140"/>
      <c r="CF69" s="140"/>
      <c r="CG69" s="132"/>
      <c r="CH69" s="132"/>
      <c r="CI69" s="142"/>
      <c r="CJ69" s="142"/>
      <c r="CK69" s="140"/>
      <c r="CL69" s="140"/>
      <c r="CM69" s="132"/>
      <c r="CN69" s="132"/>
      <c r="CO69" s="142"/>
      <c r="CP69" s="142"/>
      <c r="CQ69" s="140"/>
      <c r="CR69" s="140"/>
      <c r="CS69" s="132"/>
      <c r="CT69" s="132"/>
      <c r="CU69" s="142"/>
      <c r="CV69" s="142"/>
      <c r="CW69" s="140"/>
      <c r="CX69" s="140"/>
      <c r="CY69" s="132"/>
      <c r="CZ69" s="132"/>
      <c r="DA69" s="142"/>
      <c r="DB69" s="142"/>
      <c r="DC69" s="140"/>
      <c r="DD69" s="140"/>
      <c r="DE69" s="132"/>
      <c r="DF69" s="132"/>
      <c r="DG69" s="142"/>
      <c r="DH69" s="142"/>
      <c r="DI69" s="140"/>
      <c r="DJ69" s="140"/>
      <c r="DK69" s="132">
        <v>0</v>
      </c>
      <c r="DL69" s="132"/>
      <c r="DM69" s="142">
        <f t="shared" si="26"/>
        <v>1</v>
      </c>
      <c r="DN69" s="142">
        <f t="shared" si="27"/>
        <v>1</v>
      </c>
      <c r="DO69" s="140"/>
      <c r="DP69" s="140"/>
      <c r="DQ69" s="140"/>
      <c r="DR69" s="140"/>
      <c r="DS69" s="140">
        <v>100</v>
      </c>
      <c r="DT69" s="140"/>
      <c r="DU69" s="256">
        <f>IF($BA$10=0,1,DS69/$BA69)</f>
        <v>1</v>
      </c>
      <c r="DV69" s="135" t="e">
        <f>IF($BA$10=0,1,DT69/$BB69)</f>
        <v>#DIV/0!</v>
      </c>
      <c r="DW69" s="135">
        <f t="shared" si="104"/>
        <v>1</v>
      </c>
      <c r="DX69" s="197">
        <f t="shared" si="110"/>
        <v>1</v>
      </c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  <c r="IV69" s="67"/>
      <c r="IW69" s="67"/>
      <c r="IX69" s="67"/>
      <c r="IY69" s="67"/>
      <c r="IZ69" s="67"/>
      <c r="JA69" s="67"/>
      <c r="JB69" s="67"/>
      <c r="JC69" s="67"/>
      <c r="JD69" s="67"/>
      <c r="JE69" s="67"/>
      <c r="JF69" s="67"/>
      <c r="JG69" s="67"/>
      <c r="JH69" s="67"/>
    </row>
    <row r="70" spans="1:268" s="68" customFormat="1" ht="31.5" customHeight="1">
      <c r="A70" s="348" t="s">
        <v>206</v>
      </c>
      <c r="B70" s="291"/>
      <c r="C70" s="140">
        <v>3405</v>
      </c>
      <c r="D70" s="140">
        <v>2852</v>
      </c>
      <c r="E70" s="132">
        <v>3573</v>
      </c>
      <c r="F70" s="132">
        <v>3088</v>
      </c>
      <c r="G70" s="132">
        <v>3841</v>
      </c>
      <c r="H70" s="132">
        <v>3623</v>
      </c>
      <c r="I70" s="140"/>
      <c r="J70" s="140"/>
      <c r="K70" s="140"/>
      <c r="L70" s="140"/>
      <c r="M70" s="132"/>
      <c r="N70" s="132"/>
      <c r="O70" s="140"/>
      <c r="P70" s="140"/>
      <c r="Q70" s="132"/>
      <c r="R70" s="132"/>
      <c r="S70" s="140"/>
      <c r="T70" s="140"/>
      <c r="U70" s="132"/>
      <c r="V70" s="132"/>
      <c r="W70" s="140"/>
      <c r="X70" s="140"/>
      <c r="Y70" s="132"/>
      <c r="Z70" s="132"/>
      <c r="AA70" s="140"/>
      <c r="AB70" s="140"/>
      <c r="AC70" s="132"/>
      <c r="AD70" s="132"/>
      <c r="AE70" s="140"/>
      <c r="AF70" s="140"/>
      <c r="AG70" s="132"/>
      <c r="AH70" s="132"/>
      <c r="AI70" s="140"/>
      <c r="AJ70" s="140"/>
      <c r="AK70" s="132"/>
      <c r="AL70" s="132"/>
      <c r="AM70" s="140"/>
      <c r="AN70" s="140"/>
      <c r="AO70" s="132"/>
      <c r="AP70" s="132"/>
      <c r="AQ70" s="140"/>
      <c r="AR70" s="140"/>
      <c r="AS70" s="132"/>
      <c r="AT70" s="132"/>
      <c r="AU70" s="140"/>
      <c r="AV70" s="140"/>
      <c r="AW70" s="140">
        <v>934</v>
      </c>
      <c r="AX70" s="140">
        <v>833</v>
      </c>
      <c r="AY70" s="140"/>
      <c r="AZ70" s="140"/>
      <c r="BA70" s="140">
        <v>4000</v>
      </c>
      <c r="BB70" s="140"/>
      <c r="BC70" s="142"/>
      <c r="BD70" s="142"/>
      <c r="BE70" s="140"/>
      <c r="BF70" s="140"/>
      <c r="BG70" s="140"/>
      <c r="BH70" s="140"/>
      <c r="BI70" s="132"/>
      <c r="BJ70" s="132"/>
      <c r="BK70" s="142"/>
      <c r="BL70" s="142"/>
      <c r="BM70" s="140"/>
      <c r="BN70" s="140"/>
      <c r="BO70" s="132"/>
      <c r="BP70" s="132"/>
      <c r="BQ70" s="142"/>
      <c r="BR70" s="142"/>
      <c r="BS70" s="140"/>
      <c r="BT70" s="140"/>
      <c r="BU70" s="132"/>
      <c r="BV70" s="132"/>
      <c r="BW70" s="142"/>
      <c r="BX70" s="142"/>
      <c r="BY70" s="140"/>
      <c r="BZ70" s="140"/>
      <c r="CA70" s="132"/>
      <c r="CB70" s="132"/>
      <c r="CC70" s="142"/>
      <c r="CD70" s="142"/>
      <c r="CE70" s="140"/>
      <c r="CF70" s="140"/>
      <c r="CG70" s="132"/>
      <c r="CH70" s="132"/>
      <c r="CI70" s="142"/>
      <c r="CJ70" s="142"/>
      <c r="CK70" s="140"/>
      <c r="CL70" s="140"/>
      <c r="CM70" s="132"/>
      <c r="CN70" s="132"/>
      <c r="CO70" s="142"/>
      <c r="CP70" s="142"/>
      <c r="CQ70" s="140"/>
      <c r="CR70" s="140"/>
      <c r="CS70" s="132"/>
      <c r="CT70" s="132"/>
      <c r="CU70" s="142"/>
      <c r="CV70" s="142"/>
      <c r="CW70" s="140"/>
      <c r="CX70" s="140"/>
      <c r="CY70" s="132"/>
      <c r="CZ70" s="132"/>
      <c r="DA70" s="142"/>
      <c r="DB70" s="142"/>
      <c r="DC70" s="140"/>
      <c r="DD70" s="140"/>
      <c r="DE70" s="132"/>
      <c r="DF70" s="132"/>
      <c r="DG70" s="142"/>
      <c r="DH70" s="142"/>
      <c r="DI70" s="140"/>
      <c r="DJ70" s="140"/>
      <c r="DK70" s="132">
        <v>492</v>
      </c>
      <c r="DL70" s="132"/>
      <c r="DM70" s="142">
        <f t="shared" si="26"/>
        <v>0.52676659528907921</v>
      </c>
      <c r="DN70" s="142">
        <f t="shared" si="27"/>
        <v>0</v>
      </c>
      <c r="DO70" s="140"/>
      <c r="DP70" s="140"/>
      <c r="DQ70" s="140"/>
      <c r="DR70" s="140"/>
      <c r="DS70" s="140">
        <v>4000</v>
      </c>
      <c r="DT70" s="140"/>
      <c r="DU70" s="256">
        <f>IF($BA$10=0,1,DS70/$BA70)</f>
        <v>1</v>
      </c>
      <c r="DV70" s="135" t="e">
        <f>IF($BA$10=0,1,DT70/$BB70)</f>
        <v>#DIV/0!</v>
      </c>
      <c r="DW70" s="135">
        <f t="shared" si="104"/>
        <v>1.0413954699297059</v>
      </c>
      <c r="DX70" s="197">
        <f t="shared" si="110"/>
        <v>0</v>
      </c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67"/>
      <c r="IS70" s="67"/>
      <c r="IT70" s="67"/>
      <c r="IU70" s="67"/>
      <c r="IV70" s="67"/>
      <c r="IW70" s="67"/>
      <c r="IX70" s="67"/>
      <c r="IY70" s="67"/>
      <c r="IZ70" s="67"/>
      <c r="JA70" s="67"/>
      <c r="JB70" s="67"/>
      <c r="JC70" s="67"/>
      <c r="JD70" s="67"/>
      <c r="JE70" s="67"/>
      <c r="JF70" s="67"/>
      <c r="JG70" s="67"/>
      <c r="JH70" s="67"/>
    </row>
    <row r="71" spans="1:268" s="64" customFormat="1" ht="16.5">
      <c r="A71" s="348" t="s">
        <v>207</v>
      </c>
      <c r="B71" s="291"/>
      <c r="C71" s="134">
        <v>51348</v>
      </c>
      <c r="D71" s="137">
        <v>35595</v>
      </c>
      <c r="E71" s="134">
        <v>47811</v>
      </c>
      <c r="F71" s="134">
        <v>42732</v>
      </c>
      <c r="G71" s="134">
        <v>54758</v>
      </c>
      <c r="H71" s="134">
        <v>35170</v>
      </c>
      <c r="I71" s="134"/>
      <c r="J71" s="137"/>
      <c r="K71" s="134"/>
      <c r="L71" s="137"/>
      <c r="M71" s="134"/>
      <c r="N71" s="134"/>
      <c r="O71" s="134"/>
      <c r="P71" s="137"/>
      <c r="Q71" s="134"/>
      <c r="R71" s="134"/>
      <c r="S71" s="134"/>
      <c r="T71" s="137"/>
      <c r="U71" s="134"/>
      <c r="V71" s="134"/>
      <c r="W71" s="134"/>
      <c r="X71" s="137"/>
      <c r="Y71" s="134"/>
      <c r="Z71" s="134"/>
      <c r="AA71" s="134"/>
      <c r="AB71" s="137"/>
      <c r="AC71" s="134"/>
      <c r="AD71" s="134"/>
      <c r="AE71" s="134"/>
      <c r="AF71" s="137"/>
      <c r="AG71" s="134"/>
      <c r="AH71" s="134"/>
      <c r="AI71" s="134"/>
      <c r="AJ71" s="137"/>
      <c r="AK71" s="134"/>
      <c r="AL71" s="134"/>
      <c r="AM71" s="134"/>
      <c r="AN71" s="137"/>
      <c r="AO71" s="134"/>
      <c r="AP71" s="134"/>
      <c r="AQ71" s="134"/>
      <c r="AR71" s="137"/>
      <c r="AS71" s="134"/>
      <c r="AT71" s="134"/>
      <c r="AU71" s="134"/>
      <c r="AV71" s="137"/>
      <c r="AW71" s="134">
        <v>10784</v>
      </c>
      <c r="AX71" s="137">
        <v>7271</v>
      </c>
      <c r="AY71" s="134"/>
      <c r="AZ71" s="137"/>
      <c r="BA71" s="134">
        <v>44711</v>
      </c>
      <c r="BB71" s="137"/>
      <c r="BC71" s="135"/>
      <c r="BD71" s="135"/>
      <c r="BE71" s="134"/>
      <c r="BF71" s="137"/>
      <c r="BG71" s="134"/>
      <c r="BH71" s="137"/>
      <c r="BI71" s="134"/>
      <c r="BJ71" s="134"/>
      <c r="BK71" s="135"/>
      <c r="BL71" s="135"/>
      <c r="BM71" s="134"/>
      <c r="BN71" s="137"/>
      <c r="BO71" s="134"/>
      <c r="BP71" s="134"/>
      <c r="BQ71" s="135"/>
      <c r="BR71" s="135"/>
      <c r="BS71" s="134"/>
      <c r="BT71" s="137"/>
      <c r="BU71" s="134"/>
      <c r="BV71" s="134"/>
      <c r="BW71" s="135"/>
      <c r="BX71" s="135"/>
      <c r="BY71" s="134"/>
      <c r="BZ71" s="137"/>
      <c r="CA71" s="134"/>
      <c r="CB71" s="134"/>
      <c r="CC71" s="135"/>
      <c r="CD71" s="135"/>
      <c r="CE71" s="134"/>
      <c r="CF71" s="137"/>
      <c r="CG71" s="134"/>
      <c r="CH71" s="134"/>
      <c r="CI71" s="135"/>
      <c r="CJ71" s="135"/>
      <c r="CK71" s="134"/>
      <c r="CL71" s="137"/>
      <c r="CM71" s="134"/>
      <c r="CN71" s="134"/>
      <c r="CO71" s="135"/>
      <c r="CP71" s="135"/>
      <c r="CQ71" s="134"/>
      <c r="CR71" s="137"/>
      <c r="CS71" s="134"/>
      <c r="CT71" s="134"/>
      <c r="CU71" s="135"/>
      <c r="CV71" s="135"/>
      <c r="CW71" s="134"/>
      <c r="CX71" s="137"/>
      <c r="CY71" s="134"/>
      <c r="CZ71" s="134"/>
      <c r="DA71" s="135"/>
      <c r="DB71" s="135"/>
      <c r="DC71" s="134"/>
      <c r="DD71" s="137"/>
      <c r="DE71" s="134"/>
      <c r="DF71" s="134"/>
      <c r="DG71" s="135"/>
      <c r="DH71" s="135"/>
      <c r="DI71" s="134"/>
      <c r="DJ71" s="137"/>
      <c r="DK71" s="134">
        <v>11310</v>
      </c>
      <c r="DL71" s="134"/>
      <c r="DM71" s="135">
        <f t="shared" si="26"/>
        <v>1.0487759643916914</v>
      </c>
      <c r="DN71" s="135">
        <f t="shared" si="27"/>
        <v>0</v>
      </c>
      <c r="DO71" s="134">
        <f>'бюджет округа (района)'!BH62+'бюджеты поселений'!BH62</f>
        <v>0</v>
      </c>
      <c r="DP71" s="137">
        <f>'бюджет округа (района)'!BH62</f>
        <v>0</v>
      </c>
      <c r="DQ71" s="134">
        <f>'бюджет округа (района)'!BI62+'бюджеты поселений'!BI62</f>
        <v>0</v>
      </c>
      <c r="DR71" s="137">
        <f>'бюджет округа (района)'!BI62</f>
        <v>0</v>
      </c>
      <c r="DS71" s="134">
        <v>55000</v>
      </c>
      <c r="DT71" s="137"/>
      <c r="DU71" s="256">
        <f>IF($BA$10=0,1,DS71/$BA71)</f>
        <v>1.2301223412583033</v>
      </c>
      <c r="DV71" s="135" t="e">
        <f>IF($BA$10=0,1,DT71/$BB71)</f>
        <v>#DIV/0!</v>
      </c>
      <c r="DW71" s="135">
        <f t="shared" si="104"/>
        <v>1.004419445560466</v>
      </c>
      <c r="DX71" s="197">
        <f t="shared" si="110"/>
        <v>0</v>
      </c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</row>
    <row r="72" spans="1:268" s="64" customFormat="1" ht="38.25" customHeight="1">
      <c r="A72" s="348" t="s">
        <v>133</v>
      </c>
      <c r="B72" s="291"/>
      <c r="C72" s="134">
        <v>0</v>
      </c>
      <c r="D72" s="137">
        <v>0</v>
      </c>
      <c r="E72" s="134">
        <v>0</v>
      </c>
      <c r="F72" s="134">
        <v>0</v>
      </c>
      <c r="G72" s="134">
        <v>0</v>
      </c>
      <c r="H72" s="134">
        <v>0</v>
      </c>
      <c r="I72" s="134"/>
      <c r="J72" s="137"/>
      <c r="K72" s="134"/>
      <c r="L72" s="137"/>
      <c r="M72" s="134"/>
      <c r="N72" s="134"/>
      <c r="O72" s="134"/>
      <c r="P72" s="137"/>
      <c r="Q72" s="134"/>
      <c r="R72" s="134"/>
      <c r="S72" s="134"/>
      <c r="T72" s="137"/>
      <c r="U72" s="134"/>
      <c r="V72" s="134"/>
      <c r="W72" s="134"/>
      <c r="X72" s="137"/>
      <c r="Y72" s="134"/>
      <c r="Z72" s="134"/>
      <c r="AA72" s="134"/>
      <c r="AB72" s="137"/>
      <c r="AC72" s="134"/>
      <c r="AD72" s="134"/>
      <c r="AE72" s="134"/>
      <c r="AF72" s="137"/>
      <c r="AG72" s="134"/>
      <c r="AH72" s="134"/>
      <c r="AI72" s="134"/>
      <c r="AJ72" s="137"/>
      <c r="AK72" s="134"/>
      <c r="AL72" s="134"/>
      <c r="AM72" s="134"/>
      <c r="AN72" s="137"/>
      <c r="AO72" s="134"/>
      <c r="AP72" s="134"/>
      <c r="AQ72" s="134"/>
      <c r="AR72" s="137"/>
      <c r="AS72" s="134"/>
      <c r="AT72" s="134"/>
      <c r="AU72" s="134"/>
      <c r="AV72" s="137"/>
      <c r="AW72" s="134">
        <v>0</v>
      </c>
      <c r="AX72" s="137">
        <v>0</v>
      </c>
      <c r="AY72" s="134"/>
      <c r="AZ72" s="137"/>
      <c r="BA72" s="134">
        <v>0</v>
      </c>
      <c r="BB72" s="137">
        <v>0</v>
      </c>
      <c r="BC72" s="135"/>
      <c r="BD72" s="135"/>
      <c r="BE72" s="134"/>
      <c r="BF72" s="137"/>
      <c r="BG72" s="134"/>
      <c r="BH72" s="137"/>
      <c r="BI72" s="134"/>
      <c r="BJ72" s="134"/>
      <c r="BK72" s="135"/>
      <c r="BL72" s="135"/>
      <c r="BM72" s="134"/>
      <c r="BN72" s="137"/>
      <c r="BO72" s="134"/>
      <c r="BP72" s="134"/>
      <c r="BQ72" s="135"/>
      <c r="BR72" s="135"/>
      <c r="BS72" s="134"/>
      <c r="BT72" s="137"/>
      <c r="BU72" s="134"/>
      <c r="BV72" s="134"/>
      <c r="BW72" s="135"/>
      <c r="BX72" s="135"/>
      <c r="BY72" s="134"/>
      <c r="BZ72" s="137"/>
      <c r="CA72" s="134"/>
      <c r="CB72" s="134"/>
      <c r="CC72" s="135"/>
      <c r="CD72" s="135"/>
      <c r="CE72" s="134"/>
      <c r="CF72" s="137"/>
      <c r="CG72" s="134"/>
      <c r="CH72" s="134"/>
      <c r="CI72" s="135"/>
      <c r="CJ72" s="135"/>
      <c r="CK72" s="134"/>
      <c r="CL72" s="137"/>
      <c r="CM72" s="134"/>
      <c r="CN72" s="134"/>
      <c r="CO72" s="135"/>
      <c r="CP72" s="135"/>
      <c r="CQ72" s="134"/>
      <c r="CR72" s="137"/>
      <c r="CS72" s="134"/>
      <c r="CT72" s="134"/>
      <c r="CU72" s="135"/>
      <c r="CV72" s="135"/>
      <c r="CW72" s="134"/>
      <c r="CX72" s="137"/>
      <c r="CY72" s="134"/>
      <c r="CZ72" s="134"/>
      <c r="DA72" s="135"/>
      <c r="DB72" s="135"/>
      <c r="DC72" s="134"/>
      <c r="DD72" s="137"/>
      <c r="DE72" s="134"/>
      <c r="DF72" s="134"/>
      <c r="DG72" s="135"/>
      <c r="DH72" s="135"/>
      <c r="DI72" s="134"/>
      <c r="DJ72" s="137"/>
      <c r="DK72" s="134">
        <v>0</v>
      </c>
      <c r="DL72" s="134">
        <v>0</v>
      </c>
      <c r="DM72" s="135">
        <f t="shared" si="26"/>
        <v>1</v>
      </c>
      <c r="DN72" s="135">
        <f t="shared" si="27"/>
        <v>1</v>
      </c>
      <c r="DO72" s="134">
        <f>'бюджет округа (района)'!BH63+'бюджеты поселений'!BH63</f>
        <v>0</v>
      </c>
      <c r="DP72" s="137">
        <f>'бюджет округа (района)'!BH63</f>
        <v>0</v>
      </c>
      <c r="DQ72" s="134">
        <f>'бюджет округа (района)'!BI63+'бюджеты поселений'!BI63</f>
        <v>0</v>
      </c>
      <c r="DR72" s="137">
        <f>'бюджет округа (района)'!BI63</f>
        <v>0</v>
      </c>
      <c r="DS72" s="134">
        <v>0</v>
      </c>
      <c r="DT72" s="137">
        <v>0</v>
      </c>
      <c r="DU72" s="257" t="s">
        <v>34</v>
      </c>
      <c r="DV72" s="229" t="s">
        <v>34</v>
      </c>
      <c r="DW72" s="135">
        <f t="shared" si="104"/>
        <v>1</v>
      </c>
      <c r="DX72" s="197">
        <f t="shared" si="110"/>
        <v>1</v>
      </c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</row>
    <row r="73" spans="1:268" s="64" customFormat="1" ht="16.5">
      <c r="A73" s="348" t="s">
        <v>208</v>
      </c>
      <c r="B73" s="291"/>
      <c r="C73" s="134">
        <v>11561</v>
      </c>
      <c r="D73" s="137">
        <v>11561</v>
      </c>
      <c r="E73" s="134">
        <v>14714</v>
      </c>
      <c r="F73" s="134">
        <v>14714</v>
      </c>
      <c r="G73" s="134">
        <v>12085</v>
      </c>
      <c r="H73" s="134">
        <v>12085</v>
      </c>
      <c r="I73" s="134"/>
      <c r="J73" s="137"/>
      <c r="K73" s="134"/>
      <c r="L73" s="137"/>
      <c r="M73" s="134"/>
      <c r="N73" s="134"/>
      <c r="O73" s="134"/>
      <c r="P73" s="137"/>
      <c r="Q73" s="134"/>
      <c r="R73" s="134"/>
      <c r="S73" s="134"/>
      <c r="T73" s="137"/>
      <c r="U73" s="134"/>
      <c r="V73" s="134"/>
      <c r="W73" s="134"/>
      <c r="X73" s="137"/>
      <c r="Y73" s="134"/>
      <c r="Z73" s="134"/>
      <c r="AA73" s="134"/>
      <c r="AB73" s="137"/>
      <c r="AC73" s="134"/>
      <c r="AD73" s="134"/>
      <c r="AE73" s="134"/>
      <c r="AF73" s="137"/>
      <c r="AG73" s="134"/>
      <c r="AH73" s="134"/>
      <c r="AI73" s="134"/>
      <c r="AJ73" s="137"/>
      <c r="AK73" s="134"/>
      <c r="AL73" s="134"/>
      <c r="AM73" s="134"/>
      <c r="AN73" s="137"/>
      <c r="AO73" s="134"/>
      <c r="AP73" s="134"/>
      <c r="AQ73" s="134"/>
      <c r="AR73" s="137"/>
      <c r="AS73" s="134"/>
      <c r="AT73" s="134"/>
      <c r="AU73" s="134"/>
      <c r="AV73" s="137"/>
      <c r="AW73" s="134">
        <v>2395</v>
      </c>
      <c r="AX73" s="137">
        <v>2395</v>
      </c>
      <c r="AY73" s="134"/>
      <c r="AZ73" s="137"/>
      <c r="BA73" s="134">
        <v>13040</v>
      </c>
      <c r="BB73" s="137"/>
      <c r="BC73" s="135"/>
      <c r="BD73" s="135"/>
      <c r="BE73" s="134"/>
      <c r="BF73" s="137"/>
      <c r="BG73" s="134"/>
      <c r="BH73" s="137"/>
      <c r="BI73" s="134"/>
      <c r="BJ73" s="134"/>
      <c r="BK73" s="135"/>
      <c r="BL73" s="135"/>
      <c r="BM73" s="134"/>
      <c r="BN73" s="137"/>
      <c r="BO73" s="134"/>
      <c r="BP73" s="134"/>
      <c r="BQ73" s="135"/>
      <c r="BR73" s="135"/>
      <c r="BS73" s="134"/>
      <c r="BT73" s="137"/>
      <c r="BU73" s="134"/>
      <c r="BV73" s="134"/>
      <c r="BW73" s="135"/>
      <c r="BX73" s="135"/>
      <c r="BY73" s="134"/>
      <c r="BZ73" s="137"/>
      <c r="CA73" s="134"/>
      <c r="CB73" s="134"/>
      <c r="CC73" s="135"/>
      <c r="CD73" s="135"/>
      <c r="CE73" s="134"/>
      <c r="CF73" s="137"/>
      <c r="CG73" s="134"/>
      <c r="CH73" s="134"/>
      <c r="CI73" s="135"/>
      <c r="CJ73" s="135"/>
      <c r="CK73" s="134"/>
      <c r="CL73" s="137"/>
      <c r="CM73" s="134"/>
      <c r="CN73" s="134"/>
      <c r="CO73" s="135"/>
      <c r="CP73" s="135"/>
      <c r="CQ73" s="134"/>
      <c r="CR73" s="137"/>
      <c r="CS73" s="134"/>
      <c r="CT73" s="134"/>
      <c r="CU73" s="135"/>
      <c r="CV73" s="135"/>
      <c r="CW73" s="134"/>
      <c r="CX73" s="137"/>
      <c r="CY73" s="134"/>
      <c r="CZ73" s="134"/>
      <c r="DA73" s="135"/>
      <c r="DB73" s="135"/>
      <c r="DC73" s="134"/>
      <c r="DD73" s="137"/>
      <c r="DE73" s="134"/>
      <c r="DF73" s="134"/>
      <c r="DG73" s="135"/>
      <c r="DH73" s="135"/>
      <c r="DI73" s="134"/>
      <c r="DJ73" s="137"/>
      <c r="DK73" s="134">
        <v>2575</v>
      </c>
      <c r="DL73" s="134"/>
      <c r="DM73" s="135">
        <f t="shared" si="26"/>
        <v>1.0751565762004176</v>
      </c>
      <c r="DN73" s="135">
        <f t="shared" si="27"/>
        <v>0</v>
      </c>
      <c r="DO73" s="134">
        <f>'бюджет округа (района)'!BH64+'бюджеты поселений'!BH64</f>
        <v>0</v>
      </c>
      <c r="DP73" s="137">
        <f>'бюджет округа (района)'!BH64</f>
        <v>0</v>
      </c>
      <c r="DQ73" s="134">
        <f>'бюджет округа (района)'!BI64+'бюджеты поселений'!BI64</f>
        <v>0</v>
      </c>
      <c r="DR73" s="137">
        <f>'бюджет округа (района)'!BI64</f>
        <v>0</v>
      </c>
      <c r="DS73" s="134">
        <v>12040</v>
      </c>
      <c r="DT73" s="137"/>
      <c r="DU73" s="256">
        <f>IF($BA$10=0,1,DS73/$BA73)</f>
        <v>0.92331288343558282</v>
      </c>
      <c r="DV73" s="135" t="e">
        <f>IF($BA$10=0,1,DT73/$BB73)</f>
        <v>#DIV/0!</v>
      </c>
      <c r="DW73" s="135">
        <f t="shared" si="104"/>
        <v>0.99627637567232108</v>
      </c>
      <c r="DX73" s="197">
        <f t="shared" si="110"/>
        <v>0</v>
      </c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63"/>
      <c r="JA73" s="63"/>
      <c r="JB73" s="63"/>
      <c r="JC73" s="63"/>
      <c r="JD73" s="63"/>
      <c r="JE73" s="63"/>
      <c r="JF73" s="63"/>
      <c r="JG73" s="63"/>
      <c r="JH73" s="63"/>
    </row>
    <row r="74" spans="1:268" s="72" customFormat="1" ht="16.5">
      <c r="A74" s="341" t="s">
        <v>50</v>
      </c>
      <c r="B74" s="280"/>
      <c r="C74" s="267">
        <f t="shared" ref="C74:AH74" si="111">C10-C55</f>
        <v>7125</v>
      </c>
      <c r="D74" s="267">
        <f t="shared" si="111"/>
        <v>829</v>
      </c>
      <c r="E74" s="267">
        <f t="shared" si="111"/>
        <v>13617</v>
      </c>
      <c r="F74" s="267">
        <f t="shared" si="111"/>
        <v>-2284</v>
      </c>
      <c r="G74" s="267">
        <f t="shared" si="111"/>
        <v>-22325</v>
      </c>
      <c r="H74" s="274">
        <f t="shared" si="111"/>
        <v>-4514</v>
      </c>
      <c r="I74" s="274">
        <f t="shared" si="111"/>
        <v>0</v>
      </c>
      <c r="J74" s="274">
        <f t="shared" si="111"/>
        <v>0</v>
      </c>
      <c r="K74" s="274">
        <f t="shared" si="111"/>
        <v>0</v>
      </c>
      <c r="L74" s="274">
        <f t="shared" si="111"/>
        <v>0</v>
      </c>
      <c r="M74" s="274">
        <f t="shared" si="111"/>
        <v>0</v>
      </c>
      <c r="N74" s="274">
        <f t="shared" si="111"/>
        <v>0</v>
      </c>
      <c r="O74" s="274">
        <f t="shared" si="111"/>
        <v>0</v>
      </c>
      <c r="P74" s="274">
        <f t="shared" si="111"/>
        <v>0</v>
      </c>
      <c r="Q74" s="274">
        <f t="shared" si="111"/>
        <v>0</v>
      </c>
      <c r="R74" s="274">
        <f t="shared" si="111"/>
        <v>0</v>
      </c>
      <c r="S74" s="274">
        <f t="shared" si="111"/>
        <v>0</v>
      </c>
      <c r="T74" s="274">
        <f t="shared" si="111"/>
        <v>0</v>
      </c>
      <c r="U74" s="274">
        <f t="shared" si="111"/>
        <v>0</v>
      </c>
      <c r="V74" s="274">
        <f t="shared" si="111"/>
        <v>0</v>
      </c>
      <c r="W74" s="274">
        <f t="shared" si="111"/>
        <v>0</v>
      </c>
      <c r="X74" s="274">
        <f t="shared" si="111"/>
        <v>0</v>
      </c>
      <c r="Y74" s="274">
        <f t="shared" si="111"/>
        <v>0</v>
      </c>
      <c r="Z74" s="274">
        <f t="shared" si="111"/>
        <v>0</v>
      </c>
      <c r="AA74" s="274">
        <f t="shared" si="111"/>
        <v>0</v>
      </c>
      <c r="AB74" s="274">
        <f t="shared" si="111"/>
        <v>0</v>
      </c>
      <c r="AC74" s="274">
        <f t="shared" si="111"/>
        <v>0</v>
      </c>
      <c r="AD74" s="274">
        <f t="shared" si="111"/>
        <v>0</v>
      </c>
      <c r="AE74" s="274">
        <f t="shared" si="111"/>
        <v>0</v>
      </c>
      <c r="AF74" s="274">
        <f t="shared" si="111"/>
        <v>0</v>
      </c>
      <c r="AG74" s="274">
        <f t="shared" si="111"/>
        <v>0</v>
      </c>
      <c r="AH74" s="274">
        <f t="shared" si="111"/>
        <v>0</v>
      </c>
      <c r="AI74" s="274">
        <f t="shared" ref="AI74:AZ74" si="112">AI10-AI55</f>
        <v>0</v>
      </c>
      <c r="AJ74" s="274">
        <f t="shared" si="112"/>
        <v>0</v>
      </c>
      <c r="AK74" s="274">
        <f t="shared" si="112"/>
        <v>0</v>
      </c>
      <c r="AL74" s="274">
        <f t="shared" si="112"/>
        <v>0</v>
      </c>
      <c r="AM74" s="274">
        <f t="shared" si="112"/>
        <v>0</v>
      </c>
      <c r="AN74" s="274">
        <f t="shared" si="112"/>
        <v>0</v>
      </c>
      <c r="AO74" s="274">
        <f t="shared" si="112"/>
        <v>0</v>
      </c>
      <c r="AP74" s="274">
        <f t="shared" si="112"/>
        <v>0</v>
      </c>
      <c r="AQ74" s="274">
        <f t="shared" si="112"/>
        <v>0</v>
      </c>
      <c r="AR74" s="274">
        <f t="shared" si="112"/>
        <v>0</v>
      </c>
      <c r="AS74" s="274">
        <f t="shared" si="112"/>
        <v>0</v>
      </c>
      <c r="AT74" s="274">
        <f t="shared" si="112"/>
        <v>0</v>
      </c>
      <c r="AU74" s="274">
        <f t="shared" si="112"/>
        <v>0</v>
      </c>
      <c r="AV74" s="274">
        <f t="shared" si="112"/>
        <v>0</v>
      </c>
      <c r="AW74" s="274">
        <f t="shared" si="112"/>
        <v>-13430</v>
      </c>
      <c r="AX74" s="274">
        <f t="shared" si="112"/>
        <v>2431</v>
      </c>
      <c r="AY74" s="274">
        <f t="shared" si="112"/>
        <v>0</v>
      </c>
      <c r="AZ74" s="274">
        <f t="shared" si="112"/>
        <v>0</v>
      </c>
      <c r="BA74" s="274">
        <f>BA10-BA55+100000</f>
        <v>-18973</v>
      </c>
      <c r="BB74" s="274">
        <f>BB10-BB55</f>
        <v>0</v>
      </c>
      <c r="BC74" s="143" t="s">
        <v>51</v>
      </c>
      <c r="BD74" s="143" t="s">
        <v>51</v>
      </c>
      <c r="BE74" s="274">
        <f t="shared" ref="BE74:BJ74" si="113">BE10-BE55</f>
        <v>0</v>
      </c>
      <c r="BF74" s="274">
        <f t="shared" si="113"/>
        <v>0</v>
      </c>
      <c r="BG74" s="274">
        <f t="shared" si="113"/>
        <v>0</v>
      </c>
      <c r="BH74" s="274">
        <f t="shared" si="113"/>
        <v>0</v>
      </c>
      <c r="BI74" s="274">
        <f t="shared" si="113"/>
        <v>0</v>
      </c>
      <c r="BJ74" s="274">
        <f t="shared" si="113"/>
        <v>0</v>
      </c>
      <c r="BK74" s="143" t="s">
        <v>51</v>
      </c>
      <c r="BL74" s="143" t="s">
        <v>51</v>
      </c>
      <c r="BM74" s="274">
        <f>BM10-BM55</f>
        <v>0</v>
      </c>
      <c r="BN74" s="274">
        <f>BN10-BN55</f>
        <v>0</v>
      </c>
      <c r="BO74" s="274">
        <f>BO10-BO55</f>
        <v>0</v>
      </c>
      <c r="BP74" s="274">
        <f>BP10-BP55</f>
        <v>0</v>
      </c>
      <c r="BQ74" s="143" t="s">
        <v>51</v>
      </c>
      <c r="BR74" s="143" t="s">
        <v>51</v>
      </c>
      <c r="BS74" s="274">
        <f>BS10-BS55</f>
        <v>0</v>
      </c>
      <c r="BT74" s="274">
        <f>BT10-BT55</f>
        <v>0</v>
      </c>
      <c r="BU74" s="274">
        <f>BU10-BU55</f>
        <v>0</v>
      </c>
      <c r="BV74" s="274">
        <f>BV10-BV55</f>
        <v>0</v>
      </c>
      <c r="BW74" s="143" t="s">
        <v>51</v>
      </c>
      <c r="BX74" s="143" t="s">
        <v>51</v>
      </c>
      <c r="BY74" s="274">
        <f>BY10-BY55</f>
        <v>0</v>
      </c>
      <c r="BZ74" s="274">
        <f>BZ10-BZ55</f>
        <v>0</v>
      </c>
      <c r="CA74" s="274">
        <f>CA10-CA55</f>
        <v>0</v>
      </c>
      <c r="CB74" s="274">
        <f>CB10-CB55</f>
        <v>0</v>
      </c>
      <c r="CC74" s="143" t="s">
        <v>51</v>
      </c>
      <c r="CD74" s="143" t="s">
        <v>51</v>
      </c>
      <c r="CE74" s="274">
        <f>CE10-CE55</f>
        <v>0</v>
      </c>
      <c r="CF74" s="274">
        <f>CF10-CF55</f>
        <v>0</v>
      </c>
      <c r="CG74" s="274">
        <f>CG10-CG55</f>
        <v>0</v>
      </c>
      <c r="CH74" s="274">
        <f>CH10-CH55</f>
        <v>0</v>
      </c>
      <c r="CI74" s="143" t="s">
        <v>51</v>
      </c>
      <c r="CJ74" s="143" t="s">
        <v>51</v>
      </c>
      <c r="CK74" s="274">
        <f>CK10-CK55</f>
        <v>0</v>
      </c>
      <c r="CL74" s="274">
        <f>CL10-CL55</f>
        <v>0</v>
      </c>
      <c r="CM74" s="274">
        <f>CM10-CM55</f>
        <v>0</v>
      </c>
      <c r="CN74" s="274">
        <f>CN10-CN55</f>
        <v>0</v>
      </c>
      <c r="CO74" s="143" t="s">
        <v>51</v>
      </c>
      <c r="CP74" s="143" t="s">
        <v>51</v>
      </c>
      <c r="CQ74" s="274">
        <f>CQ10-CQ55</f>
        <v>0</v>
      </c>
      <c r="CR74" s="274">
        <f>CR10-CR55</f>
        <v>0</v>
      </c>
      <c r="CS74" s="274">
        <f>CS10-CS55</f>
        <v>0</v>
      </c>
      <c r="CT74" s="274">
        <f>CT10-CT55</f>
        <v>0</v>
      </c>
      <c r="CU74" s="143" t="s">
        <v>51</v>
      </c>
      <c r="CV74" s="143" t="s">
        <v>51</v>
      </c>
      <c r="CW74" s="274">
        <f>CW10-CW55</f>
        <v>0</v>
      </c>
      <c r="CX74" s="274">
        <f>CX10-CX55</f>
        <v>0</v>
      </c>
      <c r="CY74" s="274">
        <f>CY10-CY55</f>
        <v>0</v>
      </c>
      <c r="CZ74" s="274">
        <f>CZ10-CZ55</f>
        <v>0</v>
      </c>
      <c r="DA74" s="143" t="s">
        <v>51</v>
      </c>
      <c r="DB74" s="143" t="s">
        <v>51</v>
      </c>
      <c r="DC74" s="274">
        <f>DC10-DC55</f>
        <v>0</v>
      </c>
      <c r="DD74" s="274">
        <f>DD10-DD55</f>
        <v>0</v>
      </c>
      <c r="DE74" s="274">
        <f>DE10-DE55</f>
        <v>0</v>
      </c>
      <c r="DF74" s="274">
        <f>DF10-DF55</f>
        <v>0</v>
      </c>
      <c r="DG74" s="143" t="s">
        <v>51</v>
      </c>
      <c r="DH74" s="143" t="s">
        <v>51</v>
      </c>
      <c r="DI74" s="274">
        <f>DI10-DI55</f>
        <v>0</v>
      </c>
      <c r="DJ74" s="274">
        <f>DJ10-DJ55</f>
        <v>0</v>
      </c>
      <c r="DK74" s="274">
        <f>DK10-DK55</f>
        <v>-1344</v>
      </c>
      <c r="DL74" s="274">
        <f>DL10-DL55</f>
        <v>0</v>
      </c>
      <c r="DM74" s="143" t="s">
        <v>51</v>
      </c>
      <c r="DN74" s="143" t="s">
        <v>51</v>
      </c>
      <c r="DO74" s="274" t="e">
        <f t="shared" ref="DO74:DR74" si="114">DO10-DO55</f>
        <v>#REF!</v>
      </c>
      <c r="DP74" s="274" t="e">
        <f t="shared" si="114"/>
        <v>#REF!</v>
      </c>
      <c r="DQ74" s="274" t="e">
        <f t="shared" si="114"/>
        <v>#REF!</v>
      </c>
      <c r="DR74" s="274" t="e">
        <f t="shared" si="114"/>
        <v>#REF!</v>
      </c>
      <c r="DS74" s="274">
        <f>DS10-DS55</f>
        <v>-53874</v>
      </c>
      <c r="DT74" s="274">
        <f>DT10-DT55</f>
        <v>0</v>
      </c>
      <c r="DU74" s="143" t="s">
        <v>51</v>
      </c>
      <c r="DV74" s="143" t="s">
        <v>51</v>
      </c>
      <c r="DW74" s="233" t="s">
        <v>51</v>
      </c>
      <c r="DX74" s="198" t="s">
        <v>51</v>
      </c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  <c r="IV74" s="71"/>
      <c r="IW74" s="71"/>
      <c r="IX74" s="71"/>
      <c r="IY74" s="71"/>
      <c r="IZ74" s="71"/>
      <c r="JA74" s="71"/>
      <c r="JB74" s="71"/>
      <c r="JC74" s="71"/>
      <c r="JD74" s="71"/>
      <c r="JE74" s="71"/>
      <c r="JF74" s="71"/>
      <c r="JG74" s="71"/>
      <c r="JH74" s="71"/>
    </row>
    <row r="75" spans="1:268" s="75" customFormat="1" ht="18" customHeight="1">
      <c r="A75" s="351" t="s">
        <v>52</v>
      </c>
      <c r="B75" s="284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44" t="s">
        <v>51</v>
      </c>
      <c r="DN75" s="144" t="s">
        <v>51</v>
      </c>
      <c r="DO75" s="133" t="e">
        <f>IF(DO74&gt;0,"-",-DO74/(DO12-DO14))</f>
        <v>#REF!</v>
      </c>
      <c r="DP75" s="133" t="e">
        <f>IF(DP74&gt;0,"-",-DP74/(DP12-DP14))</f>
        <v>#REF!</v>
      </c>
      <c r="DQ75" s="133">
        <v>0</v>
      </c>
      <c r="DR75" s="133">
        <v>0</v>
      </c>
      <c r="DS75" s="133"/>
      <c r="DT75" s="133"/>
      <c r="DU75" s="144" t="s">
        <v>51</v>
      </c>
      <c r="DV75" s="144" t="s">
        <v>51</v>
      </c>
      <c r="DW75" s="232" t="s">
        <v>51</v>
      </c>
      <c r="DX75" s="199" t="s">
        <v>51</v>
      </c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4"/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  <c r="IM75" s="74"/>
      <c r="IN75" s="74"/>
      <c r="IO75" s="74"/>
      <c r="IP75" s="74"/>
      <c r="IQ75" s="74"/>
      <c r="IR75" s="74"/>
      <c r="IS75" s="74"/>
      <c r="IT75" s="74"/>
      <c r="IU75" s="74"/>
      <c r="IV75" s="74"/>
      <c r="IW75" s="74"/>
      <c r="IX75" s="74"/>
      <c r="IY75" s="74"/>
      <c r="IZ75" s="74"/>
      <c r="JA75" s="74"/>
      <c r="JB75" s="74"/>
      <c r="JC75" s="74"/>
      <c r="JD75" s="74"/>
      <c r="JE75" s="74"/>
      <c r="JF75" s="74"/>
      <c r="JG75" s="74"/>
      <c r="JH75" s="74"/>
    </row>
    <row r="76" spans="1:268" s="75" customFormat="1" ht="26.25" customHeight="1">
      <c r="A76" s="359" t="s">
        <v>127</v>
      </c>
      <c r="B76" s="307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  <c r="AB76" s="231"/>
      <c r="AC76" s="231"/>
      <c r="AD76" s="231"/>
      <c r="AE76" s="231"/>
      <c r="AF76" s="231"/>
      <c r="AG76" s="231"/>
      <c r="AH76" s="231"/>
      <c r="AI76" s="231"/>
      <c r="AJ76" s="231"/>
      <c r="AK76" s="231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  <c r="AY76" s="231"/>
      <c r="AZ76" s="231"/>
      <c r="BA76" s="231"/>
      <c r="BB76" s="231"/>
      <c r="BC76" s="144"/>
      <c r="BD76" s="144"/>
      <c r="BE76" s="231"/>
      <c r="BF76" s="231"/>
      <c r="BG76" s="231"/>
      <c r="BH76" s="231"/>
      <c r="BI76" s="231"/>
      <c r="BJ76" s="231"/>
      <c r="BK76" s="144"/>
      <c r="BL76" s="144"/>
      <c r="BM76" s="231"/>
      <c r="BN76" s="231"/>
      <c r="BO76" s="231"/>
      <c r="BP76" s="231"/>
      <c r="BQ76" s="144"/>
      <c r="BR76" s="144"/>
      <c r="BS76" s="231"/>
      <c r="BT76" s="231"/>
      <c r="BU76" s="231"/>
      <c r="BV76" s="231"/>
      <c r="BW76" s="144"/>
      <c r="BX76" s="144"/>
      <c r="BY76" s="231"/>
      <c r="BZ76" s="231"/>
      <c r="CA76" s="231"/>
      <c r="CB76" s="231"/>
      <c r="CC76" s="144"/>
      <c r="CD76" s="144"/>
      <c r="CE76" s="231"/>
      <c r="CF76" s="231"/>
      <c r="CG76" s="231"/>
      <c r="CH76" s="231"/>
      <c r="CI76" s="144"/>
      <c r="CJ76" s="144"/>
      <c r="CK76" s="231"/>
      <c r="CL76" s="231"/>
      <c r="CM76" s="231"/>
      <c r="CN76" s="231"/>
      <c r="CO76" s="144"/>
      <c r="CP76" s="144"/>
      <c r="CQ76" s="231"/>
      <c r="CR76" s="231"/>
      <c r="CS76" s="231"/>
      <c r="CT76" s="231"/>
      <c r="CU76" s="144"/>
      <c r="CV76" s="144"/>
      <c r="CW76" s="231"/>
      <c r="CX76" s="231"/>
      <c r="CY76" s="231"/>
      <c r="CZ76" s="231"/>
      <c r="DA76" s="144"/>
      <c r="DB76" s="144"/>
      <c r="DC76" s="231"/>
      <c r="DD76" s="231"/>
      <c r="DE76" s="231"/>
      <c r="DF76" s="231"/>
      <c r="DG76" s="144"/>
      <c r="DH76" s="144"/>
      <c r="DI76" s="231"/>
      <c r="DJ76" s="231"/>
      <c r="DK76" s="231"/>
      <c r="DL76" s="231"/>
      <c r="DM76" s="144" t="s">
        <v>51</v>
      </c>
      <c r="DN76" s="144" t="s">
        <v>51</v>
      </c>
      <c r="DO76" s="231" t="e">
        <f>IF(OR(DO12-DO14=0,DO74&gt;=0),"-",IF(AND(DO78&lt;=0,DO87&lt;=0),(-DO74)/(DO12-DO14),IF(AND(DO87&gt;0,DO78&lt;=0),(-DO74-DO87)/(DO12-DO14),IF(AND(DO87&lt;=0,DO78&gt;0),(-DO74-DO78)/(DO12-DO14),(-DO74-DO78-DO87)/(DO12-DO14)))))</f>
        <v>#REF!</v>
      </c>
      <c r="DP76" s="231" t="e">
        <f>IF(OR(DP12-DP14=0,DP74&gt;=0),"-",IF(AND(DP78&lt;=0,DP87&lt;=0),(-DP74)/(DP12-DP14),IF(AND(DP87&gt;0,DP78&lt;=0),(-DP74-DP87)/(DP12-DP14),IF(AND(DP87&lt;=0,DP78&gt;0),(-DP74-DP78)/(DP12-DP14),(-DP74-DP78-DP87)/(DP12-DP14)))))</f>
        <v>#REF!</v>
      </c>
      <c r="DQ76" s="231" t="e">
        <f>IF(OR(DQ12-DQ14=0,DQ74&gt;=0),"-",IF(AND(DQ78&lt;=0,DQ87&lt;=0),(-DQ74)/(DQ12-DQ14),IF(AND(DQ87&gt;0,DQ78&lt;=0),(-DQ74-DQ87)/(DQ12-DQ14),IF(AND(DQ87&lt;=0,DQ78&gt;0),(-DQ74-DQ78)/(DQ12-DQ14),(-DQ74-DQ78-DQ87)/(DQ12-DQ14)))))</f>
        <v>#REF!</v>
      </c>
      <c r="DR76" s="231" t="e">
        <f>IF(OR(DR12-DR14=0,DR74&gt;=0),"-",IF(AND(DR78&lt;=0,DR87&lt;=0),(-DR74)/(DR12-DR14),IF(AND(DR87&gt;0,DR78&lt;=0),(-DR74-DR87)/(DR12-DR14),IF(AND(DR87&lt;=0,DR78&gt;0),(-DR74-DR78)/(DR12-DR14),(-DR74-DR78-DR87)/(DR12-DR14)))))</f>
        <v>#REF!</v>
      </c>
      <c r="DS76" s="231"/>
      <c r="DT76" s="231"/>
      <c r="DU76" s="144" t="s">
        <v>51</v>
      </c>
      <c r="DV76" s="144" t="s">
        <v>51</v>
      </c>
      <c r="DW76" s="232" t="s">
        <v>51</v>
      </c>
      <c r="DX76" s="199" t="s">
        <v>51</v>
      </c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74"/>
      <c r="HK76" s="74"/>
      <c r="HL76" s="74"/>
      <c r="HM76" s="74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74"/>
      <c r="HY76" s="74"/>
      <c r="HZ76" s="74"/>
      <c r="IA76" s="74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74"/>
      <c r="IM76" s="74"/>
      <c r="IN76" s="74"/>
      <c r="IO76" s="74"/>
      <c r="IP76" s="74"/>
      <c r="IQ76" s="74"/>
      <c r="IR76" s="74"/>
      <c r="IS76" s="74"/>
      <c r="IT76" s="74"/>
      <c r="IU76" s="74"/>
      <c r="IV76" s="74"/>
      <c r="IW76" s="74"/>
      <c r="IX76" s="74"/>
      <c r="IY76" s="74"/>
      <c r="IZ76" s="74"/>
      <c r="JA76" s="74"/>
      <c r="JB76" s="74"/>
      <c r="JC76" s="74"/>
      <c r="JD76" s="74"/>
      <c r="JE76" s="74"/>
      <c r="JF76" s="74"/>
      <c r="JG76" s="74"/>
      <c r="JH76" s="74"/>
    </row>
    <row r="77" spans="1:268" s="77" customFormat="1" ht="32.25" customHeight="1">
      <c r="A77" s="341" t="s">
        <v>53</v>
      </c>
      <c r="B77" s="280"/>
      <c r="C77" s="267">
        <f t="shared" ref="C77:D77" si="115">C78+C81+C84+C87</f>
        <v>-7125</v>
      </c>
      <c r="D77" s="267">
        <f t="shared" si="115"/>
        <v>-829</v>
      </c>
      <c r="E77" s="267">
        <f t="shared" ref="E77:F77" si="116">E78+E81+E84+E87</f>
        <v>-13617</v>
      </c>
      <c r="F77" s="267">
        <f t="shared" si="116"/>
        <v>2284</v>
      </c>
      <c r="G77" s="267">
        <f>G78+G81+G84+G87</f>
        <v>22325</v>
      </c>
      <c r="H77" s="267">
        <f t="shared" ref="H77:N77" si="117">H78+H81+H84+H87</f>
        <v>4514</v>
      </c>
      <c r="I77" s="267">
        <f t="shared" ref="I77" si="118">I78+I81+I84+I87</f>
        <v>0</v>
      </c>
      <c r="J77" s="267">
        <f t="shared" ref="J77" si="119">J78+J81+J84+J87</f>
        <v>0</v>
      </c>
      <c r="K77" s="267">
        <f t="shared" ref="K77" si="120">K78+K81+K84+K87</f>
        <v>0</v>
      </c>
      <c r="L77" s="267">
        <f t="shared" ref="L77" si="121">L78+L81+L84+L87</f>
        <v>0</v>
      </c>
      <c r="M77" s="267">
        <f t="shared" si="117"/>
        <v>0</v>
      </c>
      <c r="N77" s="267">
        <f t="shared" si="117"/>
        <v>0</v>
      </c>
      <c r="O77" s="267">
        <f t="shared" ref="O77" si="122">O78+O81+O84+O87</f>
        <v>0</v>
      </c>
      <c r="P77" s="267">
        <f t="shared" ref="P77" si="123">P78+P81+P84+P87</f>
        <v>0</v>
      </c>
      <c r="Q77" s="267">
        <f>Q78+Q81+Q84+Q87</f>
        <v>0</v>
      </c>
      <c r="R77" s="267">
        <f t="shared" ref="R77" si="124">R78+R81+R84+R87</f>
        <v>0</v>
      </c>
      <c r="S77" s="267">
        <f t="shared" ref="S77" si="125">S78+S81+S84+S87</f>
        <v>0</v>
      </c>
      <c r="T77" s="267">
        <f t="shared" ref="T77" si="126">T78+T81+T84+T87</f>
        <v>0</v>
      </c>
      <c r="U77" s="267">
        <f>U78+U81+U84+U87</f>
        <v>0</v>
      </c>
      <c r="V77" s="267">
        <f t="shared" ref="V77" si="127">V78+V81+V84+V87</f>
        <v>0</v>
      </c>
      <c r="W77" s="267">
        <f t="shared" ref="W77" si="128">W78+W81+W84+W87</f>
        <v>0</v>
      </c>
      <c r="X77" s="267">
        <f t="shared" ref="X77" si="129">X78+X81+X84+X87</f>
        <v>0</v>
      </c>
      <c r="Y77" s="267">
        <f>Y78+Y81+Y84+Y87</f>
        <v>0</v>
      </c>
      <c r="Z77" s="267">
        <f t="shared" ref="Z77" si="130">Z78+Z81+Z84+Z87</f>
        <v>0</v>
      </c>
      <c r="AA77" s="267">
        <f t="shared" ref="AA77" si="131">AA78+AA81+AA84+AA87</f>
        <v>0</v>
      </c>
      <c r="AB77" s="267">
        <f t="shared" ref="AB77" si="132">AB78+AB81+AB84+AB87</f>
        <v>0</v>
      </c>
      <c r="AC77" s="267">
        <f>AC78+AC81+AC84+AC87</f>
        <v>0</v>
      </c>
      <c r="AD77" s="267">
        <f t="shared" ref="AD77" si="133">AD78+AD81+AD84+AD87</f>
        <v>0</v>
      </c>
      <c r="AE77" s="267">
        <f t="shared" ref="AE77" si="134">AE78+AE81+AE84+AE87</f>
        <v>0</v>
      </c>
      <c r="AF77" s="267">
        <f t="shared" ref="AF77" si="135">AF78+AF81+AF84+AF87</f>
        <v>0</v>
      </c>
      <c r="AG77" s="267">
        <f>AG78+AG81+AG84+AG87</f>
        <v>0</v>
      </c>
      <c r="AH77" s="267">
        <f t="shared" ref="AH77" si="136">AH78+AH81+AH84+AH87</f>
        <v>0</v>
      </c>
      <c r="AI77" s="267">
        <f t="shared" ref="AI77" si="137">AI78+AI81+AI84+AI87</f>
        <v>0</v>
      </c>
      <c r="AJ77" s="267">
        <f t="shared" ref="AJ77" si="138">AJ78+AJ81+AJ84+AJ87</f>
        <v>0</v>
      </c>
      <c r="AK77" s="267">
        <f>AK78+AK81+AK84+AK87</f>
        <v>0</v>
      </c>
      <c r="AL77" s="267">
        <f t="shared" ref="AL77" si="139">AL78+AL81+AL84+AL87</f>
        <v>0</v>
      </c>
      <c r="AM77" s="267">
        <f t="shared" ref="AM77" si="140">AM78+AM81+AM84+AM87</f>
        <v>0</v>
      </c>
      <c r="AN77" s="267">
        <f t="shared" ref="AN77" si="141">AN78+AN81+AN84+AN87</f>
        <v>0</v>
      </c>
      <c r="AO77" s="267">
        <f>AO78+AO81+AO84+AO87</f>
        <v>0</v>
      </c>
      <c r="AP77" s="267">
        <f t="shared" ref="AP77" si="142">AP78+AP81+AP84+AP87</f>
        <v>0</v>
      </c>
      <c r="AQ77" s="267">
        <f t="shared" ref="AQ77" si="143">AQ78+AQ81+AQ84+AQ87</f>
        <v>0</v>
      </c>
      <c r="AR77" s="267">
        <f t="shared" ref="AR77" si="144">AR78+AR81+AR84+AR87</f>
        <v>0</v>
      </c>
      <c r="AS77" s="267">
        <f>AS78+AS81+AS84+AS87</f>
        <v>0</v>
      </c>
      <c r="AT77" s="267">
        <f t="shared" ref="AT77" si="145">AT78+AT81+AT84+AT87</f>
        <v>0</v>
      </c>
      <c r="AU77" s="267">
        <f t="shared" ref="AU77" si="146">AU78+AU81+AU84+AU87</f>
        <v>0</v>
      </c>
      <c r="AV77" s="267">
        <f t="shared" ref="AV77" si="147">AV78+AV81+AV84+AV87</f>
        <v>0</v>
      </c>
      <c r="AW77" s="267">
        <f>AW78+AW81+AW84+AW87</f>
        <v>13430</v>
      </c>
      <c r="AX77" s="267">
        <f t="shared" ref="AX77" si="148">AX78+AX81+AX84+AX87</f>
        <v>-2431</v>
      </c>
      <c r="AY77" s="267">
        <f t="shared" ref="AY77" si="149">AY78+AY81+AY84+AY87</f>
        <v>0</v>
      </c>
      <c r="AZ77" s="267">
        <f t="shared" ref="AZ77" si="150">AZ78+AZ81+AZ84+AZ87</f>
        <v>0</v>
      </c>
      <c r="BA77" s="267">
        <f t="shared" ref="BA77" si="151">BA78+BA81+BA84+BA87</f>
        <v>18973</v>
      </c>
      <c r="BB77" s="267">
        <f t="shared" ref="BB77" si="152">BB78+BB81+BB84+BB87</f>
        <v>0</v>
      </c>
      <c r="BC77" s="143" t="s">
        <v>51</v>
      </c>
      <c r="BD77" s="143" t="s">
        <v>51</v>
      </c>
      <c r="BE77" s="267">
        <f t="shared" ref="BE77" si="153">BE78+BE81+BE84+BE87</f>
        <v>0</v>
      </c>
      <c r="BF77" s="267">
        <f t="shared" ref="BF77" si="154">BF78+BF81+BF84+BF87</f>
        <v>0</v>
      </c>
      <c r="BG77" s="267">
        <f t="shared" ref="BG77" si="155">BG78+BG81+BG84+BG87</f>
        <v>0</v>
      </c>
      <c r="BH77" s="267">
        <f t="shared" ref="BH77" si="156">BH78+BH81+BH84+BH87</f>
        <v>0</v>
      </c>
      <c r="BI77" s="267">
        <f t="shared" ref="BI77:DL77" si="157">BI78+BI81+BI84+BI87</f>
        <v>0</v>
      </c>
      <c r="BJ77" s="267">
        <f t="shared" si="157"/>
        <v>0</v>
      </c>
      <c r="BK77" s="143" t="s">
        <v>51</v>
      </c>
      <c r="BL77" s="143" t="s">
        <v>51</v>
      </c>
      <c r="BM77" s="267">
        <f t="shared" ref="BM77" si="158">BM78+BM81+BM84+BM87</f>
        <v>0</v>
      </c>
      <c r="BN77" s="267">
        <f t="shared" ref="BN77" si="159">BN78+BN81+BN84+BN87</f>
        <v>0</v>
      </c>
      <c r="BO77" s="267">
        <f t="shared" si="157"/>
        <v>0</v>
      </c>
      <c r="BP77" s="267">
        <f t="shared" si="157"/>
        <v>0</v>
      </c>
      <c r="BQ77" s="143" t="s">
        <v>51</v>
      </c>
      <c r="BR77" s="143" t="s">
        <v>51</v>
      </c>
      <c r="BS77" s="267">
        <f t="shared" ref="BS77" si="160">BS78+BS81+BS84+BS87</f>
        <v>0</v>
      </c>
      <c r="BT77" s="267">
        <f t="shared" ref="BT77" si="161">BT78+BT81+BT84+BT87</f>
        <v>0</v>
      </c>
      <c r="BU77" s="267">
        <f t="shared" si="157"/>
        <v>0</v>
      </c>
      <c r="BV77" s="267">
        <f t="shared" si="157"/>
        <v>0</v>
      </c>
      <c r="BW77" s="143" t="s">
        <v>51</v>
      </c>
      <c r="BX77" s="143" t="s">
        <v>51</v>
      </c>
      <c r="BY77" s="267">
        <f t="shared" ref="BY77" si="162">BY78+BY81+BY84+BY87</f>
        <v>0</v>
      </c>
      <c r="BZ77" s="267">
        <f t="shared" ref="BZ77" si="163">BZ78+BZ81+BZ84+BZ87</f>
        <v>0</v>
      </c>
      <c r="CA77" s="267">
        <f t="shared" si="157"/>
        <v>0</v>
      </c>
      <c r="CB77" s="267">
        <f t="shared" si="157"/>
        <v>0</v>
      </c>
      <c r="CC77" s="143" t="s">
        <v>51</v>
      </c>
      <c r="CD77" s="143" t="s">
        <v>51</v>
      </c>
      <c r="CE77" s="267">
        <f t="shared" ref="CE77" si="164">CE78+CE81+CE84+CE87</f>
        <v>0</v>
      </c>
      <c r="CF77" s="267">
        <f t="shared" ref="CF77" si="165">CF78+CF81+CF84+CF87</f>
        <v>0</v>
      </c>
      <c r="CG77" s="267">
        <f t="shared" si="157"/>
        <v>0</v>
      </c>
      <c r="CH77" s="267">
        <f t="shared" si="157"/>
        <v>0</v>
      </c>
      <c r="CI77" s="143" t="s">
        <v>51</v>
      </c>
      <c r="CJ77" s="143" t="s">
        <v>51</v>
      </c>
      <c r="CK77" s="267">
        <f t="shared" ref="CK77" si="166">CK78+CK81+CK84+CK87</f>
        <v>0</v>
      </c>
      <c r="CL77" s="267">
        <f t="shared" ref="CL77" si="167">CL78+CL81+CL84+CL87</f>
        <v>0</v>
      </c>
      <c r="CM77" s="267">
        <f t="shared" si="157"/>
        <v>0</v>
      </c>
      <c r="CN77" s="267">
        <f t="shared" si="157"/>
        <v>0</v>
      </c>
      <c r="CO77" s="143" t="s">
        <v>51</v>
      </c>
      <c r="CP77" s="143" t="s">
        <v>51</v>
      </c>
      <c r="CQ77" s="267">
        <f t="shared" ref="CQ77" si="168">CQ78+CQ81+CQ84+CQ87</f>
        <v>0</v>
      </c>
      <c r="CR77" s="267">
        <f t="shared" ref="CR77" si="169">CR78+CR81+CR84+CR87</f>
        <v>0</v>
      </c>
      <c r="CS77" s="267">
        <f t="shared" si="157"/>
        <v>0</v>
      </c>
      <c r="CT77" s="267">
        <f t="shared" si="157"/>
        <v>0</v>
      </c>
      <c r="CU77" s="143" t="s">
        <v>51</v>
      </c>
      <c r="CV77" s="143" t="s">
        <v>51</v>
      </c>
      <c r="CW77" s="267">
        <f t="shared" ref="CW77" si="170">CW78+CW81+CW84+CW87</f>
        <v>0</v>
      </c>
      <c r="CX77" s="267">
        <f t="shared" ref="CX77" si="171">CX78+CX81+CX84+CX87</f>
        <v>0</v>
      </c>
      <c r="CY77" s="267">
        <f t="shared" si="157"/>
        <v>0</v>
      </c>
      <c r="CZ77" s="267">
        <f t="shared" si="157"/>
        <v>0</v>
      </c>
      <c r="DA77" s="143" t="s">
        <v>51</v>
      </c>
      <c r="DB77" s="143" t="s">
        <v>51</v>
      </c>
      <c r="DC77" s="267">
        <f t="shared" ref="DC77" si="172">DC78+DC81+DC84+DC87</f>
        <v>0</v>
      </c>
      <c r="DD77" s="267">
        <f t="shared" ref="DD77" si="173">DD78+DD81+DD84+DD87</f>
        <v>0</v>
      </c>
      <c r="DE77" s="267">
        <f t="shared" si="157"/>
        <v>0</v>
      </c>
      <c r="DF77" s="267">
        <f t="shared" si="157"/>
        <v>0</v>
      </c>
      <c r="DG77" s="143" t="s">
        <v>51</v>
      </c>
      <c r="DH77" s="143" t="s">
        <v>51</v>
      </c>
      <c r="DI77" s="267">
        <f t="shared" ref="DI77" si="174">DI78+DI81+DI84+DI87</f>
        <v>0</v>
      </c>
      <c r="DJ77" s="267">
        <f t="shared" ref="DJ77" si="175">DJ78+DJ81+DJ84+DJ87</f>
        <v>0</v>
      </c>
      <c r="DK77" s="267">
        <f t="shared" si="157"/>
        <v>1344</v>
      </c>
      <c r="DL77" s="267">
        <f t="shared" si="157"/>
        <v>0</v>
      </c>
      <c r="DM77" s="143" t="s">
        <v>51</v>
      </c>
      <c r="DN77" s="143" t="s">
        <v>51</v>
      </c>
      <c r="DO77" s="267" t="e">
        <f t="shared" ref="DO77" si="176">DO78+DO81+DO84+DO87</f>
        <v>#REF!</v>
      </c>
      <c r="DP77" s="267" t="e">
        <f t="shared" ref="DP77" si="177">DP78+DP81+DP84+DP87</f>
        <v>#REF!</v>
      </c>
      <c r="DQ77" s="267" t="e">
        <f t="shared" ref="DQ77" si="178">DQ78+DQ81+DQ84+DQ87</f>
        <v>#REF!</v>
      </c>
      <c r="DR77" s="267" t="e">
        <f t="shared" ref="DR77" si="179">DR78+DR81+DR84+DR87</f>
        <v>#REF!</v>
      </c>
      <c r="DS77" s="267">
        <f t="shared" ref="DS77" si="180">DS78+DS81+DS84+DS87</f>
        <v>53874</v>
      </c>
      <c r="DT77" s="241">
        <f t="shared" ref="DT77" si="181">DT78+DT81+DT84+DT87</f>
        <v>0</v>
      </c>
      <c r="DU77" s="143" t="s">
        <v>51</v>
      </c>
      <c r="DV77" s="143" t="s">
        <v>51</v>
      </c>
      <c r="DW77" s="233" t="s">
        <v>51</v>
      </c>
      <c r="DX77" s="198" t="s">
        <v>51</v>
      </c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</row>
    <row r="78" spans="1:268" s="75" customFormat="1" ht="35.25" customHeight="1">
      <c r="A78" s="355" t="s">
        <v>54</v>
      </c>
      <c r="B78" s="301"/>
      <c r="C78" s="148">
        <f>C79-C80</f>
        <v>-17174</v>
      </c>
      <c r="D78" s="148">
        <f t="shared" ref="D78:F78" si="182">D79-D80</f>
        <v>-17174</v>
      </c>
      <c r="E78" s="148">
        <f t="shared" si="182"/>
        <v>-2793</v>
      </c>
      <c r="F78" s="148">
        <f t="shared" si="182"/>
        <v>-2793</v>
      </c>
      <c r="G78" s="148">
        <f t="shared" ref="G78:H78" si="183">G79-G80</f>
        <v>18170</v>
      </c>
      <c r="H78" s="148">
        <f t="shared" si="183"/>
        <v>18170</v>
      </c>
      <c r="I78" s="148">
        <f t="shared" ref="I78:L78" si="184">I79-I80</f>
        <v>0</v>
      </c>
      <c r="J78" s="148">
        <f t="shared" si="184"/>
        <v>0</v>
      </c>
      <c r="K78" s="148">
        <f t="shared" si="184"/>
        <v>0</v>
      </c>
      <c r="L78" s="148">
        <f t="shared" si="184"/>
        <v>0</v>
      </c>
      <c r="M78" s="148">
        <f t="shared" ref="M78:R78" si="185">M79-M80</f>
        <v>0</v>
      </c>
      <c r="N78" s="148">
        <f t="shared" si="185"/>
        <v>0</v>
      </c>
      <c r="O78" s="148">
        <f t="shared" ref="O78:P78" si="186">O79-O80</f>
        <v>0</v>
      </c>
      <c r="P78" s="148">
        <f t="shared" si="186"/>
        <v>0</v>
      </c>
      <c r="Q78" s="148">
        <f t="shared" si="185"/>
        <v>0</v>
      </c>
      <c r="R78" s="148">
        <f t="shared" si="185"/>
        <v>0</v>
      </c>
      <c r="S78" s="148">
        <f t="shared" ref="S78:T78" si="187">S79-S80</f>
        <v>0</v>
      </c>
      <c r="T78" s="148">
        <f t="shared" si="187"/>
        <v>0</v>
      </c>
      <c r="U78" s="148">
        <f t="shared" ref="U78:X78" si="188">U79-U80</f>
        <v>0</v>
      </c>
      <c r="V78" s="148">
        <f t="shared" si="188"/>
        <v>0</v>
      </c>
      <c r="W78" s="148">
        <f t="shared" si="188"/>
        <v>0</v>
      </c>
      <c r="X78" s="148">
        <f t="shared" si="188"/>
        <v>0</v>
      </c>
      <c r="Y78" s="148">
        <f t="shared" ref="Y78:AB78" si="189">Y79-Y80</f>
        <v>0</v>
      </c>
      <c r="Z78" s="148">
        <f t="shared" si="189"/>
        <v>0</v>
      </c>
      <c r="AA78" s="148">
        <f t="shared" si="189"/>
        <v>0</v>
      </c>
      <c r="AB78" s="148">
        <f t="shared" si="189"/>
        <v>0</v>
      </c>
      <c r="AC78" s="148">
        <f t="shared" ref="AC78:AF78" si="190">AC79-AC80</f>
        <v>0</v>
      </c>
      <c r="AD78" s="148">
        <f t="shared" si="190"/>
        <v>0</v>
      </c>
      <c r="AE78" s="148">
        <f t="shared" si="190"/>
        <v>0</v>
      </c>
      <c r="AF78" s="148">
        <f t="shared" si="190"/>
        <v>0</v>
      </c>
      <c r="AG78" s="148">
        <f t="shared" ref="AG78:AJ78" si="191">AG79-AG80</f>
        <v>0</v>
      </c>
      <c r="AH78" s="148">
        <f t="shared" si="191"/>
        <v>0</v>
      </c>
      <c r="AI78" s="148">
        <f t="shared" si="191"/>
        <v>0</v>
      </c>
      <c r="AJ78" s="148">
        <f t="shared" si="191"/>
        <v>0</v>
      </c>
      <c r="AK78" s="148">
        <f t="shared" ref="AK78:AN78" si="192">AK79-AK80</f>
        <v>0</v>
      </c>
      <c r="AL78" s="148">
        <f t="shared" si="192"/>
        <v>0</v>
      </c>
      <c r="AM78" s="148">
        <f t="shared" si="192"/>
        <v>0</v>
      </c>
      <c r="AN78" s="148">
        <f t="shared" si="192"/>
        <v>0</v>
      </c>
      <c r="AO78" s="148">
        <f t="shared" ref="AO78:AR78" si="193">AO79-AO80</f>
        <v>0</v>
      </c>
      <c r="AP78" s="148">
        <f t="shared" si="193"/>
        <v>0</v>
      </c>
      <c r="AQ78" s="148">
        <f t="shared" si="193"/>
        <v>0</v>
      </c>
      <c r="AR78" s="148">
        <f t="shared" si="193"/>
        <v>0</v>
      </c>
      <c r="AS78" s="148">
        <f t="shared" ref="AS78:AV78" si="194">AS79-AS80</f>
        <v>0</v>
      </c>
      <c r="AT78" s="148">
        <f t="shared" si="194"/>
        <v>0</v>
      </c>
      <c r="AU78" s="148">
        <f t="shared" si="194"/>
        <v>0</v>
      </c>
      <c r="AV78" s="148">
        <f t="shared" si="194"/>
        <v>0</v>
      </c>
      <c r="AW78" s="148">
        <f t="shared" ref="AW78:BB78" si="195">AW79-AW80</f>
        <v>0</v>
      </c>
      <c r="AX78" s="148">
        <f t="shared" si="195"/>
        <v>0</v>
      </c>
      <c r="AY78" s="148">
        <f t="shared" si="195"/>
        <v>0</v>
      </c>
      <c r="AZ78" s="148">
        <f t="shared" si="195"/>
        <v>0</v>
      </c>
      <c r="BA78" s="148">
        <f t="shared" si="195"/>
        <v>-6970</v>
      </c>
      <c r="BB78" s="148">
        <f t="shared" si="195"/>
        <v>0</v>
      </c>
      <c r="BC78" s="133">
        <f t="shared" ref="BC78" si="196">IF(G78=0,1,BA78/G78-1)</f>
        <v>-1.3835993395707209</v>
      </c>
      <c r="BD78" s="133">
        <f t="shared" ref="BD78" si="197">IF(H78=0,1,BB78/H78-1)</f>
        <v>-1</v>
      </c>
      <c r="BE78" s="148">
        <f t="shared" ref="BE78:BH78" si="198">BE79-BE80</f>
        <v>0</v>
      </c>
      <c r="BF78" s="148">
        <f t="shared" si="198"/>
        <v>0</v>
      </c>
      <c r="BG78" s="148">
        <f t="shared" si="198"/>
        <v>0</v>
      </c>
      <c r="BH78" s="148">
        <f t="shared" si="198"/>
        <v>0</v>
      </c>
      <c r="BI78" s="148">
        <f t="shared" ref="BI78:DL78" si="199">BI79-BI80</f>
        <v>0</v>
      </c>
      <c r="BJ78" s="148">
        <f t="shared" si="199"/>
        <v>0</v>
      </c>
      <c r="BK78" s="133">
        <f t="shared" ref="BK78:BK87" si="200">IF(M78=0,1,BI78/M78-1)</f>
        <v>1</v>
      </c>
      <c r="BL78" s="133">
        <f t="shared" ref="BL78:BL87" si="201">IF(N78=0,1,BJ78/N78-1)</f>
        <v>1</v>
      </c>
      <c r="BM78" s="148">
        <f t="shared" ref="BM78:BN78" si="202">BM79-BM80</f>
        <v>0</v>
      </c>
      <c r="BN78" s="148">
        <f t="shared" si="202"/>
        <v>0</v>
      </c>
      <c r="BO78" s="148">
        <f t="shared" si="199"/>
        <v>0</v>
      </c>
      <c r="BP78" s="148">
        <f t="shared" si="199"/>
        <v>0</v>
      </c>
      <c r="BQ78" s="133">
        <f t="shared" ref="BQ78:BQ87" si="203">IF(Q78=0,1,BO78/Q78-1)</f>
        <v>1</v>
      </c>
      <c r="BR78" s="133">
        <f t="shared" ref="BR78:BR87" si="204">IF(R78=0,1,BP78/R78-1)</f>
        <v>1</v>
      </c>
      <c r="BS78" s="148">
        <f t="shared" ref="BS78:BT78" si="205">BS79-BS80</f>
        <v>0</v>
      </c>
      <c r="BT78" s="148">
        <f t="shared" si="205"/>
        <v>0</v>
      </c>
      <c r="BU78" s="148">
        <f t="shared" si="199"/>
        <v>0</v>
      </c>
      <c r="BV78" s="148">
        <f t="shared" si="199"/>
        <v>0</v>
      </c>
      <c r="BW78" s="133">
        <f t="shared" ref="BW78:BW87" si="206">IF(U78=0,1,BU78/U78-1)</f>
        <v>1</v>
      </c>
      <c r="BX78" s="133">
        <f t="shared" ref="BX78:BX87" si="207">IF(V78=0,1,BV78/V78-1)</f>
        <v>1</v>
      </c>
      <c r="BY78" s="148">
        <f t="shared" ref="BY78:BZ78" si="208">BY79-BY80</f>
        <v>0</v>
      </c>
      <c r="BZ78" s="148">
        <f t="shared" si="208"/>
        <v>0</v>
      </c>
      <c r="CA78" s="148">
        <f t="shared" si="199"/>
        <v>0</v>
      </c>
      <c r="CB78" s="148">
        <f t="shared" si="199"/>
        <v>0</v>
      </c>
      <c r="CC78" s="133">
        <f t="shared" ref="CC78:CC87" si="209">IF(Y78=0,1,CA78/Y78-1)</f>
        <v>1</v>
      </c>
      <c r="CD78" s="133">
        <f t="shared" ref="CD78:CD87" si="210">IF(Z78=0,1,CB78/Z78-1)</f>
        <v>1</v>
      </c>
      <c r="CE78" s="148">
        <f t="shared" ref="CE78:CF78" si="211">CE79-CE80</f>
        <v>0</v>
      </c>
      <c r="CF78" s="148">
        <f t="shared" si="211"/>
        <v>0</v>
      </c>
      <c r="CG78" s="148">
        <f t="shared" si="199"/>
        <v>0</v>
      </c>
      <c r="CH78" s="148">
        <f t="shared" si="199"/>
        <v>0</v>
      </c>
      <c r="CI78" s="133">
        <f t="shared" ref="CI78:CI87" si="212">IF(AC78=0,1,CG78/AC78-1)</f>
        <v>1</v>
      </c>
      <c r="CJ78" s="133">
        <f t="shared" ref="CJ78:CJ87" si="213">IF(AD78=0,1,CH78/AD78-1)</f>
        <v>1</v>
      </c>
      <c r="CK78" s="148">
        <f t="shared" ref="CK78:CL78" si="214">CK79-CK80</f>
        <v>0</v>
      </c>
      <c r="CL78" s="148">
        <f t="shared" si="214"/>
        <v>0</v>
      </c>
      <c r="CM78" s="148">
        <f t="shared" si="199"/>
        <v>0</v>
      </c>
      <c r="CN78" s="148">
        <f t="shared" si="199"/>
        <v>0</v>
      </c>
      <c r="CO78" s="133">
        <f t="shared" ref="CO78:CO87" si="215">IF(AG78=0,1,CM78/AG78-1)</f>
        <v>1</v>
      </c>
      <c r="CP78" s="133">
        <f t="shared" ref="CP78:CP87" si="216">IF(AH78=0,1,CN78/AH78-1)</f>
        <v>1</v>
      </c>
      <c r="CQ78" s="148">
        <f t="shared" ref="CQ78:CR78" si="217">CQ79-CQ80</f>
        <v>0</v>
      </c>
      <c r="CR78" s="148">
        <f t="shared" si="217"/>
        <v>0</v>
      </c>
      <c r="CS78" s="148">
        <f t="shared" si="199"/>
        <v>0</v>
      </c>
      <c r="CT78" s="148">
        <f t="shared" si="199"/>
        <v>0</v>
      </c>
      <c r="CU78" s="133">
        <f t="shared" ref="CU78:CU87" si="218">IF(AK78=0,1,CS78/AK78-1)</f>
        <v>1</v>
      </c>
      <c r="CV78" s="133">
        <f t="shared" ref="CV78:CV87" si="219">IF(AL78=0,1,CT78/AL78-1)</f>
        <v>1</v>
      </c>
      <c r="CW78" s="148">
        <f t="shared" ref="CW78:CX78" si="220">CW79-CW80</f>
        <v>0</v>
      </c>
      <c r="CX78" s="148">
        <f t="shared" si="220"/>
        <v>0</v>
      </c>
      <c r="CY78" s="148">
        <f t="shared" si="199"/>
        <v>0</v>
      </c>
      <c r="CZ78" s="148">
        <f t="shared" si="199"/>
        <v>0</v>
      </c>
      <c r="DA78" s="133">
        <f t="shared" ref="DA78:DA87" si="221">IF(AO78=0,1,CY78/AO78-1)</f>
        <v>1</v>
      </c>
      <c r="DB78" s="133">
        <f t="shared" ref="DB78:DB87" si="222">IF(AP78=0,1,CZ78/AP78-1)</f>
        <v>1</v>
      </c>
      <c r="DC78" s="148">
        <f t="shared" ref="DC78:DD78" si="223">DC79-DC80</f>
        <v>0</v>
      </c>
      <c r="DD78" s="148">
        <f t="shared" si="223"/>
        <v>0</v>
      </c>
      <c r="DE78" s="148">
        <f t="shared" si="199"/>
        <v>0</v>
      </c>
      <c r="DF78" s="148">
        <f t="shared" si="199"/>
        <v>0</v>
      </c>
      <c r="DG78" s="133">
        <f t="shared" ref="DG78:DG87" si="224">IF(AS78=0,1,DE78/AS78-1)</f>
        <v>1</v>
      </c>
      <c r="DH78" s="133">
        <f t="shared" ref="DH78:DH87" si="225">IF(AT78=0,1,DF78/AT78-1)</f>
        <v>1</v>
      </c>
      <c r="DI78" s="148">
        <f t="shared" ref="DI78:DJ78" si="226">DI79-DI80</f>
        <v>0</v>
      </c>
      <c r="DJ78" s="148">
        <f t="shared" si="226"/>
        <v>0</v>
      </c>
      <c r="DK78" s="148">
        <f t="shared" si="199"/>
        <v>-1743</v>
      </c>
      <c r="DL78" s="148">
        <f t="shared" si="199"/>
        <v>0</v>
      </c>
      <c r="DM78" s="133">
        <f t="shared" ref="DM78" si="227">IF(AW78=0,1,DK78/AW78)</f>
        <v>1</v>
      </c>
      <c r="DN78" s="133">
        <f t="shared" ref="DN78" si="228">IF(AX78=0,1,DL78/AX78)</f>
        <v>1</v>
      </c>
      <c r="DO78" s="148">
        <f t="shared" ref="DO78:DT78" si="229">DO79-DO80</f>
        <v>0</v>
      </c>
      <c r="DP78" s="148">
        <f t="shared" si="229"/>
        <v>0</v>
      </c>
      <c r="DQ78" s="148">
        <f t="shared" si="229"/>
        <v>0</v>
      </c>
      <c r="DR78" s="148">
        <f t="shared" si="229"/>
        <v>0</v>
      </c>
      <c r="DS78" s="148">
        <f t="shared" si="229"/>
        <v>-6970</v>
      </c>
      <c r="DT78" s="148">
        <f t="shared" si="229"/>
        <v>0</v>
      </c>
      <c r="DU78" s="133">
        <f>IF($BA$10=0,1,DS78/$BA78)</f>
        <v>1</v>
      </c>
      <c r="DV78" s="133" t="e">
        <f>IF($BA$10=0,1,DT78/$BB78)</f>
        <v>#DIV/0!</v>
      </c>
      <c r="DW78" s="133">
        <f t="shared" ref="DW78:DW87" si="230">IF($G78=0,1,DS78/$G78)</f>
        <v>-0.38359933957072095</v>
      </c>
      <c r="DX78" s="247">
        <f t="shared" ref="DX78:DX87" si="231">IF($G78=0,1,DT78/$H78)</f>
        <v>0</v>
      </c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4"/>
      <c r="IE78" s="74"/>
      <c r="IF78" s="74"/>
      <c r="IG78" s="74"/>
      <c r="IH78" s="74"/>
      <c r="II78" s="74"/>
      <c r="IJ78" s="74"/>
      <c r="IK78" s="74"/>
      <c r="IL78" s="74"/>
      <c r="IM78" s="74"/>
      <c r="IN78" s="74"/>
      <c r="IO78" s="74"/>
      <c r="IP78" s="74"/>
      <c r="IQ78" s="74"/>
      <c r="IR78" s="74"/>
      <c r="IS78" s="74"/>
      <c r="IT78" s="74"/>
      <c r="IU78" s="74"/>
      <c r="IV78" s="74"/>
      <c r="IW78" s="74"/>
      <c r="IX78" s="74"/>
      <c r="IY78" s="74"/>
      <c r="IZ78" s="74"/>
      <c r="JA78" s="74"/>
      <c r="JB78" s="74"/>
      <c r="JC78" s="74"/>
      <c r="JD78" s="74"/>
      <c r="JE78" s="74"/>
      <c r="JF78" s="74"/>
      <c r="JG78" s="74"/>
      <c r="JH78" s="74"/>
    </row>
    <row r="79" spans="1:268" s="66" customFormat="1" ht="18" customHeight="1">
      <c r="A79" s="353" t="s">
        <v>144</v>
      </c>
      <c r="B79" s="299"/>
      <c r="C79" s="134"/>
      <c r="D79" s="137"/>
      <c r="E79" s="137">
        <v>5407</v>
      </c>
      <c r="F79" s="137">
        <v>5407</v>
      </c>
      <c r="G79" s="137">
        <v>18170</v>
      </c>
      <c r="H79" s="137">
        <v>18170</v>
      </c>
      <c r="I79" s="134"/>
      <c r="J79" s="137"/>
      <c r="K79" s="134"/>
      <c r="L79" s="137"/>
      <c r="M79" s="137"/>
      <c r="N79" s="137"/>
      <c r="O79" s="134"/>
      <c r="P79" s="137"/>
      <c r="Q79" s="137"/>
      <c r="R79" s="137"/>
      <c r="S79" s="134"/>
      <c r="T79" s="137"/>
      <c r="U79" s="137"/>
      <c r="V79" s="137"/>
      <c r="W79" s="134"/>
      <c r="X79" s="137"/>
      <c r="Y79" s="137"/>
      <c r="Z79" s="137"/>
      <c r="AA79" s="134"/>
      <c r="AB79" s="137"/>
      <c r="AC79" s="137"/>
      <c r="AD79" s="137"/>
      <c r="AE79" s="134"/>
      <c r="AF79" s="137"/>
      <c r="AG79" s="137"/>
      <c r="AH79" s="137"/>
      <c r="AI79" s="134"/>
      <c r="AJ79" s="137"/>
      <c r="AK79" s="137"/>
      <c r="AL79" s="137"/>
      <c r="AM79" s="134"/>
      <c r="AN79" s="137"/>
      <c r="AO79" s="137"/>
      <c r="AP79" s="137"/>
      <c r="AQ79" s="134"/>
      <c r="AR79" s="137"/>
      <c r="AS79" s="137"/>
      <c r="AT79" s="137"/>
      <c r="AU79" s="134"/>
      <c r="AV79" s="137"/>
      <c r="AW79" s="137">
        <v>0</v>
      </c>
      <c r="AX79" s="137">
        <v>0</v>
      </c>
      <c r="AY79" s="134"/>
      <c r="AZ79" s="137"/>
      <c r="BA79" s="134">
        <v>0</v>
      </c>
      <c r="BB79" s="137"/>
      <c r="BC79" s="135"/>
      <c r="BD79" s="135"/>
      <c r="BE79" s="134"/>
      <c r="BF79" s="137"/>
      <c r="BG79" s="134"/>
      <c r="BH79" s="137"/>
      <c r="BI79" s="137"/>
      <c r="BJ79" s="137"/>
      <c r="BK79" s="135"/>
      <c r="BL79" s="135"/>
      <c r="BM79" s="134"/>
      <c r="BN79" s="137"/>
      <c r="BO79" s="137"/>
      <c r="BP79" s="137"/>
      <c r="BQ79" s="135"/>
      <c r="BR79" s="135"/>
      <c r="BS79" s="134"/>
      <c r="BT79" s="137"/>
      <c r="BU79" s="137"/>
      <c r="BV79" s="137"/>
      <c r="BW79" s="135"/>
      <c r="BX79" s="135"/>
      <c r="BY79" s="134"/>
      <c r="BZ79" s="137"/>
      <c r="CA79" s="137"/>
      <c r="CB79" s="137"/>
      <c r="CC79" s="135"/>
      <c r="CD79" s="135"/>
      <c r="CE79" s="134"/>
      <c r="CF79" s="137"/>
      <c r="CG79" s="137"/>
      <c r="CH79" s="137"/>
      <c r="CI79" s="135"/>
      <c r="CJ79" s="135"/>
      <c r="CK79" s="134"/>
      <c r="CL79" s="137"/>
      <c r="CM79" s="137"/>
      <c r="CN79" s="137"/>
      <c r="CO79" s="135"/>
      <c r="CP79" s="135"/>
      <c r="CQ79" s="134"/>
      <c r="CR79" s="137"/>
      <c r="CS79" s="137"/>
      <c r="CT79" s="137"/>
      <c r="CU79" s="135"/>
      <c r="CV79" s="135"/>
      <c r="CW79" s="134"/>
      <c r="CX79" s="137"/>
      <c r="CY79" s="137"/>
      <c r="CZ79" s="137"/>
      <c r="DA79" s="135"/>
      <c r="DB79" s="135"/>
      <c r="DC79" s="134"/>
      <c r="DD79" s="137"/>
      <c r="DE79" s="137"/>
      <c r="DF79" s="137"/>
      <c r="DG79" s="135"/>
      <c r="DH79" s="135"/>
      <c r="DI79" s="134"/>
      <c r="DJ79" s="137"/>
      <c r="DK79" s="137">
        <v>0</v>
      </c>
      <c r="DL79" s="137"/>
      <c r="DM79" s="135">
        <f>IF(AW79=0,1,DK79/AW79)</f>
        <v>1</v>
      </c>
      <c r="DN79" s="135">
        <f t="shared" ref="DN79:DN87" si="232">IF(AX79=0,1,DL79/AX79)</f>
        <v>1</v>
      </c>
      <c r="DO79" s="134">
        <f>'бюджет округа (района)'!BH79+'бюджеты поселений'!BH79</f>
        <v>0</v>
      </c>
      <c r="DP79" s="137">
        <f>'бюджет округа (района)'!BH79</f>
        <v>0</v>
      </c>
      <c r="DQ79" s="134">
        <f>'бюджет округа (района)'!BI79+'бюджеты поселений'!BI79</f>
        <v>0</v>
      </c>
      <c r="DR79" s="137">
        <f>'бюджет округа (района)'!BI79</f>
        <v>0</v>
      </c>
      <c r="DS79" s="134">
        <v>0</v>
      </c>
      <c r="DT79" s="137"/>
      <c r="DU79" s="229" t="s">
        <v>34</v>
      </c>
      <c r="DV79" s="229" t="s">
        <v>34</v>
      </c>
      <c r="DW79" s="135">
        <f t="shared" si="230"/>
        <v>0</v>
      </c>
      <c r="DX79" s="197">
        <f t="shared" si="231"/>
        <v>0</v>
      </c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  <c r="IW79" s="65"/>
      <c r="IX79" s="65"/>
      <c r="IY79" s="65"/>
      <c r="IZ79" s="65"/>
      <c r="JA79" s="65"/>
      <c r="JB79" s="65"/>
      <c r="JC79" s="65"/>
      <c r="JD79" s="65"/>
      <c r="JE79" s="65"/>
      <c r="JF79" s="65"/>
      <c r="JG79" s="65"/>
      <c r="JH79" s="65"/>
    </row>
    <row r="80" spans="1:268" s="66" customFormat="1" ht="18" customHeight="1">
      <c r="A80" s="353" t="s">
        <v>145</v>
      </c>
      <c r="B80" s="299"/>
      <c r="C80" s="134">
        <v>17174</v>
      </c>
      <c r="D80" s="137">
        <v>17174</v>
      </c>
      <c r="E80" s="137">
        <v>8200</v>
      </c>
      <c r="F80" s="137">
        <v>8200</v>
      </c>
      <c r="G80" s="137">
        <v>0</v>
      </c>
      <c r="H80" s="137">
        <v>0</v>
      </c>
      <c r="I80" s="134"/>
      <c r="J80" s="137"/>
      <c r="K80" s="134"/>
      <c r="L80" s="137"/>
      <c r="M80" s="137"/>
      <c r="N80" s="137"/>
      <c r="O80" s="134"/>
      <c r="P80" s="137"/>
      <c r="Q80" s="137"/>
      <c r="R80" s="137"/>
      <c r="S80" s="134"/>
      <c r="T80" s="137"/>
      <c r="U80" s="137"/>
      <c r="V80" s="137"/>
      <c r="W80" s="134"/>
      <c r="X80" s="137"/>
      <c r="Y80" s="137"/>
      <c r="Z80" s="137"/>
      <c r="AA80" s="134"/>
      <c r="AB80" s="137"/>
      <c r="AC80" s="137"/>
      <c r="AD80" s="137"/>
      <c r="AE80" s="134"/>
      <c r="AF80" s="137"/>
      <c r="AG80" s="137"/>
      <c r="AH80" s="137"/>
      <c r="AI80" s="134"/>
      <c r="AJ80" s="137"/>
      <c r="AK80" s="137"/>
      <c r="AL80" s="137"/>
      <c r="AM80" s="134"/>
      <c r="AN80" s="137"/>
      <c r="AO80" s="137"/>
      <c r="AP80" s="137"/>
      <c r="AQ80" s="134"/>
      <c r="AR80" s="137"/>
      <c r="AS80" s="137"/>
      <c r="AT80" s="137"/>
      <c r="AU80" s="134"/>
      <c r="AV80" s="137"/>
      <c r="AW80" s="134">
        <v>0</v>
      </c>
      <c r="AX80" s="137">
        <v>0</v>
      </c>
      <c r="AY80" s="134"/>
      <c r="AZ80" s="137"/>
      <c r="BA80" s="134">
        <v>6970</v>
      </c>
      <c r="BB80" s="137">
        <v>0</v>
      </c>
      <c r="BC80" s="135"/>
      <c r="BD80" s="135"/>
      <c r="BE80" s="134"/>
      <c r="BF80" s="137"/>
      <c r="BG80" s="134"/>
      <c r="BH80" s="137"/>
      <c r="BI80" s="137"/>
      <c r="BJ80" s="137"/>
      <c r="BK80" s="135"/>
      <c r="BL80" s="135"/>
      <c r="BM80" s="134"/>
      <c r="BN80" s="137"/>
      <c r="BO80" s="137"/>
      <c r="BP80" s="137"/>
      <c r="BQ80" s="135"/>
      <c r="BR80" s="135"/>
      <c r="BS80" s="134"/>
      <c r="BT80" s="137"/>
      <c r="BU80" s="137"/>
      <c r="BV80" s="137"/>
      <c r="BW80" s="135"/>
      <c r="BX80" s="135"/>
      <c r="BY80" s="134"/>
      <c r="BZ80" s="137"/>
      <c r="CA80" s="137"/>
      <c r="CB80" s="137"/>
      <c r="CC80" s="135"/>
      <c r="CD80" s="135"/>
      <c r="CE80" s="134"/>
      <c r="CF80" s="137"/>
      <c r="CG80" s="137"/>
      <c r="CH80" s="137"/>
      <c r="CI80" s="135"/>
      <c r="CJ80" s="135"/>
      <c r="CK80" s="134"/>
      <c r="CL80" s="137"/>
      <c r="CM80" s="137"/>
      <c r="CN80" s="137"/>
      <c r="CO80" s="135"/>
      <c r="CP80" s="135"/>
      <c r="CQ80" s="134"/>
      <c r="CR80" s="137"/>
      <c r="CS80" s="137"/>
      <c r="CT80" s="137"/>
      <c r="CU80" s="135"/>
      <c r="CV80" s="135"/>
      <c r="CW80" s="134"/>
      <c r="CX80" s="137"/>
      <c r="CY80" s="137"/>
      <c r="CZ80" s="137"/>
      <c r="DA80" s="135"/>
      <c r="DB80" s="135"/>
      <c r="DC80" s="134"/>
      <c r="DD80" s="137"/>
      <c r="DE80" s="137"/>
      <c r="DF80" s="137"/>
      <c r="DG80" s="135"/>
      <c r="DH80" s="135"/>
      <c r="DI80" s="134"/>
      <c r="DJ80" s="137"/>
      <c r="DK80" s="137">
        <v>1743</v>
      </c>
      <c r="DL80" s="137">
        <v>0</v>
      </c>
      <c r="DM80" s="135">
        <f t="shared" ref="DM80:DM87" si="233">IF(AW80=0,1,DK80/AW80)</f>
        <v>1</v>
      </c>
      <c r="DN80" s="135">
        <f t="shared" si="232"/>
        <v>1</v>
      </c>
      <c r="DO80" s="134">
        <f>'бюджет округа (района)'!BH80+'бюджеты поселений'!BH80</f>
        <v>0</v>
      </c>
      <c r="DP80" s="137">
        <f>'бюджет округа (района)'!BH80</f>
        <v>0</v>
      </c>
      <c r="DQ80" s="134">
        <f>'бюджет округа (района)'!BI80+'бюджеты поселений'!BI80</f>
        <v>0</v>
      </c>
      <c r="DR80" s="137">
        <f>'бюджет округа (района)'!BI80</f>
        <v>0</v>
      </c>
      <c r="DS80" s="134">
        <v>6970</v>
      </c>
      <c r="DT80" s="137">
        <v>0</v>
      </c>
      <c r="DU80" s="135">
        <f>IF($BA$10=0,1,DS80/$BA80)</f>
        <v>1</v>
      </c>
      <c r="DV80" s="135" t="e">
        <f>IF($BA$10=0,1,DT80/$BB80)</f>
        <v>#DIV/0!</v>
      </c>
      <c r="DW80" s="135">
        <f t="shared" si="230"/>
        <v>1</v>
      </c>
      <c r="DX80" s="197">
        <f t="shared" si="231"/>
        <v>1</v>
      </c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  <c r="IW80" s="65"/>
      <c r="IX80" s="65"/>
      <c r="IY80" s="65"/>
      <c r="IZ80" s="65"/>
      <c r="JA80" s="65"/>
      <c r="JB80" s="65"/>
      <c r="JC80" s="65"/>
      <c r="JD80" s="65"/>
      <c r="JE80" s="65"/>
      <c r="JF80" s="65"/>
      <c r="JG80" s="65"/>
      <c r="JH80" s="65"/>
    </row>
    <row r="81" spans="1:268" s="79" customFormat="1" ht="18" customHeight="1">
      <c r="A81" s="355" t="s">
        <v>57</v>
      </c>
      <c r="B81" s="301"/>
      <c r="C81" s="148">
        <f t="shared" ref="C81:F81" si="234">C82-C83</f>
        <v>15000</v>
      </c>
      <c r="D81" s="148">
        <f t="shared" si="234"/>
        <v>15000</v>
      </c>
      <c r="E81" s="148">
        <f t="shared" si="234"/>
        <v>4593</v>
      </c>
      <c r="F81" s="148">
        <f t="shared" si="234"/>
        <v>4593</v>
      </c>
      <c r="G81" s="148">
        <f t="shared" ref="G81:H81" si="235">G82-G83</f>
        <v>-9793</v>
      </c>
      <c r="H81" s="148">
        <f t="shared" si="235"/>
        <v>-4593</v>
      </c>
      <c r="I81" s="148">
        <f>I82-I83</f>
        <v>0</v>
      </c>
      <c r="J81" s="148">
        <f t="shared" ref="J81" si="236">J82-J83</f>
        <v>0</v>
      </c>
      <c r="K81" s="148">
        <f>K82-K83</f>
        <v>0</v>
      </c>
      <c r="L81" s="148">
        <f t="shared" ref="L81" si="237">L82-L83</f>
        <v>0</v>
      </c>
      <c r="M81" s="148">
        <f t="shared" ref="M81:R81" si="238">M82-M83</f>
        <v>0</v>
      </c>
      <c r="N81" s="148">
        <f t="shared" si="238"/>
        <v>0</v>
      </c>
      <c r="O81" s="148">
        <f>O82-O83</f>
        <v>0</v>
      </c>
      <c r="P81" s="148">
        <f t="shared" ref="P81" si="239">P82-P83</f>
        <v>0</v>
      </c>
      <c r="Q81" s="148">
        <f t="shared" si="238"/>
        <v>0</v>
      </c>
      <c r="R81" s="148">
        <f t="shared" si="238"/>
        <v>0</v>
      </c>
      <c r="S81" s="148">
        <f>S82-S83</f>
        <v>0</v>
      </c>
      <c r="T81" s="148">
        <f t="shared" ref="T81" si="240">T82-T83</f>
        <v>0</v>
      </c>
      <c r="U81" s="148">
        <f t="shared" ref="U81:V81" si="241">U82-U83</f>
        <v>0</v>
      </c>
      <c r="V81" s="148">
        <f t="shared" si="241"/>
        <v>0</v>
      </c>
      <c r="W81" s="148">
        <f>W82-W83</f>
        <v>0</v>
      </c>
      <c r="X81" s="148">
        <f t="shared" ref="X81" si="242">X82-X83</f>
        <v>0</v>
      </c>
      <c r="Y81" s="148">
        <f t="shared" ref="Y81:Z81" si="243">Y82-Y83</f>
        <v>0</v>
      </c>
      <c r="Z81" s="148">
        <f t="shared" si="243"/>
        <v>0</v>
      </c>
      <c r="AA81" s="148">
        <f>AA82-AA83</f>
        <v>0</v>
      </c>
      <c r="AB81" s="148">
        <f t="shared" ref="AB81" si="244">AB82-AB83</f>
        <v>0</v>
      </c>
      <c r="AC81" s="148">
        <f t="shared" ref="AC81:AD81" si="245">AC82-AC83</f>
        <v>0</v>
      </c>
      <c r="AD81" s="148">
        <f t="shared" si="245"/>
        <v>0</v>
      </c>
      <c r="AE81" s="148">
        <f>AE82-AE83</f>
        <v>0</v>
      </c>
      <c r="AF81" s="148">
        <f t="shared" ref="AF81" si="246">AF82-AF83</f>
        <v>0</v>
      </c>
      <c r="AG81" s="148">
        <f t="shared" ref="AG81:AH81" si="247">AG82-AG83</f>
        <v>0</v>
      </c>
      <c r="AH81" s="148">
        <f t="shared" si="247"/>
        <v>0</v>
      </c>
      <c r="AI81" s="148">
        <f>AI82-AI83</f>
        <v>0</v>
      </c>
      <c r="AJ81" s="148">
        <f t="shared" ref="AJ81" si="248">AJ82-AJ83</f>
        <v>0</v>
      </c>
      <c r="AK81" s="148">
        <f t="shared" ref="AK81:AL81" si="249">AK82-AK83</f>
        <v>0</v>
      </c>
      <c r="AL81" s="148">
        <f t="shared" si="249"/>
        <v>0</v>
      </c>
      <c r="AM81" s="148">
        <f>AM82-AM83</f>
        <v>0</v>
      </c>
      <c r="AN81" s="148">
        <f t="shared" ref="AN81" si="250">AN82-AN83</f>
        <v>0</v>
      </c>
      <c r="AO81" s="148">
        <f t="shared" ref="AO81:AP81" si="251">AO82-AO83</f>
        <v>0</v>
      </c>
      <c r="AP81" s="148">
        <f t="shared" si="251"/>
        <v>0</v>
      </c>
      <c r="AQ81" s="148">
        <f>AQ82-AQ83</f>
        <v>0</v>
      </c>
      <c r="AR81" s="148">
        <f t="shared" ref="AR81" si="252">AR82-AR83</f>
        <v>0</v>
      </c>
      <c r="AS81" s="148">
        <f t="shared" ref="AS81:AT81" si="253">AS82-AS83</f>
        <v>0</v>
      </c>
      <c r="AT81" s="148">
        <f t="shared" si="253"/>
        <v>0</v>
      </c>
      <c r="AU81" s="148">
        <f>AU82-AU83</f>
        <v>0</v>
      </c>
      <c r="AV81" s="148">
        <f t="shared" ref="AV81" si="254">AV82-AV83</f>
        <v>0</v>
      </c>
      <c r="AW81" s="148">
        <f t="shared" ref="AW81:AX81" si="255">AW82-AW83</f>
        <v>-2000</v>
      </c>
      <c r="AX81" s="148">
        <f t="shared" si="255"/>
        <v>0</v>
      </c>
      <c r="AY81" s="148">
        <f>AY82-AY83</f>
        <v>0</v>
      </c>
      <c r="AZ81" s="148">
        <f t="shared" ref="AZ81" si="256">AZ82-AZ83</f>
        <v>0</v>
      </c>
      <c r="BA81" s="148">
        <f>BA82-BA83</f>
        <v>17517</v>
      </c>
      <c r="BB81" s="148">
        <f t="shared" ref="BB81" si="257">BB82-BB83</f>
        <v>0</v>
      </c>
      <c r="BC81" s="133">
        <f t="shared" ref="BC81:BC87" si="258">IF(G81=0,1,BA81/G81-1)</f>
        <v>-2.7887266414786072</v>
      </c>
      <c r="BD81" s="133">
        <f t="shared" ref="BD81:BD87" si="259">IF(H81=0,1,BB81/H81-1)</f>
        <v>-1</v>
      </c>
      <c r="BE81" s="148">
        <f>BE82-BE83</f>
        <v>0</v>
      </c>
      <c r="BF81" s="148">
        <f t="shared" ref="BF81" si="260">BF82-BF83</f>
        <v>0</v>
      </c>
      <c r="BG81" s="148">
        <f>BG82-BG83</f>
        <v>0</v>
      </c>
      <c r="BH81" s="148">
        <f t="shared" ref="BH81" si="261">BH82-BH83</f>
        <v>0</v>
      </c>
      <c r="BI81" s="148">
        <f t="shared" ref="BI81:DL81" si="262">BI82-BI83</f>
        <v>0</v>
      </c>
      <c r="BJ81" s="148">
        <f t="shared" si="262"/>
        <v>0</v>
      </c>
      <c r="BK81" s="133">
        <f t="shared" si="200"/>
        <v>1</v>
      </c>
      <c r="BL81" s="133">
        <f t="shared" si="201"/>
        <v>1</v>
      </c>
      <c r="BM81" s="148">
        <f>BM82-BM83</f>
        <v>0</v>
      </c>
      <c r="BN81" s="148">
        <f t="shared" ref="BN81" si="263">BN82-BN83</f>
        <v>0</v>
      </c>
      <c r="BO81" s="148">
        <f t="shared" si="262"/>
        <v>0</v>
      </c>
      <c r="BP81" s="148">
        <f t="shared" si="262"/>
        <v>0</v>
      </c>
      <c r="BQ81" s="133">
        <f t="shared" si="203"/>
        <v>1</v>
      </c>
      <c r="BR81" s="133">
        <f t="shared" si="204"/>
        <v>1</v>
      </c>
      <c r="BS81" s="148">
        <f>BS82-BS83</f>
        <v>0</v>
      </c>
      <c r="BT81" s="148">
        <f t="shared" ref="BT81" si="264">BT82-BT83</f>
        <v>0</v>
      </c>
      <c r="BU81" s="148">
        <f t="shared" si="262"/>
        <v>0</v>
      </c>
      <c r="BV81" s="148">
        <f t="shared" si="262"/>
        <v>0</v>
      </c>
      <c r="BW81" s="133">
        <f t="shared" si="206"/>
        <v>1</v>
      </c>
      <c r="BX81" s="133">
        <f t="shared" si="207"/>
        <v>1</v>
      </c>
      <c r="BY81" s="148">
        <f>BY82-BY83</f>
        <v>0</v>
      </c>
      <c r="BZ81" s="148">
        <f t="shared" ref="BZ81" si="265">BZ82-BZ83</f>
        <v>0</v>
      </c>
      <c r="CA81" s="148">
        <f t="shared" si="262"/>
        <v>0</v>
      </c>
      <c r="CB81" s="148">
        <f t="shared" si="262"/>
        <v>0</v>
      </c>
      <c r="CC81" s="133">
        <f t="shared" si="209"/>
        <v>1</v>
      </c>
      <c r="CD81" s="133">
        <f t="shared" si="210"/>
        <v>1</v>
      </c>
      <c r="CE81" s="148">
        <f>CE82-CE83</f>
        <v>0</v>
      </c>
      <c r="CF81" s="148">
        <f t="shared" ref="CF81" si="266">CF82-CF83</f>
        <v>0</v>
      </c>
      <c r="CG81" s="148">
        <f t="shared" si="262"/>
        <v>0</v>
      </c>
      <c r="CH81" s="148">
        <f t="shared" si="262"/>
        <v>0</v>
      </c>
      <c r="CI81" s="133">
        <f t="shared" si="212"/>
        <v>1</v>
      </c>
      <c r="CJ81" s="133">
        <f t="shared" si="213"/>
        <v>1</v>
      </c>
      <c r="CK81" s="148">
        <f>CK82-CK83</f>
        <v>0</v>
      </c>
      <c r="CL81" s="148">
        <f t="shared" ref="CL81" si="267">CL82-CL83</f>
        <v>0</v>
      </c>
      <c r="CM81" s="148">
        <f t="shared" si="262"/>
        <v>0</v>
      </c>
      <c r="CN81" s="148">
        <f t="shared" si="262"/>
        <v>0</v>
      </c>
      <c r="CO81" s="133">
        <f t="shared" si="215"/>
        <v>1</v>
      </c>
      <c r="CP81" s="133">
        <f t="shared" si="216"/>
        <v>1</v>
      </c>
      <c r="CQ81" s="148">
        <f>CQ82-CQ83</f>
        <v>0</v>
      </c>
      <c r="CR81" s="148">
        <f t="shared" ref="CR81" si="268">CR82-CR83</f>
        <v>0</v>
      </c>
      <c r="CS81" s="148">
        <f t="shared" si="262"/>
        <v>0</v>
      </c>
      <c r="CT81" s="148">
        <f t="shared" si="262"/>
        <v>0</v>
      </c>
      <c r="CU81" s="133">
        <f t="shared" si="218"/>
        <v>1</v>
      </c>
      <c r="CV81" s="133">
        <f t="shared" si="219"/>
        <v>1</v>
      </c>
      <c r="CW81" s="148">
        <f>CW82-CW83</f>
        <v>0</v>
      </c>
      <c r="CX81" s="148">
        <f t="shared" ref="CX81" si="269">CX82-CX83</f>
        <v>0</v>
      </c>
      <c r="CY81" s="148">
        <f t="shared" si="262"/>
        <v>0</v>
      </c>
      <c r="CZ81" s="148">
        <f t="shared" si="262"/>
        <v>0</v>
      </c>
      <c r="DA81" s="133">
        <f t="shared" si="221"/>
        <v>1</v>
      </c>
      <c r="DB81" s="133">
        <f t="shared" si="222"/>
        <v>1</v>
      </c>
      <c r="DC81" s="148">
        <f>DC82-DC83</f>
        <v>0</v>
      </c>
      <c r="DD81" s="148">
        <f t="shared" ref="DD81" si="270">DD82-DD83</f>
        <v>0</v>
      </c>
      <c r="DE81" s="148">
        <f t="shared" si="262"/>
        <v>0</v>
      </c>
      <c r="DF81" s="148">
        <f t="shared" si="262"/>
        <v>0</v>
      </c>
      <c r="DG81" s="133">
        <f t="shared" si="224"/>
        <v>1</v>
      </c>
      <c r="DH81" s="133">
        <f t="shared" si="225"/>
        <v>1</v>
      </c>
      <c r="DI81" s="148">
        <f>DI82-DI83</f>
        <v>0</v>
      </c>
      <c r="DJ81" s="148">
        <f t="shared" ref="DJ81" si="271">DJ82-DJ83</f>
        <v>0</v>
      </c>
      <c r="DK81" s="148">
        <f t="shared" si="262"/>
        <v>0</v>
      </c>
      <c r="DL81" s="148">
        <f t="shared" si="262"/>
        <v>0</v>
      </c>
      <c r="DM81" s="133">
        <f t="shared" si="233"/>
        <v>0</v>
      </c>
      <c r="DN81" s="133">
        <f t="shared" si="232"/>
        <v>1</v>
      </c>
      <c r="DO81" s="148">
        <f>DO82-DO83</f>
        <v>0</v>
      </c>
      <c r="DP81" s="148">
        <f t="shared" ref="DP81" si="272">DP82-DP83</f>
        <v>0</v>
      </c>
      <c r="DQ81" s="148">
        <f>DQ82-DQ83</f>
        <v>0</v>
      </c>
      <c r="DR81" s="148">
        <f t="shared" ref="DR81" si="273">DR82-DR83</f>
        <v>0</v>
      </c>
      <c r="DS81" s="148">
        <f>DS82-DS83</f>
        <v>22110</v>
      </c>
      <c r="DT81" s="148">
        <f t="shared" ref="DT81" si="274">DT82-DT83</f>
        <v>0</v>
      </c>
      <c r="DU81" s="133">
        <f>IF($BA$10=0,1,DS81/$BA81)</f>
        <v>1.2622024319232745</v>
      </c>
      <c r="DV81" s="133" t="e">
        <f>IF($BA$10=0,1,DT81/$BB81)</f>
        <v>#DIV/0!</v>
      </c>
      <c r="DW81" s="133">
        <f t="shared" si="230"/>
        <v>-2.2577351169202493</v>
      </c>
      <c r="DX81" s="247">
        <f t="shared" si="231"/>
        <v>0</v>
      </c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  <c r="IT81" s="78"/>
      <c r="IU81" s="78"/>
      <c r="IV81" s="78"/>
      <c r="IW81" s="78"/>
      <c r="IX81" s="78"/>
      <c r="IY81" s="78"/>
      <c r="IZ81" s="78"/>
      <c r="JA81" s="78"/>
      <c r="JB81" s="78"/>
      <c r="JC81" s="78"/>
      <c r="JD81" s="78"/>
      <c r="JE81" s="78"/>
      <c r="JF81" s="78"/>
      <c r="JG81" s="78"/>
      <c r="JH81" s="78"/>
    </row>
    <row r="82" spans="1:268" s="64" customFormat="1" ht="18" customHeight="1">
      <c r="A82" s="353" t="s">
        <v>144</v>
      </c>
      <c r="B82" s="299"/>
      <c r="C82" s="134">
        <v>50000</v>
      </c>
      <c r="D82" s="137">
        <v>50000</v>
      </c>
      <c r="E82" s="137">
        <v>15000</v>
      </c>
      <c r="F82" s="137">
        <v>15000</v>
      </c>
      <c r="G82" s="137">
        <v>0</v>
      </c>
      <c r="H82" s="137">
        <v>0</v>
      </c>
      <c r="I82" s="134"/>
      <c r="J82" s="137"/>
      <c r="K82" s="134"/>
      <c r="L82" s="137"/>
      <c r="M82" s="137"/>
      <c r="N82" s="137"/>
      <c r="O82" s="134"/>
      <c r="P82" s="137"/>
      <c r="Q82" s="137"/>
      <c r="R82" s="137"/>
      <c r="S82" s="134"/>
      <c r="T82" s="137"/>
      <c r="U82" s="137"/>
      <c r="V82" s="137"/>
      <c r="W82" s="134"/>
      <c r="X82" s="137"/>
      <c r="Y82" s="137"/>
      <c r="Z82" s="137"/>
      <c r="AA82" s="134"/>
      <c r="AB82" s="137"/>
      <c r="AC82" s="137"/>
      <c r="AD82" s="137"/>
      <c r="AE82" s="134"/>
      <c r="AF82" s="137"/>
      <c r="AG82" s="137"/>
      <c r="AH82" s="137"/>
      <c r="AI82" s="134"/>
      <c r="AJ82" s="137"/>
      <c r="AK82" s="137"/>
      <c r="AL82" s="137"/>
      <c r="AM82" s="134"/>
      <c r="AN82" s="137"/>
      <c r="AO82" s="137"/>
      <c r="AP82" s="137"/>
      <c r="AQ82" s="134"/>
      <c r="AR82" s="137"/>
      <c r="AS82" s="137"/>
      <c r="AT82" s="137"/>
      <c r="AU82" s="134"/>
      <c r="AV82" s="137"/>
      <c r="AW82" s="134">
        <v>0</v>
      </c>
      <c r="AX82" s="137">
        <v>0</v>
      </c>
      <c r="AY82" s="134"/>
      <c r="AZ82" s="137"/>
      <c r="BA82" s="134">
        <v>62517</v>
      </c>
      <c r="BB82" s="137"/>
      <c r="BC82" s="135"/>
      <c r="BD82" s="135"/>
      <c r="BE82" s="134"/>
      <c r="BF82" s="137"/>
      <c r="BG82" s="134"/>
      <c r="BH82" s="137"/>
      <c r="BI82" s="137"/>
      <c r="BJ82" s="137"/>
      <c r="BK82" s="135"/>
      <c r="BL82" s="135"/>
      <c r="BM82" s="134"/>
      <c r="BN82" s="137"/>
      <c r="BO82" s="137"/>
      <c r="BP82" s="137"/>
      <c r="BQ82" s="135"/>
      <c r="BR82" s="135"/>
      <c r="BS82" s="134"/>
      <c r="BT82" s="137"/>
      <c r="BU82" s="137"/>
      <c r="BV82" s="137"/>
      <c r="BW82" s="135"/>
      <c r="BX82" s="135"/>
      <c r="BY82" s="134"/>
      <c r="BZ82" s="137"/>
      <c r="CA82" s="137"/>
      <c r="CB82" s="137"/>
      <c r="CC82" s="135"/>
      <c r="CD82" s="135"/>
      <c r="CE82" s="134"/>
      <c r="CF82" s="137"/>
      <c r="CG82" s="137"/>
      <c r="CH82" s="137"/>
      <c r="CI82" s="135"/>
      <c r="CJ82" s="135"/>
      <c r="CK82" s="134"/>
      <c r="CL82" s="137"/>
      <c r="CM82" s="137"/>
      <c r="CN82" s="137"/>
      <c r="CO82" s="135"/>
      <c r="CP82" s="135"/>
      <c r="CQ82" s="134"/>
      <c r="CR82" s="137"/>
      <c r="CS82" s="137"/>
      <c r="CT82" s="137"/>
      <c r="CU82" s="135"/>
      <c r="CV82" s="135"/>
      <c r="CW82" s="134"/>
      <c r="CX82" s="137"/>
      <c r="CY82" s="137"/>
      <c r="CZ82" s="137"/>
      <c r="DA82" s="135"/>
      <c r="DB82" s="135"/>
      <c r="DC82" s="134"/>
      <c r="DD82" s="137"/>
      <c r="DE82" s="137"/>
      <c r="DF82" s="137"/>
      <c r="DG82" s="135"/>
      <c r="DH82" s="135"/>
      <c r="DI82" s="134"/>
      <c r="DJ82" s="137"/>
      <c r="DK82" s="137">
        <v>0</v>
      </c>
      <c r="DL82" s="137">
        <v>0</v>
      </c>
      <c r="DM82" s="135">
        <f t="shared" si="233"/>
        <v>1</v>
      </c>
      <c r="DN82" s="135">
        <f t="shared" si="232"/>
        <v>1</v>
      </c>
      <c r="DO82" s="134">
        <f>'бюджет округа (района)'!BH82+'бюджеты поселений'!BH82</f>
        <v>0</v>
      </c>
      <c r="DP82" s="137">
        <f>'бюджет округа (района)'!BH82</f>
        <v>0</v>
      </c>
      <c r="DQ82" s="134">
        <f>'бюджет округа (района)'!BI82+'бюджеты поселений'!BI82</f>
        <v>0</v>
      </c>
      <c r="DR82" s="137">
        <f>'бюджет округа (района)'!BI82</f>
        <v>0</v>
      </c>
      <c r="DS82" s="134">
        <v>67110</v>
      </c>
      <c r="DT82" s="137"/>
      <c r="DU82" s="135">
        <f>IF($BA$10=0,1,DS82/$BA82)</f>
        <v>1.0734680166994577</v>
      </c>
      <c r="DV82" s="135" t="e">
        <f>IF($BA$10=0,1,DT82/$BB82)</f>
        <v>#DIV/0!</v>
      </c>
      <c r="DW82" s="135">
        <f t="shared" si="230"/>
        <v>1</v>
      </c>
      <c r="DX82" s="197">
        <f t="shared" si="231"/>
        <v>1</v>
      </c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63"/>
      <c r="JA82" s="63"/>
      <c r="JB82" s="63"/>
      <c r="JC82" s="63"/>
      <c r="JD82" s="63"/>
      <c r="JE82" s="63"/>
      <c r="JF82" s="63"/>
      <c r="JG82" s="63"/>
      <c r="JH82" s="63"/>
    </row>
    <row r="83" spans="1:268" s="64" customFormat="1" ht="18" customHeight="1">
      <c r="A83" s="353" t="s">
        <v>146</v>
      </c>
      <c r="B83" s="299"/>
      <c r="C83" s="134">
        <v>35000</v>
      </c>
      <c r="D83" s="137">
        <v>35000</v>
      </c>
      <c r="E83" s="137">
        <v>10407</v>
      </c>
      <c r="F83" s="137">
        <v>10407</v>
      </c>
      <c r="G83" s="137">
        <v>9793</v>
      </c>
      <c r="H83" s="137">
        <v>4593</v>
      </c>
      <c r="I83" s="134"/>
      <c r="J83" s="137"/>
      <c r="K83" s="134"/>
      <c r="L83" s="137"/>
      <c r="M83" s="137"/>
      <c r="N83" s="137"/>
      <c r="O83" s="134"/>
      <c r="P83" s="137"/>
      <c r="Q83" s="137"/>
      <c r="R83" s="137"/>
      <c r="S83" s="134"/>
      <c r="T83" s="137"/>
      <c r="U83" s="137"/>
      <c r="V83" s="137"/>
      <c r="W83" s="134"/>
      <c r="X83" s="137"/>
      <c r="Y83" s="137"/>
      <c r="Z83" s="137"/>
      <c r="AA83" s="134"/>
      <c r="AB83" s="137"/>
      <c r="AC83" s="137"/>
      <c r="AD83" s="137"/>
      <c r="AE83" s="134"/>
      <c r="AF83" s="137"/>
      <c r="AG83" s="137"/>
      <c r="AH83" s="137"/>
      <c r="AI83" s="134"/>
      <c r="AJ83" s="137"/>
      <c r="AK83" s="137"/>
      <c r="AL83" s="137"/>
      <c r="AM83" s="134"/>
      <c r="AN83" s="137"/>
      <c r="AO83" s="137"/>
      <c r="AP83" s="137"/>
      <c r="AQ83" s="134"/>
      <c r="AR83" s="137"/>
      <c r="AS83" s="137"/>
      <c r="AT83" s="137"/>
      <c r="AU83" s="134"/>
      <c r="AV83" s="137"/>
      <c r="AW83" s="134">
        <v>2000</v>
      </c>
      <c r="AX83" s="137">
        <v>0</v>
      </c>
      <c r="AY83" s="134"/>
      <c r="AZ83" s="137"/>
      <c r="BA83" s="134">
        <v>45000</v>
      </c>
      <c r="BB83" s="137"/>
      <c r="BC83" s="135"/>
      <c r="BD83" s="135"/>
      <c r="BE83" s="134"/>
      <c r="BF83" s="137"/>
      <c r="BG83" s="134"/>
      <c r="BH83" s="137"/>
      <c r="BI83" s="137"/>
      <c r="BJ83" s="137"/>
      <c r="BK83" s="135"/>
      <c r="BL83" s="135"/>
      <c r="BM83" s="134"/>
      <c r="BN83" s="137"/>
      <c r="BO83" s="137"/>
      <c r="BP83" s="137"/>
      <c r="BQ83" s="135"/>
      <c r="BR83" s="135"/>
      <c r="BS83" s="134"/>
      <c r="BT83" s="137"/>
      <c r="BU83" s="137"/>
      <c r="BV83" s="137"/>
      <c r="BW83" s="135"/>
      <c r="BX83" s="135"/>
      <c r="BY83" s="134"/>
      <c r="BZ83" s="137"/>
      <c r="CA83" s="137"/>
      <c r="CB83" s="137"/>
      <c r="CC83" s="135"/>
      <c r="CD83" s="135"/>
      <c r="CE83" s="134"/>
      <c r="CF83" s="137"/>
      <c r="CG83" s="137"/>
      <c r="CH83" s="137"/>
      <c r="CI83" s="135"/>
      <c r="CJ83" s="135"/>
      <c r="CK83" s="134"/>
      <c r="CL83" s="137"/>
      <c r="CM83" s="137"/>
      <c r="CN83" s="137"/>
      <c r="CO83" s="135"/>
      <c r="CP83" s="135"/>
      <c r="CQ83" s="134"/>
      <c r="CR83" s="137"/>
      <c r="CS83" s="137"/>
      <c r="CT83" s="137"/>
      <c r="CU83" s="135"/>
      <c r="CV83" s="135"/>
      <c r="CW83" s="134"/>
      <c r="CX83" s="137"/>
      <c r="CY83" s="137"/>
      <c r="CZ83" s="137"/>
      <c r="DA83" s="135"/>
      <c r="DB83" s="135"/>
      <c r="DC83" s="134"/>
      <c r="DD83" s="137"/>
      <c r="DE83" s="137"/>
      <c r="DF83" s="137"/>
      <c r="DG83" s="135"/>
      <c r="DH83" s="135"/>
      <c r="DI83" s="134"/>
      <c r="DJ83" s="137"/>
      <c r="DK83" s="137">
        <v>0</v>
      </c>
      <c r="DL83" s="137">
        <v>0</v>
      </c>
      <c r="DM83" s="135">
        <f t="shared" si="233"/>
        <v>0</v>
      </c>
      <c r="DN83" s="135">
        <f t="shared" si="232"/>
        <v>1</v>
      </c>
      <c r="DO83" s="134">
        <f>'бюджет округа (района)'!BH83+'бюджеты поселений'!BH83</f>
        <v>0</v>
      </c>
      <c r="DP83" s="137">
        <f>'бюджет округа (района)'!BH83</f>
        <v>0</v>
      </c>
      <c r="DQ83" s="134">
        <f>'бюджет округа (района)'!BI83+'бюджеты поселений'!BI83</f>
        <v>0</v>
      </c>
      <c r="DR83" s="137">
        <f>'бюджет округа (района)'!BI83</f>
        <v>0</v>
      </c>
      <c r="DS83" s="134">
        <v>45000</v>
      </c>
      <c r="DT83" s="137"/>
      <c r="DU83" s="135">
        <f>IF($BA$10=0,1,DS83/$BA83)</f>
        <v>1</v>
      </c>
      <c r="DV83" s="135" t="e">
        <f>IF($BA$10=0,1,DT83/$BB83)</f>
        <v>#DIV/0!</v>
      </c>
      <c r="DW83" s="135">
        <f t="shared" si="230"/>
        <v>4.5951189625242517</v>
      </c>
      <c r="DX83" s="197">
        <f t="shared" si="231"/>
        <v>0</v>
      </c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  <c r="IV83" s="63"/>
      <c r="IW83" s="63"/>
      <c r="IX83" s="63"/>
      <c r="IY83" s="63"/>
      <c r="IZ83" s="63"/>
      <c r="JA83" s="63"/>
      <c r="JB83" s="63"/>
      <c r="JC83" s="63"/>
      <c r="JD83" s="63"/>
      <c r="JE83" s="63"/>
      <c r="JF83" s="63"/>
      <c r="JG83" s="63"/>
      <c r="JH83" s="63"/>
    </row>
    <row r="84" spans="1:268" s="75" customFormat="1" ht="18" customHeight="1">
      <c r="A84" s="355" t="s">
        <v>58</v>
      </c>
      <c r="B84" s="301"/>
      <c r="C84" s="148">
        <f t="shared" ref="C84:F84" si="275">C85-C86</f>
        <v>0</v>
      </c>
      <c r="D84" s="148">
        <f t="shared" si="275"/>
        <v>2501</v>
      </c>
      <c r="E84" s="148">
        <f t="shared" si="275"/>
        <v>0</v>
      </c>
      <c r="F84" s="148">
        <f t="shared" si="275"/>
        <v>1783</v>
      </c>
      <c r="G84" s="148">
        <f t="shared" ref="G84:H84" si="276">G85-G86</f>
        <v>0</v>
      </c>
      <c r="H84" s="148">
        <f t="shared" si="276"/>
        <v>-5200</v>
      </c>
      <c r="I84" s="148">
        <f t="shared" ref="I84:L84" si="277">I85-I86</f>
        <v>0</v>
      </c>
      <c r="J84" s="148">
        <f t="shared" si="277"/>
        <v>0</v>
      </c>
      <c r="K84" s="148">
        <f t="shared" si="277"/>
        <v>0</v>
      </c>
      <c r="L84" s="148">
        <f t="shared" si="277"/>
        <v>0</v>
      </c>
      <c r="M84" s="148">
        <f t="shared" ref="M84:P84" si="278">M85-M86</f>
        <v>0</v>
      </c>
      <c r="N84" s="148">
        <f t="shared" si="278"/>
        <v>0</v>
      </c>
      <c r="O84" s="148">
        <f t="shared" si="278"/>
        <v>0</v>
      </c>
      <c r="P84" s="148">
        <f t="shared" si="278"/>
        <v>0</v>
      </c>
      <c r="Q84" s="148">
        <f t="shared" ref="Q84:T84" si="279">Q85-Q86</f>
        <v>0</v>
      </c>
      <c r="R84" s="148">
        <f t="shared" si="279"/>
        <v>0</v>
      </c>
      <c r="S84" s="148">
        <f t="shared" si="279"/>
        <v>0</v>
      </c>
      <c r="T84" s="148">
        <f t="shared" si="279"/>
        <v>0</v>
      </c>
      <c r="U84" s="148">
        <f t="shared" ref="U84:X84" si="280">U85-U86</f>
        <v>0</v>
      </c>
      <c r="V84" s="148">
        <f t="shared" si="280"/>
        <v>0</v>
      </c>
      <c r="W84" s="148">
        <f t="shared" si="280"/>
        <v>0</v>
      </c>
      <c r="X84" s="148">
        <f t="shared" si="280"/>
        <v>0</v>
      </c>
      <c r="Y84" s="148">
        <f t="shared" ref="Y84:AB84" si="281">Y85-Y86</f>
        <v>0</v>
      </c>
      <c r="Z84" s="148">
        <f t="shared" si="281"/>
        <v>0</v>
      </c>
      <c r="AA84" s="148">
        <f t="shared" si="281"/>
        <v>0</v>
      </c>
      <c r="AB84" s="148">
        <f t="shared" si="281"/>
        <v>0</v>
      </c>
      <c r="AC84" s="148">
        <f t="shared" ref="AC84:AF84" si="282">AC85-AC86</f>
        <v>0</v>
      </c>
      <c r="AD84" s="148">
        <f t="shared" si="282"/>
        <v>0</v>
      </c>
      <c r="AE84" s="148">
        <f t="shared" si="282"/>
        <v>0</v>
      </c>
      <c r="AF84" s="148">
        <f t="shared" si="282"/>
        <v>0</v>
      </c>
      <c r="AG84" s="148">
        <f t="shared" ref="AG84:AJ84" si="283">AG85-AG86</f>
        <v>0</v>
      </c>
      <c r="AH84" s="148">
        <f t="shared" si="283"/>
        <v>0</v>
      </c>
      <c r="AI84" s="148">
        <f t="shared" si="283"/>
        <v>0</v>
      </c>
      <c r="AJ84" s="148">
        <f t="shared" si="283"/>
        <v>0</v>
      </c>
      <c r="AK84" s="148">
        <f t="shared" ref="AK84:AN84" si="284">AK85-AK86</f>
        <v>0</v>
      </c>
      <c r="AL84" s="148">
        <f t="shared" si="284"/>
        <v>0</v>
      </c>
      <c r="AM84" s="148">
        <f t="shared" si="284"/>
        <v>0</v>
      </c>
      <c r="AN84" s="148">
        <f t="shared" si="284"/>
        <v>0</v>
      </c>
      <c r="AO84" s="148">
        <f t="shared" ref="AO84:AR84" si="285">AO85-AO86</f>
        <v>0</v>
      </c>
      <c r="AP84" s="148">
        <f t="shared" si="285"/>
        <v>0</v>
      </c>
      <c r="AQ84" s="148">
        <f t="shared" si="285"/>
        <v>0</v>
      </c>
      <c r="AR84" s="148">
        <f t="shared" si="285"/>
        <v>0</v>
      </c>
      <c r="AS84" s="148">
        <f t="shared" ref="AS84:AX84" si="286">AS85-AS86</f>
        <v>0</v>
      </c>
      <c r="AT84" s="148">
        <f t="shared" si="286"/>
        <v>0</v>
      </c>
      <c r="AU84" s="148">
        <f t="shared" si="286"/>
        <v>0</v>
      </c>
      <c r="AV84" s="148">
        <f t="shared" si="286"/>
        <v>0</v>
      </c>
      <c r="AW84" s="148">
        <f t="shared" si="286"/>
        <v>0</v>
      </c>
      <c r="AX84" s="148">
        <f t="shared" si="286"/>
        <v>0</v>
      </c>
      <c r="AY84" s="148">
        <f t="shared" ref="AY84:BB84" si="287">AY85-AY86</f>
        <v>0</v>
      </c>
      <c r="AZ84" s="148">
        <f t="shared" si="287"/>
        <v>0</v>
      </c>
      <c r="BA84" s="148">
        <f t="shared" si="287"/>
        <v>0</v>
      </c>
      <c r="BB84" s="148">
        <f t="shared" si="287"/>
        <v>0</v>
      </c>
      <c r="BC84" s="133">
        <f t="shared" si="258"/>
        <v>1</v>
      </c>
      <c r="BD84" s="133">
        <f t="shared" si="259"/>
        <v>-1</v>
      </c>
      <c r="BE84" s="148">
        <f t="shared" ref="BE84:BH84" si="288">BE85-BE86</f>
        <v>0</v>
      </c>
      <c r="BF84" s="148">
        <f t="shared" si="288"/>
        <v>0</v>
      </c>
      <c r="BG84" s="148">
        <f t="shared" si="288"/>
        <v>0</v>
      </c>
      <c r="BH84" s="148">
        <f t="shared" si="288"/>
        <v>0</v>
      </c>
      <c r="BI84" s="148">
        <f t="shared" ref="BI84:DK84" si="289">BI85-BI86</f>
        <v>0</v>
      </c>
      <c r="BJ84" s="148">
        <f t="shared" si="289"/>
        <v>0</v>
      </c>
      <c r="BK84" s="133">
        <f t="shared" si="200"/>
        <v>1</v>
      </c>
      <c r="BL84" s="133">
        <f t="shared" si="201"/>
        <v>1</v>
      </c>
      <c r="BM84" s="148">
        <f t="shared" ref="BM84:BN84" si="290">BM85-BM86</f>
        <v>0</v>
      </c>
      <c r="BN84" s="148">
        <f t="shared" si="290"/>
        <v>0</v>
      </c>
      <c r="BO84" s="148">
        <f t="shared" si="289"/>
        <v>0</v>
      </c>
      <c r="BP84" s="148">
        <f t="shared" si="289"/>
        <v>0</v>
      </c>
      <c r="BQ84" s="133">
        <f t="shared" si="203"/>
        <v>1</v>
      </c>
      <c r="BR84" s="133">
        <f t="shared" si="204"/>
        <v>1</v>
      </c>
      <c r="BS84" s="148">
        <f t="shared" ref="BS84:BT84" si="291">BS85-BS86</f>
        <v>0</v>
      </c>
      <c r="BT84" s="148">
        <f t="shared" si="291"/>
        <v>0</v>
      </c>
      <c r="BU84" s="148">
        <f t="shared" si="289"/>
        <v>0</v>
      </c>
      <c r="BV84" s="148">
        <f t="shared" si="289"/>
        <v>0</v>
      </c>
      <c r="BW84" s="133">
        <f t="shared" si="206"/>
        <v>1</v>
      </c>
      <c r="BX84" s="133">
        <f t="shared" si="207"/>
        <v>1</v>
      </c>
      <c r="BY84" s="148">
        <f t="shared" ref="BY84:BZ84" si="292">BY85-BY86</f>
        <v>0</v>
      </c>
      <c r="BZ84" s="148">
        <f t="shared" si="292"/>
        <v>0</v>
      </c>
      <c r="CA84" s="148">
        <f t="shared" si="289"/>
        <v>0</v>
      </c>
      <c r="CB84" s="148">
        <f t="shared" si="289"/>
        <v>0</v>
      </c>
      <c r="CC84" s="133">
        <f t="shared" si="209"/>
        <v>1</v>
      </c>
      <c r="CD84" s="133">
        <f t="shared" si="210"/>
        <v>1</v>
      </c>
      <c r="CE84" s="148">
        <f t="shared" ref="CE84:CF84" si="293">CE85-CE86</f>
        <v>0</v>
      </c>
      <c r="CF84" s="148">
        <f t="shared" si="293"/>
        <v>0</v>
      </c>
      <c r="CG84" s="148">
        <f t="shared" si="289"/>
        <v>0</v>
      </c>
      <c r="CH84" s="148">
        <f t="shared" si="289"/>
        <v>0</v>
      </c>
      <c r="CI84" s="133">
        <f t="shared" si="212"/>
        <v>1</v>
      </c>
      <c r="CJ84" s="133">
        <f t="shared" si="213"/>
        <v>1</v>
      </c>
      <c r="CK84" s="148">
        <f t="shared" ref="CK84:CL84" si="294">CK85-CK86</f>
        <v>0</v>
      </c>
      <c r="CL84" s="148">
        <f t="shared" si="294"/>
        <v>0</v>
      </c>
      <c r="CM84" s="148">
        <f t="shared" si="289"/>
        <v>0</v>
      </c>
      <c r="CN84" s="148">
        <f t="shared" si="289"/>
        <v>0</v>
      </c>
      <c r="CO84" s="133">
        <f t="shared" si="215"/>
        <v>1</v>
      </c>
      <c r="CP84" s="133">
        <f t="shared" si="216"/>
        <v>1</v>
      </c>
      <c r="CQ84" s="148">
        <f t="shared" ref="CQ84:CR84" si="295">CQ85-CQ86</f>
        <v>0</v>
      </c>
      <c r="CR84" s="148">
        <f t="shared" si="295"/>
        <v>0</v>
      </c>
      <c r="CS84" s="148">
        <f t="shared" si="289"/>
        <v>0</v>
      </c>
      <c r="CT84" s="148">
        <f t="shared" si="289"/>
        <v>0</v>
      </c>
      <c r="CU84" s="133">
        <f t="shared" si="218"/>
        <v>1</v>
      </c>
      <c r="CV84" s="133">
        <f t="shared" si="219"/>
        <v>1</v>
      </c>
      <c r="CW84" s="148">
        <f t="shared" ref="CW84:CX84" si="296">CW85-CW86</f>
        <v>0</v>
      </c>
      <c r="CX84" s="148">
        <f t="shared" si="296"/>
        <v>0</v>
      </c>
      <c r="CY84" s="148">
        <f t="shared" si="289"/>
        <v>0</v>
      </c>
      <c r="CZ84" s="148">
        <f t="shared" si="289"/>
        <v>0</v>
      </c>
      <c r="DA84" s="133">
        <f t="shared" si="221"/>
        <v>1</v>
      </c>
      <c r="DB84" s="133">
        <f t="shared" si="222"/>
        <v>1</v>
      </c>
      <c r="DC84" s="148">
        <f t="shared" ref="DC84:DD84" si="297">DC85-DC86</f>
        <v>0</v>
      </c>
      <c r="DD84" s="148">
        <f t="shared" si="297"/>
        <v>0</v>
      </c>
      <c r="DE84" s="148">
        <f t="shared" si="289"/>
        <v>0</v>
      </c>
      <c r="DF84" s="148">
        <f t="shared" si="289"/>
        <v>0</v>
      </c>
      <c r="DG84" s="133">
        <f t="shared" si="224"/>
        <v>1</v>
      </c>
      <c r="DH84" s="133">
        <f t="shared" si="225"/>
        <v>1</v>
      </c>
      <c r="DI84" s="148">
        <f t="shared" ref="DI84:DJ84" si="298">DI85-DI86</f>
        <v>0</v>
      </c>
      <c r="DJ84" s="148">
        <f t="shared" si="298"/>
        <v>0</v>
      </c>
      <c r="DK84" s="148">
        <f t="shared" si="289"/>
        <v>0</v>
      </c>
      <c r="DL84" s="148">
        <f t="shared" ref="DL84" si="299">DL85-DL86</f>
        <v>0</v>
      </c>
      <c r="DM84" s="133">
        <f t="shared" si="233"/>
        <v>1</v>
      </c>
      <c r="DN84" s="133">
        <f t="shared" si="232"/>
        <v>1</v>
      </c>
      <c r="DO84" s="148">
        <f t="shared" ref="DO84:DT84" si="300">DO85-DO86</f>
        <v>0</v>
      </c>
      <c r="DP84" s="148">
        <f t="shared" si="300"/>
        <v>0</v>
      </c>
      <c r="DQ84" s="148">
        <f t="shared" si="300"/>
        <v>0</v>
      </c>
      <c r="DR84" s="148">
        <f t="shared" si="300"/>
        <v>0</v>
      </c>
      <c r="DS84" s="148">
        <f t="shared" si="300"/>
        <v>0</v>
      </c>
      <c r="DT84" s="148">
        <f t="shared" si="300"/>
        <v>0</v>
      </c>
      <c r="DU84" s="133" t="e">
        <f>IF($BA$10=0,1,DS84/$BA84)</f>
        <v>#DIV/0!</v>
      </c>
      <c r="DV84" s="133" t="e">
        <f>IF($BA$10=0,1,DT84/$BB84)</f>
        <v>#DIV/0!</v>
      </c>
      <c r="DW84" s="133">
        <f t="shared" si="230"/>
        <v>1</v>
      </c>
      <c r="DX84" s="247">
        <f t="shared" si="231"/>
        <v>1</v>
      </c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  <c r="GY84" s="74"/>
      <c r="GZ84" s="74"/>
      <c r="HA84" s="74"/>
      <c r="HB84" s="74"/>
      <c r="HC84" s="74"/>
      <c r="HD84" s="74"/>
      <c r="HE84" s="74"/>
      <c r="HF84" s="74"/>
      <c r="HG84" s="74"/>
      <c r="HH84" s="74"/>
      <c r="HI84" s="74"/>
      <c r="HJ84" s="74"/>
      <c r="HK84" s="74"/>
      <c r="HL84" s="74"/>
      <c r="HM84" s="74"/>
      <c r="HN84" s="74"/>
      <c r="HO84" s="74"/>
      <c r="HP84" s="74"/>
      <c r="HQ84" s="74"/>
      <c r="HR84" s="74"/>
      <c r="HS84" s="74"/>
      <c r="HT84" s="74"/>
      <c r="HU84" s="74"/>
      <c r="HV84" s="74"/>
      <c r="HW84" s="74"/>
      <c r="HX84" s="74"/>
      <c r="HY84" s="74"/>
      <c r="HZ84" s="74"/>
      <c r="IA84" s="74"/>
      <c r="IB84" s="74"/>
      <c r="IC84" s="74"/>
      <c r="ID84" s="74"/>
      <c r="IE84" s="74"/>
      <c r="IF84" s="74"/>
      <c r="IG84" s="74"/>
      <c r="IH84" s="74"/>
      <c r="II84" s="74"/>
      <c r="IJ84" s="74"/>
      <c r="IK84" s="74"/>
      <c r="IL84" s="74"/>
      <c r="IM84" s="74"/>
      <c r="IN84" s="74"/>
      <c r="IO84" s="74"/>
      <c r="IP84" s="74"/>
      <c r="IQ84" s="74"/>
      <c r="IR84" s="74"/>
      <c r="IS84" s="74"/>
      <c r="IT84" s="74"/>
      <c r="IU84" s="74"/>
      <c r="IV84" s="74"/>
      <c r="IW84" s="74"/>
      <c r="IX84" s="74"/>
      <c r="IY84" s="74"/>
      <c r="IZ84" s="74"/>
      <c r="JA84" s="74"/>
      <c r="JB84" s="74"/>
      <c r="JC84" s="74"/>
      <c r="JD84" s="74"/>
      <c r="JE84" s="74"/>
      <c r="JF84" s="74"/>
      <c r="JG84" s="74"/>
      <c r="JH84" s="74"/>
    </row>
    <row r="85" spans="1:268" s="66" customFormat="1" ht="18" customHeight="1">
      <c r="A85" s="353" t="s">
        <v>147</v>
      </c>
      <c r="B85" s="299"/>
      <c r="C85" s="134">
        <v>0</v>
      </c>
      <c r="D85" s="137">
        <v>2501</v>
      </c>
      <c r="E85" s="137">
        <v>0</v>
      </c>
      <c r="F85" s="137">
        <v>1783</v>
      </c>
      <c r="G85" s="137">
        <v>0</v>
      </c>
      <c r="H85" s="137">
        <v>1489</v>
      </c>
      <c r="I85" s="134"/>
      <c r="J85" s="137"/>
      <c r="K85" s="134"/>
      <c r="L85" s="137"/>
      <c r="M85" s="137"/>
      <c r="N85" s="137"/>
      <c r="O85" s="134"/>
      <c r="P85" s="137"/>
      <c r="Q85" s="137"/>
      <c r="R85" s="137"/>
      <c r="S85" s="134"/>
      <c r="T85" s="137"/>
      <c r="U85" s="137"/>
      <c r="V85" s="137"/>
      <c r="W85" s="134"/>
      <c r="X85" s="137"/>
      <c r="Y85" s="137"/>
      <c r="Z85" s="137"/>
      <c r="AA85" s="134"/>
      <c r="AB85" s="137"/>
      <c r="AC85" s="137"/>
      <c r="AD85" s="137"/>
      <c r="AE85" s="134"/>
      <c r="AF85" s="137"/>
      <c r="AG85" s="137"/>
      <c r="AH85" s="137"/>
      <c r="AI85" s="134"/>
      <c r="AJ85" s="137"/>
      <c r="AK85" s="137"/>
      <c r="AL85" s="137"/>
      <c r="AM85" s="134"/>
      <c r="AN85" s="137"/>
      <c r="AO85" s="137"/>
      <c r="AP85" s="137"/>
      <c r="AQ85" s="134"/>
      <c r="AR85" s="137"/>
      <c r="AS85" s="137"/>
      <c r="AT85" s="137"/>
      <c r="AU85" s="134"/>
      <c r="AV85" s="137"/>
      <c r="AW85" s="134">
        <v>0</v>
      </c>
      <c r="AX85" s="137">
        <v>0</v>
      </c>
      <c r="AY85" s="134"/>
      <c r="AZ85" s="137"/>
      <c r="BA85" s="134">
        <v>0</v>
      </c>
      <c r="BB85" s="137"/>
      <c r="BC85" s="135"/>
      <c r="BD85" s="135"/>
      <c r="BE85" s="134"/>
      <c r="BF85" s="137"/>
      <c r="BG85" s="134"/>
      <c r="BH85" s="137"/>
      <c r="BI85" s="137"/>
      <c r="BJ85" s="137"/>
      <c r="BK85" s="135"/>
      <c r="BL85" s="135"/>
      <c r="BM85" s="134"/>
      <c r="BN85" s="137"/>
      <c r="BO85" s="137"/>
      <c r="BP85" s="137"/>
      <c r="BQ85" s="135"/>
      <c r="BR85" s="135"/>
      <c r="BS85" s="134"/>
      <c r="BT85" s="137"/>
      <c r="BU85" s="137"/>
      <c r="BV85" s="137"/>
      <c r="BW85" s="135"/>
      <c r="BX85" s="135"/>
      <c r="BY85" s="134"/>
      <c r="BZ85" s="137"/>
      <c r="CA85" s="137"/>
      <c r="CB85" s="137"/>
      <c r="CC85" s="135"/>
      <c r="CD85" s="135"/>
      <c r="CE85" s="134"/>
      <c r="CF85" s="137"/>
      <c r="CG85" s="137"/>
      <c r="CH85" s="137"/>
      <c r="CI85" s="135"/>
      <c r="CJ85" s="135"/>
      <c r="CK85" s="134"/>
      <c r="CL85" s="137"/>
      <c r="CM85" s="137"/>
      <c r="CN85" s="137"/>
      <c r="CO85" s="135"/>
      <c r="CP85" s="135"/>
      <c r="CQ85" s="134"/>
      <c r="CR85" s="137"/>
      <c r="CS85" s="137"/>
      <c r="CT85" s="137"/>
      <c r="CU85" s="135"/>
      <c r="CV85" s="135"/>
      <c r="CW85" s="134"/>
      <c r="CX85" s="137"/>
      <c r="CY85" s="137"/>
      <c r="CZ85" s="137"/>
      <c r="DA85" s="135"/>
      <c r="DB85" s="135"/>
      <c r="DC85" s="134"/>
      <c r="DD85" s="137"/>
      <c r="DE85" s="137"/>
      <c r="DF85" s="137"/>
      <c r="DG85" s="135"/>
      <c r="DH85" s="135"/>
      <c r="DI85" s="134"/>
      <c r="DJ85" s="137"/>
      <c r="DK85" s="137">
        <v>0</v>
      </c>
      <c r="DL85" s="137"/>
      <c r="DM85" s="135">
        <f t="shared" si="233"/>
        <v>1</v>
      </c>
      <c r="DN85" s="135">
        <f t="shared" si="232"/>
        <v>1</v>
      </c>
      <c r="DO85" s="134">
        <f>'бюджет округа (района)'!BH85+'бюджеты поселений'!BH85</f>
        <v>0</v>
      </c>
      <c r="DP85" s="137">
        <f>'бюджет округа (района)'!BH85</f>
        <v>0</v>
      </c>
      <c r="DQ85" s="134">
        <f>'бюджет округа (района)'!BI85+'бюджеты поселений'!BI85</f>
        <v>0</v>
      </c>
      <c r="DR85" s="137">
        <f>'бюджет округа (района)'!BI85</f>
        <v>0</v>
      </c>
      <c r="DS85" s="134">
        <v>0</v>
      </c>
      <c r="DT85" s="137"/>
      <c r="DU85" s="229" t="s">
        <v>34</v>
      </c>
      <c r="DV85" s="229" t="s">
        <v>34</v>
      </c>
      <c r="DW85" s="135">
        <f t="shared" si="230"/>
        <v>1</v>
      </c>
      <c r="DX85" s="197">
        <f t="shared" si="231"/>
        <v>1</v>
      </c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  <c r="IW85" s="65"/>
      <c r="IX85" s="65"/>
      <c r="IY85" s="65"/>
      <c r="IZ85" s="65"/>
      <c r="JA85" s="65"/>
      <c r="JB85" s="65"/>
      <c r="JC85" s="65"/>
      <c r="JD85" s="65"/>
      <c r="JE85" s="65"/>
      <c r="JF85" s="65"/>
      <c r="JG85" s="65"/>
      <c r="JH85" s="65"/>
    </row>
    <row r="86" spans="1:268" s="66" customFormat="1" ht="18" customHeight="1">
      <c r="A86" s="353" t="s">
        <v>148</v>
      </c>
      <c r="B86" s="299"/>
      <c r="C86" s="134">
        <v>0</v>
      </c>
      <c r="D86" s="137">
        <v>0</v>
      </c>
      <c r="E86" s="137">
        <v>0</v>
      </c>
      <c r="F86" s="137">
        <v>0</v>
      </c>
      <c r="G86" s="137">
        <v>0</v>
      </c>
      <c r="H86" s="137">
        <v>6689</v>
      </c>
      <c r="I86" s="134"/>
      <c r="J86" s="137"/>
      <c r="K86" s="134"/>
      <c r="L86" s="137"/>
      <c r="M86" s="137"/>
      <c r="N86" s="137"/>
      <c r="O86" s="134"/>
      <c r="P86" s="137"/>
      <c r="Q86" s="137"/>
      <c r="R86" s="137"/>
      <c r="S86" s="134"/>
      <c r="T86" s="137"/>
      <c r="U86" s="137"/>
      <c r="V86" s="137"/>
      <c r="W86" s="134"/>
      <c r="X86" s="137"/>
      <c r="Y86" s="137"/>
      <c r="Z86" s="137"/>
      <c r="AA86" s="134"/>
      <c r="AB86" s="137"/>
      <c r="AC86" s="137"/>
      <c r="AD86" s="137"/>
      <c r="AE86" s="134"/>
      <c r="AF86" s="137"/>
      <c r="AG86" s="137"/>
      <c r="AH86" s="137"/>
      <c r="AI86" s="134"/>
      <c r="AJ86" s="137"/>
      <c r="AK86" s="137"/>
      <c r="AL86" s="137"/>
      <c r="AM86" s="134"/>
      <c r="AN86" s="137"/>
      <c r="AO86" s="137"/>
      <c r="AP86" s="137"/>
      <c r="AQ86" s="134"/>
      <c r="AR86" s="137"/>
      <c r="AS86" s="137"/>
      <c r="AT86" s="137"/>
      <c r="AU86" s="134"/>
      <c r="AV86" s="137"/>
      <c r="AW86" s="134">
        <v>0</v>
      </c>
      <c r="AX86" s="137">
        <v>0</v>
      </c>
      <c r="AY86" s="134"/>
      <c r="AZ86" s="137"/>
      <c r="BA86" s="134">
        <v>0</v>
      </c>
      <c r="BB86" s="137"/>
      <c r="BC86" s="135"/>
      <c r="BD86" s="135"/>
      <c r="BE86" s="134"/>
      <c r="BF86" s="137"/>
      <c r="BG86" s="134"/>
      <c r="BH86" s="137"/>
      <c r="BI86" s="137"/>
      <c r="BJ86" s="137"/>
      <c r="BK86" s="135"/>
      <c r="BL86" s="135"/>
      <c r="BM86" s="134"/>
      <c r="BN86" s="137"/>
      <c r="BO86" s="137"/>
      <c r="BP86" s="137"/>
      <c r="BQ86" s="135"/>
      <c r="BR86" s="135"/>
      <c r="BS86" s="134"/>
      <c r="BT86" s="137"/>
      <c r="BU86" s="137"/>
      <c r="BV86" s="137"/>
      <c r="BW86" s="135"/>
      <c r="BX86" s="135"/>
      <c r="BY86" s="134"/>
      <c r="BZ86" s="137"/>
      <c r="CA86" s="137"/>
      <c r="CB86" s="137"/>
      <c r="CC86" s="135"/>
      <c r="CD86" s="135"/>
      <c r="CE86" s="134"/>
      <c r="CF86" s="137"/>
      <c r="CG86" s="137"/>
      <c r="CH86" s="137"/>
      <c r="CI86" s="135"/>
      <c r="CJ86" s="135"/>
      <c r="CK86" s="134"/>
      <c r="CL86" s="137"/>
      <c r="CM86" s="137"/>
      <c r="CN86" s="137"/>
      <c r="CO86" s="135"/>
      <c r="CP86" s="135"/>
      <c r="CQ86" s="134"/>
      <c r="CR86" s="137"/>
      <c r="CS86" s="137"/>
      <c r="CT86" s="137"/>
      <c r="CU86" s="135"/>
      <c r="CV86" s="135"/>
      <c r="CW86" s="134"/>
      <c r="CX86" s="137"/>
      <c r="CY86" s="137"/>
      <c r="CZ86" s="137"/>
      <c r="DA86" s="135"/>
      <c r="DB86" s="135"/>
      <c r="DC86" s="134"/>
      <c r="DD86" s="137"/>
      <c r="DE86" s="137"/>
      <c r="DF86" s="137"/>
      <c r="DG86" s="135"/>
      <c r="DH86" s="135"/>
      <c r="DI86" s="134"/>
      <c r="DJ86" s="137"/>
      <c r="DK86" s="137">
        <v>0</v>
      </c>
      <c r="DL86" s="137"/>
      <c r="DM86" s="135">
        <f t="shared" si="233"/>
        <v>1</v>
      </c>
      <c r="DN86" s="135">
        <f t="shared" si="232"/>
        <v>1</v>
      </c>
      <c r="DO86" s="134">
        <f>'бюджет округа (района)'!BH86+'бюджеты поселений'!BH86</f>
        <v>0</v>
      </c>
      <c r="DP86" s="137">
        <f>'бюджет округа (района)'!BH86</f>
        <v>0</v>
      </c>
      <c r="DQ86" s="134">
        <f>'бюджет округа (района)'!BI86+'бюджеты поселений'!BI86</f>
        <v>0</v>
      </c>
      <c r="DR86" s="137">
        <f>'бюджет округа (района)'!BI86</f>
        <v>0</v>
      </c>
      <c r="DS86" s="134">
        <v>0</v>
      </c>
      <c r="DT86" s="137"/>
      <c r="DU86" s="135" t="e">
        <f>IF($BA$10=0,1,DS86/$BA86)</f>
        <v>#DIV/0!</v>
      </c>
      <c r="DV86" s="135" t="e">
        <f>IF($BA$10=0,1,DT86/$BB86)</f>
        <v>#DIV/0!</v>
      </c>
      <c r="DW86" s="135">
        <f t="shared" si="230"/>
        <v>1</v>
      </c>
      <c r="DX86" s="197">
        <f t="shared" si="231"/>
        <v>1</v>
      </c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  <c r="IW86" s="65"/>
      <c r="IX86" s="65"/>
      <c r="IY86" s="65"/>
      <c r="IZ86" s="65"/>
      <c r="JA86" s="65"/>
      <c r="JB86" s="65"/>
      <c r="JC86" s="65"/>
      <c r="JD86" s="65"/>
      <c r="JE86" s="65"/>
      <c r="JF86" s="65"/>
      <c r="JG86" s="65"/>
      <c r="JH86" s="65"/>
    </row>
    <row r="87" spans="1:268" s="66" customFormat="1" ht="18" customHeight="1">
      <c r="A87" s="355" t="s">
        <v>61</v>
      </c>
      <c r="B87" s="301"/>
      <c r="C87" s="148">
        <f t="shared" ref="C87:D87" si="301">(C86+C83+C80+C55)-(C10+C79+C82+C85)</f>
        <v>-4951</v>
      </c>
      <c r="D87" s="148">
        <f t="shared" si="301"/>
        <v>-1156</v>
      </c>
      <c r="E87" s="148">
        <f>(E86+E83+E80+E55)-(E10+E79+E82+E85)</f>
        <v>-15417</v>
      </c>
      <c r="F87" s="148">
        <f>(F86+F83+F80+F55)-(F10+F79+F82+F85)</f>
        <v>-1299</v>
      </c>
      <c r="G87" s="148">
        <f>(G86+G83+G80+G55)-(G10+G79+G82+G85)</f>
        <v>13948</v>
      </c>
      <c r="H87" s="148">
        <f>(H86+H83+H80+H55)-(H10+H79+H82+H85)</f>
        <v>-3863</v>
      </c>
      <c r="I87" s="148">
        <f t="shared" ref="I87:AH87" si="302">(I86+I83+I80+I55)-(I10+I79+I82+I85)</f>
        <v>0</v>
      </c>
      <c r="J87" s="148">
        <f t="shared" si="302"/>
        <v>0</v>
      </c>
      <c r="K87" s="148">
        <f t="shared" si="302"/>
        <v>0</v>
      </c>
      <c r="L87" s="148">
        <f t="shared" si="302"/>
        <v>0</v>
      </c>
      <c r="M87" s="148">
        <f t="shared" si="302"/>
        <v>0</v>
      </c>
      <c r="N87" s="148">
        <f t="shared" si="302"/>
        <v>0</v>
      </c>
      <c r="O87" s="148">
        <f t="shared" si="302"/>
        <v>0</v>
      </c>
      <c r="P87" s="148">
        <f t="shared" si="302"/>
        <v>0</v>
      </c>
      <c r="Q87" s="148">
        <f t="shared" si="302"/>
        <v>0</v>
      </c>
      <c r="R87" s="148">
        <f t="shared" si="302"/>
        <v>0</v>
      </c>
      <c r="S87" s="148">
        <f t="shared" si="302"/>
        <v>0</v>
      </c>
      <c r="T87" s="148">
        <f t="shared" si="302"/>
        <v>0</v>
      </c>
      <c r="U87" s="148">
        <f t="shared" si="302"/>
        <v>0</v>
      </c>
      <c r="V87" s="148">
        <f t="shared" si="302"/>
        <v>0</v>
      </c>
      <c r="W87" s="148">
        <f t="shared" si="302"/>
        <v>0</v>
      </c>
      <c r="X87" s="148">
        <f t="shared" si="302"/>
        <v>0</v>
      </c>
      <c r="Y87" s="148">
        <f t="shared" si="302"/>
        <v>0</v>
      </c>
      <c r="Z87" s="148">
        <f t="shared" si="302"/>
        <v>0</v>
      </c>
      <c r="AA87" s="148">
        <f t="shared" si="302"/>
        <v>0</v>
      </c>
      <c r="AB87" s="148">
        <f t="shared" si="302"/>
        <v>0</v>
      </c>
      <c r="AC87" s="148">
        <f t="shared" si="302"/>
        <v>0</v>
      </c>
      <c r="AD87" s="148">
        <f t="shared" si="302"/>
        <v>0</v>
      </c>
      <c r="AE87" s="148">
        <f t="shared" si="302"/>
        <v>0</v>
      </c>
      <c r="AF87" s="148">
        <f t="shared" si="302"/>
        <v>0</v>
      </c>
      <c r="AG87" s="148">
        <f t="shared" si="302"/>
        <v>0</v>
      </c>
      <c r="AH87" s="148">
        <f t="shared" si="302"/>
        <v>0</v>
      </c>
      <c r="AI87" s="148">
        <f t="shared" ref="AI87:AZ87" si="303">(AI86+AI83+AI80+AI55)-(AI10+AI79+AI82+AI85)</f>
        <v>0</v>
      </c>
      <c r="AJ87" s="148">
        <f t="shared" si="303"/>
        <v>0</v>
      </c>
      <c r="AK87" s="148">
        <f t="shared" si="303"/>
        <v>0</v>
      </c>
      <c r="AL87" s="148">
        <f t="shared" si="303"/>
        <v>0</v>
      </c>
      <c r="AM87" s="148">
        <f t="shared" si="303"/>
        <v>0</v>
      </c>
      <c r="AN87" s="148">
        <f t="shared" si="303"/>
        <v>0</v>
      </c>
      <c r="AO87" s="148">
        <f t="shared" si="303"/>
        <v>0</v>
      </c>
      <c r="AP87" s="148">
        <f t="shared" si="303"/>
        <v>0</v>
      </c>
      <c r="AQ87" s="148">
        <f t="shared" si="303"/>
        <v>0</v>
      </c>
      <c r="AR87" s="148">
        <f t="shared" si="303"/>
        <v>0</v>
      </c>
      <c r="AS87" s="148">
        <f t="shared" si="303"/>
        <v>0</v>
      </c>
      <c r="AT87" s="148">
        <f t="shared" si="303"/>
        <v>0</v>
      </c>
      <c r="AU87" s="148">
        <f t="shared" si="303"/>
        <v>0</v>
      </c>
      <c r="AV87" s="148">
        <f t="shared" si="303"/>
        <v>0</v>
      </c>
      <c r="AW87" s="148">
        <f t="shared" si="303"/>
        <v>15430</v>
      </c>
      <c r="AX87" s="148">
        <f t="shared" si="303"/>
        <v>-2431</v>
      </c>
      <c r="AY87" s="148">
        <f t="shared" si="303"/>
        <v>0</v>
      </c>
      <c r="AZ87" s="148">
        <f t="shared" si="303"/>
        <v>0</v>
      </c>
      <c r="BA87" s="148">
        <f>(BA86+BA83+BA80+BA55)-(BA10+BA79+BA82+BA85)-100000</f>
        <v>8426</v>
      </c>
      <c r="BB87" s="148">
        <f>(BB86+BB83+BB80+BB55)-(BB10+BB79+BB82+BB85)</f>
        <v>0</v>
      </c>
      <c r="BC87" s="133">
        <f t="shared" si="258"/>
        <v>-0.39589905362776023</v>
      </c>
      <c r="BD87" s="133">
        <f t="shared" si="259"/>
        <v>-1</v>
      </c>
      <c r="BE87" s="148">
        <f t="shared" ref="BE87:BJ87" si="304">(BE86+BE83+BE80+BE55)-(BE10+BE79+BE82+BE85)</f>
        <v>0</v>
      </c>
      <c r="BF87" s="148">
        <f t="shared" si="304"/>
        <v>0</v>
      </c>
      <c r="BG87" s="148">
        <f t="shared" si="304"/>
        <v>0</v>
      </c>
      <c r="BH87" s="148">
        <f t="shared" si="304"/>
        <v>0</v>
      </c>
      <c r="BI87" s="148">
        <f t="shared" si="304"/>
        <v>0</v>
      </c>
      <c r="BJ87" s="148">
        <f t="shared" si="304"/>
        <v>0</v>
      </c>
      <c r="BK87" s="133">
        <f t="shared" si="200"/>
        <v>1</v>
      </c>
      <c r="BL87" s="133">
        <f t="shared" si="201"/>
        <v>1</v>
      </c>
      <c r="BM87" s="148">
        <f>(BM86+BM83+BM80+BM55)-(BM10+BM79+BM82+BM85)</f>
        <v>0</v>
      </c>
      <c r="BN87" s="148">
        <f>(BN86+BN83+BN80+BN55)-(BN10+BN79+BN82+BN85)</f>
        <v>0</v>
      </c>
      <c r="BO87" s="148">
        <f>(BO86+BO83+BO80+BO55)-(BO10+BO79+BO82+BO85)</f>
        <v>0</v>
      </c>
      <c r="BP87" s="148">
        <f>(BP86+BP83+BP80+BP55)-(BP10+BP79+BP82+BP85)</f>
        <v>0</v>
      </c>
      <c r="BQ87" s="133">
        <f t="shared" si="203"/>
        <v>1</v>
      </c>
      <c r="BR87" s="133">
        <f t="shared" si="204"/>
        <v>1</v>
      </c>
      <c r="BS87" s="148">
        <f>(BS86+BS83+BS80+BS55)-(BS10+BS79+BS82+BS85)</f>
        <v>0</v>
      </c>
      <c r="BT87" s="148">
        <f>(BT86+BT83+BT80+BT55)-(BT10+BT79+BT82+BT85)</f>
        <v>0</v>
      </c>
      <c r="BU87" s="148">
        <f>(BU86+BU83+BU80+BU55)-(BU10+BU79+BU82+BU85)</f>
        <v>0</v>
      </c>
      <c r="BV87" s="148">
        <f>(BV86+BV83+BV80+BV55)-(BV10+BV79+BV82+BV85)</f>
        <v>0</v>
      </c>
      <c r="BW87" s="133">
        <f t="shared" si="206"/>
        <v>1</v>
      </c>
      <c r="BX87" s="133">
        <f t="shared" si="207"/>
        <v>1</v>
      </c>
      <c r="BY87" s="148">
        <f>(BY86+BY83+BY80+BY55)-(BY10+BY79+BY82+BY85)</f>
        <v>0</v>
      </c>
      <c r="BZ87" s="148">
        <f>(BZ86+BZ83+BZ80+BZ55)-(BZ10+BZ79+BZ82+BZ85)</f>
        <v>0</v>
      </c>
      <c r="CA87" s="148">
        <f>(CA86+CA83+CA80+CA55)-(CA10+CA79+CA82+CA85)</f>
        <v>0</v>
      </c>
      <c r="CB87" s="148">
        <f>(CB86+CB83+CB80+CB55)-(CB10+CB79+CB82+CB85)</f>
        <v>0</v>
      </c>
      <c r="CC87" s="133">
        <f t="shared" si="209"/>
        <v>1</v>
      </c>
      <c r="CD87" s="133">
        <f t="shared" si="210"/>
        <v>1</v>
      </c>
      <c r="CE87" s="148">
        <f>(CE86+CE83+CE80+CE55)-(CE10+CE79+CE82+CE85)</f>
        <v>0</v>
      </c>
      <c r="CF87" s="148">
        <f>(CF86+CF83+CF80+CF55)-(CF10+CF79+CF82+CF85)</f>
        <v>0</v>
      </c>
      <c r="CG87" s="148">
        <f>(CG86+CG83+CG80+CG55)-(CG10+CG79+CG82+CG85)</f>
        <v>0</v>
      </c>
      <c r="CH87" s="148">
        <f>(CH86+CH83+CH80+CH55)-(CH10+CH79+CH82+CH85)</f>
        <v>0</v>
      </c>
      <c r="CI87" s="133">
        <f t="shared" si="212"/>
        <v>1</v>
      </c>
      <c r="CJ87" s="133">
        <f t="shared" si="213"/>
        <v>1</v>
      </c>
      <c r="CK87" s="148">
        <f>(CK86+CK83+CK80+CK55)-(CK10+CK79+CK82+CK85)</f>
        <v>0</v>
      </c>
      <c r="CL87" s="148">
        <f>(CL86+CL83+CL80+CL55)-(CL10+CL79+CL82+CL85)</f>
        <v>0</v>
      </c>
      <c r="CM87" s="148">
        <f>(CM86+CM83+CM80+CM55)-(CM10+CM79+CM82+CM85)</f>
        <v>0</v>
      </c>
      <c r="CN87" s="148">
        <f>(CN86+CN83+CN80+CN55)-(CN10+CN79+CN82+CN85)</f>
        <v>0</v>
      </c>
      <c r="CO87" s="133">
        <f t="shared" si="215"/>
        <v>1</v>
      </c>
      <c r="CP87" s="133">
        <f t="shared" si="216"/>
        <v>1</v>
      </c>
      <c r="CQ87" s="148">
        <f>(CQ86+CQ83+CQ80+CQ55)-(CQ10+CQ79+CQ82+CQ85)</f>
        <v>0</v>
      </c>
      <c r="CR87" s="148">
        <f>(CR86+CR83+CR80+CR55)-(CR10+CR79+CR82+CR85)</f>
        <v>0</v>
      </c>
      <c r="CS87" s="148">
        <f>(CS86+CS83+CS80+CS55)-(CS10+CS79+CS82+CS85)</f>
        <v>0</v>
      </c>
      <c r="CT87" s="148">
        <f>(CT86+CT83+CT80+CT55)-(CT10+CT79+CT82+CT85)</f>
        <v>0</v>
      </c>
      <c r="CU87" s="133">
        <f t="shared" si="218"/>
        <v>1</v>
      </c>
      <c r="CV87" s="133">
        <f t="shared" si="219"/>
        <v>1</v>
      </c>
      <c r="CW87" s="148">
        <f>(CW86+CW83+CW80+CW55)-(CW10+CW79+CW82+CW85)</f>
        <v>0</v>
      </c>
      <c r="CX87" s="148">
        <f>(CX86+CX83+CX80+CX55)-(CX10+CX79+CX82+CX85)</f>
        <v>0</v>
      </c>
      <c r="CY87" s="148">
        <f>(CY86+CY83+CY80+CY55)-(CY10+CY79+CY82+CY85)</f>
        <v>0</v>
      </c>
      <c r="CZ87" s="148">
        <f>(CZ86+CZ83+CZ80+CZ55)-(CZ10+CZ79+CZ82+CZ85)</f>
        <v>0</v>
      </c>
      <c r="DA87" s="133">
        <f t="shared" si="221"/>
        <v>1</v>
      </c>
      <c r="DB87" s="133">
        <f t="shared" si="222"/>
        <v>1</v>
      </c>
      <c r="DC87" s="148">
        <f>(DC86+DC83+DC80+DC55)-(DC10+DC79+DC82+DC85)</f>
        <v>0</v>
      </c>
      <c r="DD87" s="148">
        <f>(DD86+DD83+DD80+DD55)-(DD10+DD79+DD82+DD85)</f>
        <v>0</v>
      </c>
      <c r="DE87" s="148">
        <f>(DE86+DE83+DE80+DE55)-(DE10+DE79+DE82+DE85)</f>
        <v>0</v>
      </c>
      <c r="DF87" s="148">
        <f>(DF86+DF83+DF80+DF55)-(DF10+DF79+DF82+DF85)</f>
        <v>0</v>
      </c>
      <c r="DG87" s="133">
        <f t="shared" si="224"/>
        <v>1</v>
      </c>
      <c r="DH87" s="133">
        <f t="shared" si="225"/>
        <v>1</v>
      </c>
      <c r="DI87" s="148">
        <f>(DI86+DI83+DI80+DI55)-(DI10+DI79+DI82+DI85)</f>
        <v>0</v>
      </c>
      <c r="DJ87" s="148">
        <f>(DJ86+DJ83+DJ80+DJ55)-(DJ10+DJ79+DJ82+DJ85)</f>
        <v>0</v>
      </c>
      <c r="DK87" s="148">
        <f>(DK86+DK83+DK80+DK55)-(DK10+DK79+DK82+DK85)</f>
        <v>3087</v>
      </c>
      <c r="DL87" s="148">
        <f>(DL86+DL83+DL80+DL55)-(DL10+DL79+DL82+DL85)</f>
        <v>0</v>
      </c>
      <c r="DM87" s="133">
        <f t="shared" si="233"/>
        <v>0.20006480881399871</v>
      </c>
      <c r="DN87" s="133">
        <f t="shared" si="232"/>
        <v>0</v>
      </c>
      <c r="DO87" s="148" t="e">
        <f t="shared" ref="DO87:DR87" si="305">(DO86+DO83+DO80+DO55)-(DO10+DO79+DO82+DO85)</f>
        <v>#REF!</v>
      </c>
      <c r="DP87" s="148" t="e">
        <f t="shared" si="305"/>
        <v>#REF!</v>
      </c>
      <c r="DQ87" s="148" t="e">
        <f t="shared" si="305"/>
        <v>#REF!</v>
      </c>
      <c r="DR87" s="148" t="e">
        <f t="shared" si="305"/>
        <v>#REF!</v>
      </c>
      <c r="DS87" s="148">
        <f>(DS86+DS83+DS80+DS55)-(DS10+DS79+DS82+DS85)</f>
        <v>38734</v>
      </c>
      <c r="DT87" s="148">
        <f>(DT86+DT83+DT80+DT55)-(DT10+DT79+DT82+DT85)</f>
        <v>0</v>
      </c>
      <c r="DU87" s="133">
        <f>IF($BA$10=0,1,DS87/$BA87)</f>
        <v>4.5969617849513407</v>
      </c>
      <c r="DV87" s="133" t="e">
        <f>IF($BA$10=0,1,DT87/$BB87)</f>
        <v>#DIV/0!</v>
      </c>
      <c r="DW87" s="133">
        <f t="shared" si="230"/>
        <v>2.7770289647261257</v>
      </c>
      <c r="DX87" s="247">
        <f t="shared" si="231"/>
        <v>0</v>
      </c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  <c r="IW87" s="65"/>
      <c r="IX87" s="65"/>
      <c r="IY87" s="65"/>
      <c r="IZ87" s="65"/>
      <c r="JA87" s="65"/>
      <c r="JB87" s="65"/>
      <c r="JC87" s="65"/>
      <c r="JD87" s="65"/>
      <c r="JE87" s="65"/>
      <c r="JF87" s="65"/>
      <c r="JG87" s="65"/>
      <c r="JH87" s="65"/>
    </row>
    <row r="88" spans="1:268" s="72" customFormat="1" ht="78" customHeight="1">
      <c r="A88" s="356" t="s">
        <v>167</v>
      </c>
      <c r="B88" s="303"/>
      <c r="C88" s="267" t="s">
        <v>51</v>
      </c>
      <c r="D88" s="267" t="s">
        <v>51</v>
      </c>
      <c r="E88" s="267" t="s">
        <v>51</v>
      </c>
      <c r="F88" s="267" t="s">
        <v>51</v>
      </c>
      <c r="G88" s="267" t="s">
        <v>51</v>
      </c>
      <c r="H88" s="267" t="s">
        <v>51</v>
      </c>
      <c r="I88" s="267" t="s">
        <v>51</v>
      </c>
      <c r="J88" s="267" t="s">
        <v>51</v>
      </c>
      <c r="K88" s="267" t="s">
        <v>51</v>
      </c>
      <c r="L88" s="267" t="s">
        <v>51</v>
      </c>
      <c r="M88" s="267" t="s">
        <v>51</v>
      </c>
      <c r="N88" s="267" t="s">
        <v>51</v>
      </c>
      <c r="O88" s="267" t="s">
        <v>51</v>
      </c>
      <c r="P88" s="267" t="s">
        <v>51</v>
      </c>
      <c r="Q88" s="267" t="s">
        <v>51</v>
      </c>
      <c r="R88" s="267" t="s">
        <v>51</v>
      </c>
      <c r="S88" s="267" t="s">
        <v>51</v>
      </c>
      <c r="T88" s="267" t="s">
        <v>51</v>
      </c>
      <c r="U88" s="267" t="s">
        <v>51</v>
      </c>
      <c r="V88" s="267" t="s">
        <v>51</v>
      </c>
      <c r="W88" s="267" t="s">
        <v>51</v>
      </c>
      <c r="X88" s="267" t="s">
        <v>51</v>
      </c>
      <c r="Y88" s="267" t="s">
        <v>51</v>
      </c>
      <c r="Z88" s="267" t="s">
        <v>51</v>
      </c>
      <c r="AA88" s="267" t="s">
        <v>51</v>
      </c>
      <c r="AB88" s="267" t="s">
        <v>51</v>
      </c>
      <c r="AC88" s="267" t="s">
        <v>51</v>
      </c>
      <c r="AD88" s="267" t="s">
        <v>51</v>
      </c>
      <c r="AE88" s="267" t="s">
        <v>51</v>
      </c>
      <c r="AF88" s="267" t="s">
        <v>51</v>
      </c>
      <c r="AG88" s="267" t="s">
        <v>51</v>
      </c>
      <c r="AH88" s="267" t="s">
        <v>51</v>
      </c>
      <c r="AI88" s="267" t="s">
        <v>51</v>
      </c>
      <c r="AJ88" s="267" t="s">
        <v>51</v>
      </c>
      <c r="AK88" s="267" t="s">
        <v>51</v>
      </c>
      <c r="AL88" s="267" t="s">
        <v>51</v>
      </c>
      <c r="AM88" s="267" t="s">
        <v>51</v>
      </c>
      <c r="AN88" s="267" t="s">
        <v>51</v>
      </c>
      <c r="AO88" s="267" t="s">
        <v>51</v>
      </c>
      <c r="AP88" s="267" t="s">
        <v>51</v>
      </c>
      <c r="AQ88" s="267" t="s">
        <v>51</v>
      </c>
      <c r="AR88" s="267" t="s">
        <v>51</v>
      </c>
      <c r="AS88" s="267" t="s">
        <v>51</v>
      </c>
      <c r="AT88" s="267" t="s">
        <v>51</v>
      </c>
      <c r="AU88" s="267" t="s">
        <v>51</v>
      </c>
      <c r="AV88" s="267" t="s">
        <v>51</v>
      </c>
      <c r="AW88" s="267" t="s">
        <v>51</v>
      </c>
      <c r="AX88" s="267" t="s">
        <v>51</v>
      </c>
      <c r="AY88" s="267" t="s">
        <v>51</v>
      </c>
      <c r="AZ88" s="267" t="s">
        <v>51</v>
      </c>
      <c r="BA88" s="267" t="s">
        <v>51</v>
      </c>
      <c r="BB88" s="267" t="s">
        <v>51</v>
      </c>
      <c r="BC88" s="267" t="s">
        <v>51</v>
      </c>
      <c r="BD88" s="267" t="s">
        <v>51</v>
      </c>
      <c r="BE88" s="267" t="s">
        <v>51</v>
      </c>
      <c r="BF88" s="267" t="s">
        <v>51</v>
      </c>
      <c r="BG88" s="267" t="s">
        <v>51</v>
      </c>
      <c r="BH88" s="267" t="s">
        <v>51</v>
      </c>
      <c r="BI88" s="267" t="s">
        <v>51</v>
      </c>
      <c r="BJ88" s="267" t="s">
        <v>51</v>
      </c>
      <c r="BK88" s="267" t="s">
        <v>51</v>
      </c>
      <c r="BL88" s="267" t="s">
        <v>51</v>
      </c>
      <c r="BM88" s="267" t="s">
        <v>51</v>
      </c>
      <c r="BN88" s="267" t="s">
        <v>51</v>
      </c>
      <c r="BO88" s="267" t="s">
        <v>51</v>
      </c>
      <c r="BP88" s="267" t="s">
        <v>51</v>
      </c>
      <c r="BQ88" s="267" t="s">
        <v>51</v>
      </c>
      <c r="BR88" s="267" t="s">
        <v>51</v>
      </c>
      <c r="BS88" s="267" t="s">
        <v>51</v>
      </c>
      <c r="BT88" s="267" t="s">
        <v>51</v>
      </c>
      <c r="BU88" s="267" t="s">
        <v>51</v>
      </c>
      <c r="BV88" s="267" t="s">
        <v>51</v>
      </c>
      <c r="BW88" s="267" t="s">
        <v>51</v>
      </c>
      <c r="BX88" s="267" t="s">
        <v>51</v>
      </c>
      <c r="BY88" s="267" t="s">
        <v>51</v>
      </c>
      <c r="BZ88" s="267" t="s">
        <v>51</v>
      </c>
      <c r="CA88" s="267" t="s">
        <v>51</v>
      </c>
      <c r="CB88" s="267" t="s">
        <v>51</v>
      </c>
      <c r="CC88" s="267" t="s">
        <v>51</v>
      </c>
      <c r="CD88" s="267" t="s">
        <v>51</v>
      </c>
      <c r="CE88" s="267" t="s">
        <v>51</v>
      </c>
      <c r="CF88" s="267" t="s">
        <v>51</v>
      </c>
      <c r="CG88" s="267" t="s">
        <v>51</v>
      </c>
      <c r="CH88" s="267" t="s">
        <v>51</v>
      </c>
      <c r="CI88" s="267" t="s">
        <v>51</v>
      </c>
      <c r="CJ88" s="267" t="s">
        <v>51</v>
      </c>
      <c r="CK88" s="267" t="s">
        <v>51</v>
      </c>
      <c r="CL88" s="267" t="s">
        <v>51</v>
      </c>
      <c r="CM88" s="267" t="s">
        <v>51</v>
      </c>
      <c r="CN88" s="267" t="s">
        <v>51</v>
      </c>
      <c r="CO88" s="267" t="s">
        <v>51</v>
      </c>
      <c r="CP88" s="267" t="s">
        <v>51</v>
      </c>
      <c r="CQ88" s="267" t="s">
        <v>51</v>
      </c>
      <c r="CR88" s="267" t="s">
        <v>51</v>
      </c>
      <c r="CS88" s="267" t="s">
        <v>51</v>
      </c>
      <c r="CT88" s="267" t="s">
        <v>51</v>
      </c>
      <c r="CU88" s="267" t="s">
        <v>51</v>
      </c>
      <c r="CV88" s="267" t="s">
        <v>51</v>
      </c>
      <c r="CW88" s="267" t="s">
        <v>51</v>
      </c>
      <c r="CX88" s="267" t="s">
        <v>51</v>
      </c>
      <c r="CY88" s="267" t="s">
        <v>51</v>
      </c>
      <c r="CZ88" s="267" t="s">
        <v>51</v>
      </c>
      <c r="DA88" s="267" t="s">
        <v>51</v>
      </c>
      <c r="DB88" s="267" t="s">
        <v>51</v>
      </c>
      <c r="DC88" s="267" t="s">
        <v>51</v>
      </c>
      <c r="DD88" s="267" t="s">
        <v>51</v>
      </c>
      <c r="DE88" s="267" t="s">
        <v>51</v>
      </c>
      <c r="DF88" s="267" t="s">
        <v>51</v>
      </c>
      <c r="DG88" s="267" t="s">
        <v>51</v>
      </c>
      <c r="DH88" s="267" t="s">
        <v>51</v>
      </c>
      <c r="DI88" s="267" t="s">
        <v>51</v>
      </c>
      <c r="DJ88" s="267" t="s">
        <v>51</v>
      </c>
      <c r="DK88" s="267" t="s">
        <v>51</v>
      </c>
      <c r="DL88" s="267" t="s">
        <v>51</v>
      </c>
      <c r="DM88" s="267" t="s">
        <v>51</v>
      </c>
      <c r="DN88" s="267" t="s">
        <v>51</v>
      </c>
      <c r="DO88" s="241" t="s">
        <v>51</v>
      </c>
      <c r="DP88" s="241" t="s">
        <v>51</v>
      </c>
      <c r="DQ88" s="241" t="s">
        <v>51</v>
      </c>
      <c r="DR88" s="241" t="s">
        <v>51</v>
      </c>
      <c r="DS88" s="228">
        <f>SUM(DS87+ G128-G129+ DS74+DS77-BA128-BA129)</f>
        <v>41813</v>
      </c>
      <c r="DT88" s="270" t="s">
        <v>51</v>
      </c>
      <c r="DU88" s="241" t="s">
        <v>51</v>
      </c>
      <c r="DV88" s="241" t="s">
        <v>51</v>
      </c>
      <c r="DW88" s="241" t="s">
        <v>51</v>
      </c>
      <c r="DX88" s="200" t="s">
        <v>51</v>
      </c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  <c r="IJ88" s="71"/>
      <c r="IK88" s="71"/>
      <c r="IL88" s="71"/>
      <c r="IM88" s="71"/>
      <c r="IN88" s="71"/>
      <c r="IO88" s="71"/>
      <c r="IP88" s="71"/>
      <c r="IQ88" s="71"/>
      <c r="IR88" s="71"/>
      <c r="IS88" s="71"/>
      <c r="IT88" s="71"/>
      <c r="IU88" s="71"/>
      <c r="IV88" s="71"/>
      <c r="IW88" s="71"/>
      <c r="IX88" s="71"/>
      <c r="IY88" s="71"/>
      <c r="IZ88" s="71"/>
      <c r="JA88" s="71"/>
      <c r="JB88" s="71"/>
      <c r="JC88" s="71"/>
      <c r="JD88" s="71"/>
      <c r="JE88" s="71"/>
      <c r="JF88" s="71"/>
      <c r="JG88" s="71"/>
      <c r="JH88" s="71"/>
    </row>
    <row r="89" spans="1:268" s="66" customFormat="1" ht="30" customHeight="1">
      <c r="A89" s="357" t="s">
        <v>63</v>
      </c>
      <c r="B89" s="305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152"/>
      <c r="N89" s="152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  <c r="BC89" s="263"/>
      <c r="BD89" s="148"/>
      <c r="BE89" s="263"/>
      <c r="BF89" s="263"/>
      <c r="BG89" s="263"/>
      <c r="BH89" s="263"/>
      <c r="BI89" s="152"/>
      <c r="BJ89" s="152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3"/>
      <c r="BX89" s="263"/>
      <c r="BY89" s="263"/>
      <c r="BZ89" s="263"/>
      <c r="CA89" s="263"/>
      <c r="CB89" s="263"/>
      <c r="CC89" s="263"/>
      <c r="CD89" s="263"/>
      <c r="CE89" s="263"/>
      <c r="CF89" s="263"/>
      <c r="CG89" s="263"/>
      <c r="CH89" s="263"/>
      <c r="CI89" s="263"/>
      <c r="CJ89" s="263"/>
      <c r="CK89" s="263"/>
      <c r="CL89" s="263"/>
      <c r="CM89" s="263"/>
      <c r="CN89" s="263"/>
      <c r="CO89" s="263"/>
      <c r="CP89" s="263"/>
      <c r="CQ89" s="263"/>
      <c r="CR89" s="263"/>
      <c r="CS89" s="263"/>
      <c r="CT89" s="263"/>
      <c r="CU89" s="263"/>
      <c r="CV89" s="263"/>
      <c r="CW89" s="263"/>
      <c r="CX89" s="263"/>
      <c r="CY89" s="263"/>
      <c r="CZ89" s="263"/>
      <c r="DA89" s="263"/>
      <c r="DB89" s="263"/>
      <c r="DC89" s="263"/>
      <c r="DD89" s="263"/>
      <c r="DE89" s="263"/>
      <c r="DF89" s="263"/>
      <c r="DG89" s="263"/>
      <c r="DH89" s="263"/>
      <c r="DI89" s="263"/>
      <c r="DJ89" s="263"/>
      <c r="DK89" s="263"/>
      <c r="DL89" s="263"/>
      <c r="DM89" s="263"/>
      <c r="DN89" s="263"/>
      <c r="DO89" s="263"/>
      <c r="DP89" s="263"/>
      <c r="DQ89" s="263"/>
      <c r="DR89" s="263"/>
      <c r="DS89" s="263"/>
      <c r="DT89" s="263"/>
      <c r="DU89" s="240"/>
      <c r="DV89" s="240"/>
      <c r="DW89" s="240"/>
      <c r="DX89" s="201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</row>
    <row r="90" spans="1:268" s="82" customFormat="1" ht="36.75" customHeight="1">
      <c r="A90" s="341" t="s">
        <v>136</v>
      </c>
      <c r="B90" s="280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5"/>
      <c r="N90" s="155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267"/>
      <c r="BE90" s="156"/>
      <c r="BF90" s="156"/>
      <c r="BG90" s="156"/>
      <c r="BH90" s="156"/>
      <c r="BI90" s="155"/>
      <c r="BJ90" s="155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56"/>
      <c r="DD90" s="156"/>
      <c r="DE90" s="156"/>
      <c r="DF90" s="156"/>
      <c r="DG90" s="156"/>
      <c r="DH90" s="156"/>
      <c r="DI90" s="156"/>
      <c r="DJ90" s="156"/>
      <c r="DK90" s="156"/>
      <c r="DL90" s="156"/>
      <c r="DM90" s="156"/>
      <c r="DN90" s="156"/>
      <c r="DO90" s="156"/>
      <c r="DP90" s="156"/>
      <c r="DQ90" s="156"/>
      <c r="DR90" s="156"/>
      <c r="DS90" s="156"/>
      <c r="DT90" s="156"/>
      <c r="DU90" s="156"/>
      <c r="DV90" s="156"/>
      <c r="DW90" s="156"/>
      <c r="DX90" s="202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  <c r="IW90" s="83"/>
      <c r="IX90" s="83"/>
      <c r="IY90" s="83"/>
      <c r="IZ90" s="83"/>
      <c r="JA90" s="83"/>
      <c r="JB90" s="83"/>
      <c r="JC90" s="83"/>
      <c r="JD90" s="83"/>
      <c r="JE90" s="83"/>
      <c r="JF90" s="83"/>
      <c r="JG90" s="83"/>
      <c r="JH90" s="83"/>
    </row>
    <row r="91" spans="1:268" s="104" customFormat="1" ht="18" customHeight="1">
      <c r="A91" s="352" t="s">
        <v>64</v>
      </c>
      <c r="B91" s="297"/>
      <c r="C91" s="137">
        <f t="shared" ref="C91:D91" si="306">C92+C93+C94</f>
        <v>10848</v>
      </c>
      <c r="D91" s="137">
        <f t="shared" si="306"/>
        <v>0</v>
      </c>
      <c r="E91" s="137">
        <f>E92+E93+E94</f>
        <v>22133</v>
      </c>
      <c r="F91" s="137">
        <f>F92+F93+F94</f>
        <v>0</v>
      </c>
      <c r="G91" s="137">
        <f>G92+G93+G94</f>
        <v>16842</v>
      </c>
      <c r="H91" s="137">
        <f>H92+H93+H94</f>
        <v>0</v>
      </c>
      <c r="I91" s="137">
        <f t="shared" ref="I91:L91" si="307">I92+I93+I94</f>
        <v>0</v>
      </c>
      <c r="J91" s="137">
        <f t="shared" si="307"/>
        <v>0</v>
      </c>
      <c r="K91" s="137">
        <f t="shared" si="307"/>
        <v>0</v>
      </c>
      <c r="L91" s="137">
        <f t="shared" si="307"/>
        <v>0</v>
      </c>
      <c r="M91" s="137">
        <f t="shared" ref="M91:AX91" si="308">M92+M93+M94</f>
        <v>0</v>
      </c>
      <c r="N91" s="137">
        <f t="shared" si="308"/>
        <v>0</v>
      </c>
      <c r="O91" s="137">
        <f>O92+O93+O94</f>
        <v>0</v>
      </c>
      <c r="P91" s="137">
        <f>P92+P93+P94</f>
        <v>0</v>
      </c>
      <c r="Q91" s="137">
        <f t="shared" si="308"/>
        <v>0</v>
      </c>
      <c r="R91" s="137">
        <f t="shared" si="308"/>
        <v>0</v>
      </c>
      <c r="S91" s="137">
        <f>S92+S93+S94</f>
        <v>0</v>
      </c>
      <c r="T91" s="137">
        <f>T92+T93+T94</f>
        <v>0</v>
      </c>
      <c r="U91" s="137">
        <f t="shared" si="308"/>
        <v>0</v>
      </c>
      <c r="V91" s="137">
        <f t="shared" si="308"/>
        <v>0</v>
      </c>
      <c r="W91" s="137">
        <f>W92+W93+W94</f>
        <v>0</v>
      </c>
      <c r="X91" s="137">
        <f>X92+X93+X94</f>
        <v>0</v>
      </c>
      <c r="Y91" s="137">
        <f t="shared" si="308"/>
        <v>0</v>
      </c>
      <c r="Z91" s="137">
        <f t="shared" si="308"/>
        <v>0</v>
      </c>
      <c r="AA91" s="137">
        <f>AA92+AA93+AA94</f>
        <v>0</v>
      </c>
      <c r="AB91" s="137">
        <f>AB92+AB93+AB94</f>
        <v>0</v>
      </c>
      <c r="AC91" s="137">
        <f t="shared" si="308"/>
        <v>0</v>
      </c>
      <c r="AD91" s="137">
        <f t="shared" si="308"/>
        <v>0</v>
      </c>
      <c r="AE91" s="137">
        <f>AE92+AE93+AE94</f>
        <v>0</v>
      </c>
      <c r="AF91" s="137">
        <f>AF92+AF93+AF94</f>
        <v>0</v>
      </c>
      <c r="AG91" s="137">
        <f t="shared" si="308"/>
        <v>0</v>
      </c>
      <c r="AH91" s="137">
        <f t="shared" si="308"/>
        <v>0</v>
      </c>
      <c r="AI91" s="137">
        <f>AI92+AI93+AI94</f>
        <v>0</v>
      </c>
      <c r="AJ91" s="137">
        <f>AJ92+AJ93+AJ94</f>
        <v>0</v>
      </c>
      <c r="AK91" s="137">
        <f t="shared" si="308"/>
        <v>0</v>
      </c>
      <c r="AL91" s="137">
        <f t="shared" si="308"/>
        <v>0</v>
      </c>
      <c r="AM91" s="137">
        <f>AM92+AM93+AM94</f>
        <v>0</v>
      </c>
      <c r="AN91" s="137">
        <f>AN92+AN93+AN94</f>
        <v>0</v>
      </c>
      <c r="AO91" s="137">
        <f t="shared" si="308"/>
        <v>0</v>
      </c>
      <c r="AP91" s="137">
        <f t="shared" si="308"/>
        <v>0</v>
      </c>
      <c r="AQ91" s="137">
        <f>AQ92+AQ93+AQ94</f>
        <v>0</v>
      </c>
      <c r="AR91" s="137">
        <f>AR92+AR93+AR94</f>
        <v>0</v>
      </c>
      <c r="AS91" s="137">
        <f t="shared" si="308"/>
        <v>0</v>
      </c>
      <c r="AT91" s="137">
        <f t="shared" si="308"/>
        <v>0</v>
      </c>
      <c r="AU91" s="137">
        <f>AU92+AU93+AU94</f>
        <v>0</v>
      </c>
      <c r="AV91" s="137">
        <f>AV92+AV93+AV94</f>
        <v>0</v>
      </c>
      <c r="AW91" s="137">
        <f t="shared" si="308"/>
        <v>4794</v>
      </c>
      <c r="AX91" s="137">
        <f t="shared" si="308"/>
        <v>0</v>
      </c>
      <c r="AY91" s="137">
        <f>AY92+AY93+AY94</f>
        <v>0</v>
      </c>
      <c r="AZ91" s="137">
        <f>AZ92+AZ93+AZ94</f>
        <v>0</v>
      </c>
      <c r="BA91" s="137">
        <f>BA92+BA93+BA94</f>
        <v>16599</v>
      </c>
      <c r="BB91" s="137">
        <f>BB92+BB93+BB94</f>
        <v>0</v>
      </c>
      <c r="BC91" s="137">
        <f t="shared" ref="BC91:DK91" si="309">BC92+BC93+BC94</f>
        <v>0</v>
      </c>
      <c r="BD91" s="137">
        <f t="shared" si="309"/>
        <v>0</v>
      </c>
      <c r="BE91" s="137">
        <f t="shared" si="309"/>
        <v>0</v>
      </c>
      <c r="BF91" s="137">
        <f t="shared" si="309"/>
        <v>0</v>
      </c>
      <c r="BG91" s="137">
        <f t="shared" si="309"/>
        <v>0</v>
      </c>
      <c r="BH91" s="137">
        <f t="shared" si="309"/>
        <v>0</v>
      </c>
      <c r="BI91" s="137">
        <f t="shared" si="309"/>
        <v>0</v>
      </c>
      <c r="BJ91" s="137">
        <f t="shared" si="309"/>
        <v>0</v>
      </c>
      <c r="BK91" s="137">
        <f t="shared" si="309"/>
        <v>0</v>
      </c>
      <c r="BL91" s="137">
        <f t="shared" si="309"/>
        <v>0</v>
      </c>
      <c r="BM91" s="137">
        <f t="shared" si="309"/>
        <v>0</v>
      </c>
      <c r="BN91" s="137">
        <f t="shared" si="309"/>
        <v>0</v>
      </c>
      <c r="BO91" s="137">
        <f t="shared" si="309"/>
        <v>0</v>
      </c>
      <c r="BP91" s="137">
        <f t="shared" si="309"/>
        <v>0</v>
      </c>
      <c r="BQ91" s="137">
        <f t="shared" si="309"/>
        <v>0</v>
      </c>
      <c r="BR91" s="137">
        <f t="shared" si="309"/>
        <v>0</v>
      </c>
      <c r="BS91" s="137">
        <f t="shared" si="309"/>
        <v>0</v>
      </c>
      <c r="BT91" s="137">
        <f t="shared" si="309"/>
        <v>0</v>
      </c>
      <c r="BU91" s="137">
        <f t="shared" si="309"/>
        <v>0</v>
      </c>
      <c r="BV91" s="137">
        <f t="shared" si="309"/>
        <v>0</v>
      </c>
      <c r="BW91" s="137">
        <f t="shared" si="309"/>
        <v>0</v>
      </c>
      <c r="BX91" s="137">
        <f t="shared" si="309"/>
        <v>0</v>
      </c>
      <c r="BY91" s="137">
        <f t="shared" si="309"/>
        <v>0</v>
      </c>
      <c r="BZ91" s="137">
        <f t="shared" si="309"/>
        <v>0</v>
      </c>
      <c r="CA91" s="137">
        <f t="shared" si="309"/>
        <v>0</v>
      </c>
      <c r="CB91" s="137">
        <f t="shared" si="309"/>
        <v>0</v>
      </c>
      <c r="CC91" s="137">
        <f t="shared" si="309"/>
        <v>0</v>
      </c>
      <c r="CD91" s="137">
        <f t="shared" si="309"/>
        <v>0</v>
      </c>
      <c r="CE91" s="137">
        <f t="shared" si="309"/>
        <v>0</v>
      </c>
      <c r="CF91" s="137">
        <f t="shared" si="309"/>
        <v>0</v>
      </c>
      <c r="CG91" s="137">
        <f t="shared" si="309"/>
        <v>0</v>
      </c>
      <c r="CH91" s="137">
        <f t="shared" si="309"/>
        <v>0</v>
      </c>
      <c r="CI91" s="137">
        <f t="shared" si="309"/>
        <v>0</v>
      </c>
      <c r="CJ91" s="137">
        <f t="shared" si="309"/>
        <v>0</v>
      </c>
      <c r="CK91" s="137">
        <f t="shared" si="309"/>
        <v>0</v>
      </c>
      <c r="CL91" s="137">
        <f t="shared" si="309"/>
        <v>0</v>
      </c>
      <c r="CM91" s="137">
        <f t="shared" si="309"/>
        <v>0</v>
      </c>
      <c r="CN91" s="137">
        <f t="shared" si="309"/>
        <v>0</v>
      </c>
      <c r="CO91" s="137">
        <f t="shared" si="309"/>
        <v>0</v>
      </c>
      <c r="CP91" s="137">
        <f t="shared" si="309"/>
        <v>0</v>
      </c>
      <c r="CQ91" s="137">
        <f t="shared" si="309"/>
        <v>0</v>
      </c>
      <c r="CR91" s="137">
        <f t="shared" si="309"/>
        <v>0</v>
      </c>
      <c r="CS91" s="137">
        <f t="shared" si="309"/>
        <v>0</v>
      </c>
      <c r="CT91" s="137">
        <f t="shared" si="309"/>
        <v>0</v>
      </c>
      <c r="CU91" s="137">
        <f t="shared" si="309"/>
        <v>0</v>
      </c>
      <c r="CV91" s="137">
        <f t="shared" si="309"/>
        <v>0</v>
      </c>
      <c r="CW91" s="137">
        <f t="shared" si="309"/>
        <v>0</v>
      </c>
      <c r="CX91" s="137">
        <f t="shared" si="309"/>
        <v>0</v>
      </c>
      <c r="CY91" s="137">
        <f t="shared" si="309"/>
        <v>0</v>
      </c>
      <c r="CZ91" s="137">
        <f t="shared" si="309"/>
        <v>0</v>
      </c>
      <c r="DA91" s="137">
        <f t="shared" si="309"/>
        <v>0</v>
      </c>
      <c r="DB91" s="137">
        <f t="shared" si="309"/>
        <v>0</v>
      </c>
      <c r="DC91" s="137">
        <f t="shared" si="309"/>
        <v>0</v>
      </c>
      <c r="DD91" s="137">
        <f t="shared" si="309"/>
        <v>0</v>
      </c>
      <c r="DE91" s="137">
        <f t="shared" si="309"/>
        <v>0</v>
      </c>
      <c r="DF91" s="137">
        <f t="shared" si="309"/>
        <v>0</v>
      </c>
      <c r="DG91" s="137">
        <f t="shared" si="309"/>
        <v>0</v>
      </c>
      <c r="DH91" s="137">
        <f t="shared" si="309"/>
        <v>0</v>
      </c>
      <c r="DI91" s="137">
        <f t="shared" si="309"/>
        <v>0</v>
      </c>
      <c r="DJ91" s="137">
        <f t="shared" si="309"/>
        <v>0</v>
      </c>
      <c r="DK91" s="137">
        <f t="shared" si="309"/>
        <v>4736</v>
      </c>
      <c r="DL91" s="137">
        <f>DL92+DL93+DL94</f>
        <v>0</v>
      </c>
      <c r="DM91" s="135">
        <f t="shared" ref="DM91" si="310">IF(AW91=0,1,DK91/AW91)</f>
        <v>0.98790154359616189</v>
      </c>
      <c r="DN91" s="135">
        <f t="shared" ref="DN91" si="311">IF(AX91=0,1,DL91/AX91)</f>
        <v>1</v>
      </c>
      <c r="DO91" s="137">
        <f t="shared" ref="DO91:DR91" si="312">DO92+DO93+DO94</f>
        <v>0</v>
      </c>
      <c r="DP91" s="137">
        <f t="shared" si="312"/>
        <v>0</v>
      </c>
      <c r="DQ91" s="137">
        <f t="shared" si="312"/>
        <v>0</v>
      </c>
      <c r="DR91" s="137">
        <f t="shared" si="312"/>
        <v>0</v>
      </c>
      <c r="DS91" s="137">
        <f>DS92+DS93+DS94</f>
        <v>16599</v>
      </c>
      <c r="DT91" s="137">
        <f>DT92+DT93+DT94</f>
        <v>0</v>
      </c>
      <c r="DU91" s="135">
        <f>IF($BA$10=0,1,DS91/$BA91)</f>
        <v>1</v>
      </c>
      <c r="DV91" s="229" t="s">
        <v>34</v>
      </c>
      <c r="DW91" s="135">
        <f t="shared" ref="DW91:DW99" si="313">IF($G91=0,1,DS91/$G91)</f>
        <v>0.98557178482365515</v>
      </c>
      <c r="DX91" s="244" t="s">
        <v>34</v>
      </c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  <c r="GY91" s="103"/>
      <c r="GZ91" s="103"/>
      <c r="HA91" s="103"/>
      <c r="HB91" s="103"/>
      <c r="HC91" s="103"/>
      <c r="HD91" s="103"/>
      <c r="HE91" s="103"/>
      <c r="HF91" s="103"/>
      <c r="HG91" s="103"/>
      <c r="HH91" s="103"/>
      <c r="HI91" s="103"/>
      <c r="HJ91" s="103"/>
      <c r="HK91" s="103"/>
      <c r="HL91" s="103"/>
      <c r="HM91" s="103"/>
      <c r="HN91" s="103"/>
      <c r="HO91" s="103"/>
      <c r="HP91" s="103"/>
      <c r="HQ91" s="103"/>
      <c r="HR91" s="103"/>
      <c r="HS91" s="103"/>
      <c r="HT91" s="103"/>
      <c r="HU91" s="103"/>
      <c r="HV91" s="103"/>
      <c r="HW91" s="103"/>
      <c r="HX91" s="103"/>
      <c r="HY91" s="103"/>
      <c r="HZ91" s="103"/>
      <c r="IA91" s="103"/>
      <c r="IB91" s="103"/>
      <c r="IC91" s="103"/>
      <c r="ID91" s="103"/>
      <c r="IE91" s="103"/>
      <c r="IF91" s="103"/>
      <c r="IG91" s="103"/>
      <c r="IH91" s="103"/>
      <c r="II91" s="103"/>
      <c r="IJ91" s="103"/>
      <c r="IK91" s="103"/>
      <c r="IL91" s="103"/>
      <c r="IM91" s="103"/>
      <c r="IN91" s="103"/>
      <c r="IO91" s="103"/>
      <c r="IP91" s="103"/>
      <c r="IQ91" s="103"/>
      <c r="IR91" s="103"/>
      <c r="IS91" s="103"/>
      <c r="IT91" s="103"/>
      <c r="IU91" s="103"/>
      <c r="IV91" s="103"/>
      <c r="IW91" s="103"/>
      <c r="IX91" s="103"/>
      <c r="IY91" s="103"/>
      <c r="IZ91" s="103"/>
      <c r="JA91" s="103"/>
      <c r="JB91" s="103"/>
      <c r="JC91" s="103"/>
      <c r="JD91" s="103"/>
      <c r="JE91" s="103"/>
      <c r="JF91" s="103"/>
      <c r="JG91" s="103"/>
      <c r="JH91" s="103"/>
    </row>
    <row r="92" spans="1:268" s="106" customFormat="1" ht="18" customHeight="1">
      <c r="A92" s="348" t="s">
        <v>38</v>
      </c>
      <c r="B92" s="291"/>
      <c r="C92" s="134">
        <v>9474</v>
      </c>
      <c r="D92" s="137">
        <v>0</v>
      </c>
      <c r="E92" s="137">
        <v>10355</v>
      </c>
      <c r="F92" s="137">
        <v>0</v>
      </c>
      <c r="G92" s="137">
        <v>12647</v>
      </c>
      <c r="H92" s="137">
        <v>0</v>
      </c>
      <c r="I92" s="134"/>
      <c r="J92" s="137"/>
      <c r="K92" s="134"/>
      <c r="L92" s="137"/>
      <c r="M92" s="137"/>
      <c r="N92" s="137"/>
      <c r="O92" s="134"/>
      <c r="P92" s="137"/>
      <c r="Q92" s="137"/>
      <c r="R92" s="137"/>
      <c r="S92" s="134"/>
      <c r="T92" s="137"/>
      <c r="U92" s="137"/>
      <c r="V92" s="137"/>
      <c r="W92" s="134"/>
      <c r="X92" s="137"/>
      <c r="Y92" s="137"/>
      <c r="Z92" s="137"/>
      <c r="AA92" s="134"/>
      <c r="AB92" s="137"/>
      <c r="AC92" s="137"/>
      <c r="AD92" s="137"/>
      <c r="AE92" s="134"/>
      <c r="AF92" s="137"/>
      <c r="AG92" s="137"/>
      <c r="AH92" s="137"/>
      <c r="AI92" s="134"/>
      <c r="AJ92" s="137"/>
      <c r="AK92" s="137"/>
      <c r="AL92" s="137"/>
      <c r="AM92" s="134"/>
      <c r="AN92" s="137"/>
      <c r="AO92" s="137"/>
      <c r="AP92" s="137"/>
      <c r="AQ92" s="134"/>
      <c r="AR92" s="137"/>
      <c r="AS92" s="137"/>
      <c r="AT92" s="137"/>
      <c r="AU92" s="134"/>
      <c r="AV92" s="137"/>
      <c r="AW92" s="134">
        <v>2727</v>
      </c>
      <c r="AX92" s="137">
        <v>0</v>
      </c>
      <c r="AY92" s="134"/>
      <c r="AZ92" s="137"/>
      <c r="BA92" s="134">
        <v>10840</v>
      </c>
      <c r="BB92" s="137">
        <v>0</v>
      </c>
      <c r="BC92" s="135"/>
      <c r="BD92" s="135"/>
      <c r="BE92" s="134"/>
      <c r="BF92" s="137"/>
      <c r="BG92" s="134"/>
      <c r="BH92" s="137"/>
      <c r="BI92" s="137"/>
      <c r="BJ92" s="137"/>
      <c r="BK92" s="135"/>
      <c r="BL92" s="135"/>
      <c r="BM92" s="134"/>
      <c r="BN92" s="137"/>
      <c r="BO92" s="137"/>
      <c r="BP92" s="137"/>
      <c r="BQ92" s="135"/>
      <c r="BR92" s="135"/>
      <c r="BS92" s="134"/>
      <c r="BT92" s="137"/>
      <c r="BU92" s="137"/>
      <c r="BV92" s="137"/>
      <c r="BW92" s="135"/>
      <c r="BX92" s="135"/>
      <c r="BY92" s="134"/>
      <c r="BZ92" s="137"/>
      <c r="CA92" s="137"/>
      <c r="CB92" s="137"/>
      <c r="CC92" s="135"/>
      <c r="CD92" s="135"/>
      <c r="CE92" s="134"/>
      <c r="CF92" s="137"/>
      <c r="CG92" s="137"/>
      <c r="CH92" s="137"/>
      <c r="CI92" s="135"/>
      <c r="CJ92" s="135"/>
      <c r="CK92" s="134"/>
      <c r="CL92" s="137"/>
      <c r="CM92" s="137"/>
      <c r="CN92" s="137"/>
      <c r="CO92" s="135"/>
      <c r="CP92" s="135"/>
      <c r="CQ92" s="134"/>
      <c r="CR92" s="137"/>
      <c r="CS92" s="137"/>
      <c r="CT92" s="137"/>
      <c r="CU92" s="135"/>
      <c r="CV92" s="135"/>
      <c r="CW92" s="134"/>
      <c r="CX92" s="137"/>
      <c r="CY92" s="137"/>
      <c r="CZ92" s="137"/>
      <c r="DA92" s="135"/>
      <c r="DB92" s="135"/>
      <c r="DC92" s="134"/>
      <c r="DD92" s="137"/>
      <c r="DE92" s="137"/>
      <c r="DF92" s="137"/>
      <c r="DG92" s="135"/>
      <c r="DH92" s="135"/>
      <c r="DI92" s="134"/>
      <c r="DJ92" s="137"/>
      <c r="DK92" s="137">
        <v>2914</v>
      </c>
      <c r="DL92" s="137">
        <v>0</v>
      </c>
      <c r="DM92" s="135">
        <f t="shared" ref="DM92:DM108" si="314">IF(AW92=0,1,DK92/AW92)</f>
        <v>1.0685735240190686</v>
      </c>
      <c r="DN92" s="135">
        <f t="shared" ref="DN92:DN108" si="315">IF(AX92=0,1,DL92/AX92)</f>
        <v>1</v>
      </c>
      <c r="DO92" s="134">
        <f>'бюджет округа (района)'!BH92+'бюджеты поселений'!BH92</f>
        <v>0</v>
      </c>
      <c r="DP92" s="137">
        <f>'бюджет округа (района)'!BH92</f>
        <v>0</v>
      </c>
      <c r="DQ92" s="134">
        <f>'бюджет округа (района)'!BI92+'бюджеты поселений'!BI92</f>
        <v>0</v>
      </c>
      <c r="DR92" s="137">
        <f>'бюджет округа (района)'!BI92</f>
        <v>0</v>
      </c>
      <c r="DS92" s="134">
        <v>10840</v>
      </c>
      <c r="DT92" s="137">
        <v>0</v>
      </c>
      <c r="DU92" s="135">
        <f>IF($BA$10=0,1,DS92/$BA92)</f>
        <v>1</v>
      </c>
      <c r="DV92" s="229" t="s">
        <v>34</v>
      </c>
      <c r="DW92" s="135">
        <f t="shared" si="313"/>
        <v>0.85712026567565436</v>
      </c>
      <c r="DX92" s="244" t="s">
        <v>34</v>
      </c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</row>
    <row r="93" spans="1:268" s="106" customFormat="1" ht="33.75" customHeight="1">
      <c r="A93" s="353" t="s">
        <v>143</v>
      </c>
      <c r="B93" s="299"/>
      <c r="C93" s="134"/>
      <c r="D93" s="137"/>
      <c r="E93" s="137">
        <v>4000</v>
      </c>
      <c r="F93" s="137">
        <v>0</v>
      </c>
      <c r="G93" s="137">
        <v>0</v>
      </c>
      <c r="H93" s="137">
        <v>0</v>
      </c>
      <c r="I93" s="134"/>
      <c r="J93" s="137"/>
      <c r="K93" s="134"/>
      <c r="L93" s="137"/>
      <c r="M93" s="137"/>
      <c r="N93" s="137"/>
      <c r="O93" s="134"/>
      <c r="P93" s="137"/>
      <c r="Q93" s="137"/>
      <c r="R93" s="137"/>
      <c r="S93" s="134"/>
      <c r="T93" s="137"/>
      <c r="U93" s="137"/>
      <c r="V93" s="137"/>
      <c r="W93" s="134"/>
      <c r="X93" s="137"/>
      <c r="Y93" s="137"/>
      <c r="Z93" s="137"/>
      <c r="AA93" s="134"/>
      <c r="AB93" s="137"/>
      <c r="AC93" s="137"/>
      <c r="AD93" s="137"/>
      <c r="AE93" s="134"/>
      <c r="AF93" s="137"/>
      <c r="AG93" s="137"/>
      <c r="AH93" s="137"/>
      <c r="AI93" s="134"/>
      <c r="AJ93" s="137"/>
      <c r="AK93" s="137"/>
      <c r="AL93" s="137"/>
      <c r="AM93" s="134"/>
      <c r="AN93" s="137"/>
      <c r="AO93" s="137"/>
      <c r="AP93" s="137"/>
      <c r="AQ93" s="134"/>
      <c r="AR93" s="137"/>
      <c r="AS93" s="137"/>
      <c r="AT93" s="137"/>
      <c r="AU93" s="134"/>
      <c r="AV93" s="137"/>
      <c r="AW93" s="134">
        <v>0</v>
      </c>
      <c r="AX93" s="137"/>
      <c r="AY93" s="134"/>
      <c r="AZ93" s="137"/>
      <c r="BA93" s="134">
        <v>0</v>
      </c>
      <c r="BB93" s="137">
        <v>0</v>
      </c>
      <c r="BC93" s="135"/>
      <c r="BD93" s="135"/>
      <c r="BE93" s="134"/>
      <c r="BF93" s="137"/>
      <c r="BG93" s="134"/>
      <c r="BH93" s="137"/>
      <c r="BI93" s="137"/>
      <c r="BJ93" s="137"/>
      <c r="BK93" s="135"/>
      <c r="BL93" s="135"/>
      <c r="BM93" s="134"/>
      <c r="BN93" s="137"/>
      <c r="BO93" s="137"/>
      <c r="BP93" s="137"/>
      <c r="BQ93" s="135"/>
      <c r="BR93" s="135"/>
      <c r="BS93" s="134"/>
      <c r="BT93" s="137"/>
      <c r="BU93" s="137"/>
      <c r="BV93" s="137"/>
      <c r="BW93" s="135"/>
      <c r="BX93" s="135"/>
      <c r="BY93" s="134"/>
      <c r="BZ93" s="137"/>
      <c r="CA93" s="137"/>
      <c r="CB93" s="137"/>
      <c r="CC93" s="135"/>
      <c r="CD93" s="135"/>
      <c r="CE93" s="134"/>
      <c r="CF93" s="137"/>
      <c r="CG93" s="137"/>
      <c r="CH93" s="137"/>
      <c r="CI93" s="135"/>
      <c r="CJ93" s="135"/>
      <c r="CK93" s="134"/>
      <c r="CL93" s="137"/>
      <c r="CM93" s="137"/>
      <c r="CN93" s="137"/>
      <c r="CO93" s="135"/>
      <c r="CP93" s="135"/>
      <c r="CQ93" s="134"/>
      <c r="CR93" s="137"/>
      <c r="CS93" s="137"/>
      <c r="CT93" s="137"/>
      <c r="CU93" s="135"/>
      <c r="CV93" s="135"/>
      <c r="CW93" s="134"/>
      <c r="CX93" s="137"/>
      <c r="CY93" s="137"/>
      <c r="CZ93" s="137"/>
      <c r="DA93" s="135"/>
      <c r="DB93" s="135"/>
      <c r="DC93" s="134"/>
      <c r="DD93" s="137"/>
      <c r="DE93" s="137"/>
      <c r="DF93" s="137"/>
      <c r="DG93" s="135"/>
      <c r="DH93" s="135"/>
      <c r="DI93" s="134"/>
      <c r="DJ93" s="137"/>
      <c r="DK93" s="137">
        <v>0</v>
      </c>
      <c r="DL93" s="137">
        <v>0</v>
      </c>
      <c r="DM93" s="135">
        <f t="shared" si="314"/>
        <v>1</v>
      </c>
      <c r="DN93" s="135">
        <f t="shared" si="315"/>
        <v>1</v>
      </c>
      <c r="DO93" s="134">
        <f>'бюджет округа (района)'!BH93+'бюджеты поселений'!BH93</f>
        <v>0</v>
      </c>
      <c r="DP93" s="137">
        <f>'бюджет округа (района)'!BH93</f>
        <v>0</v>
      </c>
      <c r="DQ93" s="134">
        <f>'бюджет округа (района)'!BI93+'бюджеты поселений'!BI93</f>
        <v>0</v>
      </c>
      <c r="DR93" s="137">
        <f>'бюджет округа (района)'!BI93</f>
        <v>0</v>
      </c>
      <c r="DS93" s="134">
        <v>0</v>
      </c>
      <c r="DT93" s="137">
        <v>0</v>
      </c>
      <c r="DU93" s="229" t="s">
        <v>34</v>
      </c>
      <c r="DV93" s="229" t="s">
        <v>34</v>
      </c>
      <c r="DW93" s="135">
        <f t="shared" si="313"/>
        <v>1</v>
      </c>
      <c r="DX93" s="197">
        <f>IF($G93=0,1,DT93/$H93)</f>
        <v>1</v>
      </c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  <c r="IX93" s="105"/>
      <c r="IY93" s="105"/>
      <c r="IZ93" s="105"/>
      <c r="JA93" s="105"/>
      <c r="JB93" s="105"/>
      <c r="JC93" s="105"/>
      <c r="JD93" s="105"/>
      <c r="JE93" s="105"/>
      <c r="JF93" s="105"/>
      <c r="JG93" s="105"/>
      <c r="JH93" s="105"/>
    </row>
    <row r="94" spans="1:268" s="106" customFormat="1" ht="18" customHeight="1">
      <c r="A94" s="348" t="s">
        <v>65</v>
      </c>
      <c r="B94" s="291"/>
      <c r="C94" s="134">
        <v>1374</v>
      </c>
      <c r="D94" s="134">
        <v>0</v>
      </c>
      <c r="E94" s="137">
        <v>7778</v>
      </c>
      <c r="F94" s="137">
        <v>0</v>
      </c>
      <c r="G94" s="137">
        <v>4195</v>
      </c>
      <c r="H94" s="137">
        <v>0</v>
      </c>
      <c r="I94" s="134"/>
      <c r="J94" s="134"/>
      <c r="K94" s="134"/>
      <c r="L94" s="134"/>
      <c r="M94" s="137"/>
      <c r="N94" s="137"/>
      <c r="O94" s="134"/>
      <c r="P94" s="134"/>
      <c r="Q94" s="137"/>
      <c r="R94" s="137"/>
      <c r="S94" s="134"/>
      <c r="T94" s="134"/>
      <c r="U94" s="137"/>
      <c r="V94" s="137"/>
      <c r="W94" s="134"/>
      <c r="X94" s="134"/>
      <c r="Y94" s="137"/>
      <c r="Z94" s="137"/>
      <c r="AA94" s="134"/>
      <c r="AB94" s="134"/>
      <c r="AC94" s="137"/>
      <c r="AD94" s="137"/>
      <c r="AE94" s="134"/>
      <c r="AF94" s="134"/>
      <c r="AG94" s="137"/>
      <c r="AH94" s="137"/>
      <c r="AI94" s="134"/>
      <c r="AJ94" s="134"/>
      <c r="AK94" s="137"/>
      <c r="AL94" s="137"/>
      <c r="AM94" s="134"/>
      <c r="AN94" s="134"/>
      <c r="AO94" s="137"/>
      <c r="AP94" s="137"/>
      <c r="AQ94" s="134"/>
      <c r="AR94" s="134"/>
      <c r="AS94" s="137"/>
      <c r="AT94" s="137"/>
      <c r="AU94" s="134"/>
      <c r="AV94" s="134"/>
      <c r="AW94" s="134">
        <v>2067</v>
      </c>
      <c r="AX94" s="134">
        <v>0</v>
      </c>
      <c r="AY94" s="134"/>
      <c r="AZ94" s="134"/>
      <c r="BA94" s="134">
        <v>5759</v>
      </c>
      <c r="BB94" s="134">
        <v>0</v>
      </c>
      <c r="BC94" s="135"/>
      <c r="BD94" s="135"/>
      <c r="BE94" s="134"/>
      <c r="BF94" s="134"/>
      <c r="BG94" s="134"/>
      <c r="BH94" s="134"/>
      <c r="BI94" s="137"/>
      <c r="BJ94" s="137"/>
      <c r="BK94" s="135"/>
      <c r="BL94" s="135"/>
      <c r="BM94" s="134"/>
      <c r="BN94" s="134"/>
      <c r="BO94" s="137"/>
      <c r="BP94" s="137"/>
      <c r="BQ94" s="135"/>
      <c r="BR94" s="135"/>
      <c r="BS94" s="134"/>
      <c r="BT94" s="134"/>
      <c r="BU94" s="137"/>
      <c r="BV94" s="137"/>
      <c r="BW94" s="135"/>
      <c r="BX94" s="135"/>
      <c r="BY94" s="134"/>
      <c r="BZ94" s="134"/>
      <c r="CA94" s="137"/>
      <c r="CB94" s="137"/>
      <c r="CC94" s="135"/>
      <c r="CD94" s="135"/>
      <c r="CE94" s="134"/>
      <c r="CF94" s="134"/>
      <c r="CG94" s="137"/>
      <c r="CH94" s="137"/>
      <c r="CI94" s="135"/>
      <c r="CJ94" s="135"/>
      <c r="CK94" s="134"/>
      <c r="CL94" s="134"/>
      <c r="CM94" s="137"/>
      <c r="CN94" s="137"/>
      <c r="CO94" s="135"/>
      <c r="CP94" s="135"/>
      <c r="CQ94" s="134"/>
      <c r="CR94" s="134"/>
      <c r="CS94" s="137"/>
      <c r="CT94" s="137"/>
      <c r="CU94" s="135"/>
      <c r="CV94" s="135"/>
      <c r="CW94" s="134"/>
      <c r="CX94" s="134"/>
      <c r="CY94" s="137"/>
      <c r="CZ94" s="137"/>
      <c r="DA94" s="135"/>
      <c r="DB94" s="135"/>
      <c r="DC94" s="134"/>
      <c r="DD94" s="134"/>
      <c r="DE94" s="137"/>
      <c r="DF94" s="137"/>
      <c r="DG94" s="135"/>
      <c r="DH94" s="135"/>
      <c r="DI94" s="134"/>
      <c r="DJ94" s="134"/>
      <c r="DK94" s="137">
        <v>1822</v>
      </c>
      <c r="DL94" s="137">
        <v>0</v>
      </c>
      <c r="DM94" s="135">
        <f t="shared" si="314"/>
        <v>0.88147073052733427</v>
      </c>
      <c r="DN94" s="135">
        <f t="shared" si="315"/>
        <v>1</v>
      </c>
      <c r="DO94" s="134">
        <f t="shared" ref="DO94:DR94" si="316">DO95+DO96+DO97+DO98+DO99+DO100</f>
        <v>0</v>
      </c>
      <c r="DP94" s="134">
        <f t="shared" si="316"/>
        <v>0</v>
      </c>
      <c r="DQ94" s="134">
        <f t="shared" si="316"/>
        <v>0</v>
      </c>
      <c r="DR94" s="134">
        <f t="shared" si="316"/>
        <v>0</v>
      </c>
      <c r="DS94" s="134">
        <v>5759</v>
      </c>
      <c r="DT94" s="134">
        <v>0</v>
      </c>
      <c r="DU94" s="135">
        <f>IF($BA$10=0,1,DS94/$BA94)</f>
        <v>1</v>
      </c>
      <c r="DV94" s="229" t="s">
        <v>34</v>
      </c>
      <c r="DW94" s="135">
        <f t="shared" si="313"/>
        <v>1.3728247914183551</v>
      </c>
      <c r="DX94" s="244" t="s">
        <v>34</v>
      </c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  <c r="IX94" s="105"/>
      <c r="IY94" s="105"/>
      <c r="IZ94" s="105"/>
      <c r="JA94" s="105"/>
      <c r="JB94" s="105"/>
      <c r="JC94" s="105"/>
      <c r="JD94" s="105"/>
      <c r="JE94" s="105"/>
      <c r="JF94" s="105"/>
      <c r="JG94" s="105"/>
      <c r="JH94" s="105"/>
    </row>
    <row r="95" spans="1:268" s="106" customFormat="1" ht="18" customHeight="1">
      <c r="A95" s="349" t="s">
        <v>237</v>
      </c>
      <c r="B95" s="293"/>
      <c r="C95" s="134">
        <v>1374</v>
      </c>
      <c r="D95" s="137">
        <v>0</v>
      </c>
      <c r="E95" s="137">
        <v>7778</v>
      </c>
      <c r="F95" s="137">
        <v>0</v>
      </c>
      <c r="G95" s="137">
        <v>4195</v>
      </c>
      <c r="H95" s="137">
        <v>0</v>
      </c>
      <c r="I95" s="134"/>
      <c r="J95" s="137"/>
      <c r="K95" s="134"/>
      <c r="L95" s="137"/>
      <c r="M95" s="137"/>
      <c r="N95" s="137"/>
      <c r="O95" s="134"/>
      <c r="P95" s="137"/>
      <c r="Q95" s="137"/>
      <c r="R95" s="137"/>
      <c r="S95" s="134"/>
      <c r="T95" s="137"/>
      <c r="U95" s="137"/>
      <c r="V95" s="137"/>
      <c r="W95" s="134"/>
      <c r="X95" s="137"/>
      <c r="Y95" s="137"/>
      <c r="Z95" s="137"/>
      <c r="AA95" s="134"/>
      <c r="AB95" s="137"/>
      <c r="AC95" s="137"/>
      <c r="AD95" s="137"/>
      <c r="AE95" s="134"/>
      <c r="AF95" s="137"/>
      <c r="AG95" s="137"/>
      <c r="AH95" s="137"/>
      <c r="AI95" s="134"/>
      <c r="AJ95" s="137"/>
      <c r="AK95" s="137"/>
      <c r="AL95" s="137"/>
      <c r="AM95" s="134"/>
      <c r="AN95" s="137"/>
      <c r="AO95" s="137"/>
      <c r="AP95" s="137"/>
      <c r="AQ95" s="134"/>
      <c r="AR95" s="137"/>
      <c r="AS95" s="137"/>
      <c r="AT95" s="137"/>
      <c r="AU95" s="134"/>
      <c r="AV95" s="137"/>
      <c r="AW95" s="134">
        <v>2067</v>
      </c>
      <c r="AX95" s="137">
        <v>0</v>
      </c>
      <c r="AY95" s="134"/>
      <c r="AZ95" s="137"/>
      <c r="BA95" s="134">
        <v>5759</v>
      </c>
      <c r="BB95" s="137">
        <v>0</v>
      </c>
      <c r="BC95" s="135"/>
      <c r="BD95" s="135"/>
      <c r="BE95" s="134"/>
      <c r="BF95" s="137"/>
      <c r="BG95" s="134"/>
      <c r="BH95" s="137"/>
      <c r="BI95" s="137"/>
      <c r="BJ95" s="137"/>
      <c r="BK95" s="135"/>
      <c r="BL95" s="135"/>
      <c r="BM95" s="134"/>
      <c r="BN95" s="137"/>
      <c r="BO95" s="137"/>
      <c r="BP95" s="137"/>
      <c r="BQ95" s="135"/>
      <c r="BR95" s="135"/>
      <c r="BS95" s="134"/>
      <c r="BT95" s="137"/>
      <c r="BU95" s="137"/>
      <c r="BV95" s="137"/>
      <c r="BW95" s="135"/>
      <c r="BX95" s="135"/>
      <c r="BY95" s="134"/>
      <c r="BZ95" s="137"/>
      <c r="CA95" s="137"/>
      <c r="CB95" s="137"/>
      <c r="CC95" s="135"/>
      <c r="CD95" s="135"/>
      <c r="CE95" s="134"/>
      <c r="CF95" s="137"/>
      <c r="CG95" s="137"/>
      <c r="CH95" s="137"/>
      <c r="CI95" s="135"/>
      <c r="CJ95" s="135"/>
      <c r="CK95" s="134"/>
      <c r="CL95" s="137"/>
      <c r="CM95" s="137"/>
      <c r="CN95" s="137"/>
      <c r="CO95" s="135"/>
      <c r="CP95" s="135"/>
      <c r="CQ95" s="134"/>
      <c r="CR95" s="137"/>
      <c r="CS95" s="137"/>
      <c r="CT95" s="137"/>
      <c r="CU95" s="135"/>
      <c r="CV95" s="135"/>
      <c r="CW95" s="134"/>
      <c r="CX95" s="137"/>
      <c r="CY95" s="137"/>
      <c r="CZ95" s="137"/>
      <c r="DA95" s="135"/>
      <c r="DB95" s="135"/>
      <c r="DC95" s="134"/>
      <c r="DD95" s="137"/>
      <c r="DE95" s="137"/>
      <c r="DF95" s="137"/>
      <c r="DG95" s="135"/>
      <c r="DH95" s="135"/>
      <c r="DI95" s="134"/>
      <c r="DJ95" s="137"/>
      <c r="DK95" s="137">
        <v>1822</v>
      </c>
      <c r="DL95" s="137">
        <v>0</v>
      </c>
      <c r="DM95" s="135">
        <f t="shared" si="314"/>
        <v>0.88147073052733427</v>
      </c>
      <c r="DN95" s="135">
        <f t="shared" si="315"/>
        <v>1</v>
      </c>
      <c r="DO95" s="134">
        <f>'бюджет округа (района)'!BH95+'бюджеты поселений'!BH95</f>
        <v>0</v>
      </c>
      <c r="DP95" s="137">
        <f>'бюджет округа (района)'!BH95</f>
        <v>0</v>
      </c>
      <c r="DQ95" s="134">
        <f>'бюджет округа (района)'!BI95+'бюджеты поселений'!BI95</f>
        <v>0</v>
      </c>
      <c r="DR95" s="137">
        <f>'бюджет округа (района)'!BI95</f>
        <v>0</v>
      </c>
      <c r="DS95" s="134">
        <v>5759</v>
      </c>
      <c r="DT95" s="137">
        <v>0</v>
      </c>
      <c r="DU95" s="135">
        <f>IF($BA$10=0,1,DS95/$BA95)</f>
        <v>1</v>
      </c>
      <c r="DV95" s="229" t="s">
        <v>34</v>
      </c>
      <c r="DW95" s="135">
        <f t="shared" si="313"/>
        <v>1.3728247914183551</v>
      </c>
      <c r="DX95" s="244" t="s">
        <v>34</v>
      </c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</row>
    <row r="96" spans="1:268" s="106" customFormat="1" ht="18" customHeight="1">
      <c r="A96" s="349" t="s">
        <v>34</v>
      </c>
      <c r="B96" s="293"/>
      <c r="C96" s="134"/>
      <c r="D96" s="137"/>
      <c r="E96" s="137"/>
      <c r="F96" s="137"/>
      <c r="G96" s="137"/>
      <c r="H96" s="137"/>
      <c r="I96" s="134"/>
      <c r="J96" s="137"/>
      <c r="K96" s="134"/>
      <c r="L96" s="137"/>
      <c r="M96" s="137"/>
      <c r="N96" s="137"/>
      <c r="O96" s="134"/>
      <c r="P96" s="137"/>
      <c r="Q96" s="137"/>
      <c r="R96" s="137"/>
      <c r="S96" s="134"/>
      <c r="T96" s="137"/>
      <c r="U96" s="137"/>
      <c r="V96" s="137"/>
      <c r="W96" s="134"/>
      <c r="X96" s="137"/>
      <c r="Y96" s="137"/>
      <c r="Z96" s="137"/>
      <c r="AA96" s="134"/>
      <c r="AB96" s="137"/>
      <c r="AC96" s="137"/>
      <c r="AD96" s="137"/>
      <c r="AE96" s="134"/>
      <c r="AF96" s="137"/>
      <c r="AG96" s="137"/>
      <c r="AH96" s="137"/>
      <c r="AI96" s="134"/>
      <c r="AJ96" s="137"/>
      <c r="AK96" s="137"/>
      <c r="AL96" s="137"/>
      <c r="AM96" s="134"/>
      <c r="AN96" s="137"/>
      <c r="AO96" s="137"/>
      <c r="AP96" s="137"/>
      <c r="AQ96" s="134"/>
      <c r="AR96" s="137"/>
      <c r="AS96" s="137"/>
      <c r="AT96" s="137"/>
      <c r="AU96" s="134"/>
      <c r="AV96" s="137"/>
      <c r="AW96" s="134"/>
      <c r="AX96" s="137"/>
      <c r="AY96" s="134"/>
      <c r="AZ96" s="137"/>
      <c r="BA96" s="134"/>
      <c r="BB96" s="137"/>
      <c r="BC96" s="135"/>
      <c r="BD96" s="135"/>
      <c r="BE96" s="134"/>
      <c r="BF96" s="137"/>
      <c r="BG96" s="134"/>
      <c r="BH96" s="137"/>
      <c r="BI96" s="137"/>
      <c r="BJ96" s="137"/>
      <c r="BK96" s="135"/>
      <c r="BL96" s="135"/>
      <c r="BM96" s="134"/>
      <c r="BN96" s="137"/>
      <c r="BO96" s="137"/>
      <c r="BP96" s="137"/>
      <c r="BQ96" s="135"/>
      <c r="BR96" s="135"/>
      <c r="BS96" s="134"/>
      <c r="BT96" s="137"/>
      <c r="BU96" s="137"/>
      <c r="BV96" s="137"/>
      <c r="BW96" s="135"/>
      <c r="BX96" s="135"/>
      <c r="BY96" s="134"/>
      <c r="BZ96" s="137"/>
      <c r="CA96" s="137"/>
      <c r="CB96" s="137"/>
      <c r="CC96" s="135"/>
      <c r="CD96" s="135"/>
      <c r="CE96" s="134"/>
      <c r="CF96" s="137"/>
      <c r="CG96" s="137"/>
      <c r="CH96" s="137"/>
      <c r="CI96" s="135"/>
      <c r="CJ96" s="135"/>
      <c r="CK96" s="134"/>
      <c r="CL96" s="137"/>
      <c r="CM96" s="137"/>
      <c r="CN96" s="137"/>
      <c r="CO96" s="135"/>
      <c r="CP96" s="135"/>
      <c r="CQ96" s="134"/>
      <c r="CR96" s="137"/>
      <c r="CS96" s="137"/>
      <c r="CT96" s="137"/>
      <c r="CU96" s="135"/>
      <c r="CV96" s="135"/>
      <c r="CW96" s="134"/>
      <c r="CX96" s="137"/>
      <c r="CY96" s="137"/>
      <c r="CZ96" s="137"/>
      <c r="DA96" s="135"/>
      <c r="DB96" s="135"/>
      <c r="DC96" s="134"/>
      <c r="DD96" s="137"/>
      <c r="DE96" s="137"/>
      <c r="DF96" s="137"/>
      <c r="DG96" s="135"/>
      <c r="DH96" s="135"/>
      <c r="DI96" s="134"/>
      <c r="DJ96" s="137"/>
      <c r="DK96" s="137"/>
      <c r="DL96" s="137"/>
      <c r="DM96" s="135">
        <f t="shared" si="314"/>
        <v>1</v>
      </c>
      <c r="DN96" s="135">
        <f t="shared" si="315"/>
        <v>1</v>
      </c>
      <c r="DO96" s="134">
        <f>'бюджет округа (района)'!BH96+'бюджеты поселений'!BH96</f>
        <v>0</v>
      </c>
      <c r="DP96" s="137">
        <f>'бюджет округа (района)'!BH96</f>
        <v>0</v>
      </c>
      <c r="DQ96" s="134">
        <f>'бюджет округа (района)'!BI96+'бюджеты поселений'!BI96</f>
        <v>0</v>
      </c>
      <c r="DR96" s="137">
        <f>'бюджет округа (района)'!BI96</f>
        <v>0</v>
      </c>
      <c r="DS96" s="134"/>
      <c r="DT96" s="137"/>
      <c r="DU96" s="229" t="s">
        <v>34</v>
      </c>
      <c r="DV96" s="229" t="s">
        <v>34</v>
      </c>
      <c r="DW96" s="135">
        <f t="shared" si="313"/>
        <v>1</v>
      </c>
      <c r="DX96" s="197">
        <f>IF($G96=0,1,DT96/$H96)</f>
        <v>1</v>
      </c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  <c r="IX96" s="105"/>
      <c r="IY96" s="105"/>
      <c r="IZ96" s="105"/>
      <c r="JA96" s="105"/>
      <c r="JB96" s="105"/>
      <c r="JC96" s="105"/>
      <c r="JD96" s="105"/>
      <c r="JE96" s="105"/>
      <c r="JF96" s="105"/>
      <c r="JG96" s="105"/>
      <c r="JH96" s="105"/>
    </row>
    <row r="97" spans="1:268" s="106" customFormat="1" ht="18" hidden="1" customHeight="1">
      <c r="A97" s="349" t="s">
        <v>34</v>
      </c>
      <c r="B97" s="293"/>
      <c r="C97" s="134"/>
      <c r="D97" s="137"/>
      <c r="E97" s="137"/>
      <c r="F97" s="137"/>
      <c r="G97" s="137"/>
      <c r="H97" s="137"/>
      <c r="I97" s="134"/>
      <c r="J97" s="137"/>
      <c r="K97" s="134"/>
      <c r="L97" s="137"/>
      <c r="M97" s="137"/>
      <c r="N97" s="137"/>
      <c r="O97" s="134"/>
      <c r="P97" s="137"/>
      <c r="Q97" s="137"/>
      <c r="R97" s="137"/>
      <c r="S97" s="134"/>
      <c r="T97" s="137"/>
      <c r="U97" s="137"/>
      <c r="V97" s="137"/>
      <c r="W97" s="134"/>
      <c r="X97" s="137"/>
      <c r="Y97" s="137"/>
      <c r="Z97" s="137"/>
      <c r="AA97" s="134"/>
      <c r="AB97" s="137"/>
      <c r="AC97" s="137"/>
      <c r="AD97" s="137"/>
      <c r="AE97" s="134"/>
      <c r="AF97" s="137"/>
      <c r="AG97" s="137"/>
      <c r="AH97" s="137"/>
      <c r="AI97" s="134"/>
      <c r="AJ97" s="137"/>
      <c r="AK97" s="137"/>
      <c r="AL97" s="137"/>
      <c r="AM97" s="134"/>
      <c r="AN97" s="137"/>
      <c r="AO97" s="137"/>
      <c r="AP97" s="137"/>
      <c r="AQ97" s="134"/>
      <c r="AR97" s="137"/>
      <c r="AS97" s="137"/>
      <c r="AT97" s="137"/>
      <c r="AU97" s="134"/>
      <c r="AV97" s="137"/>
      <c r="AW97" s="134"/>
      <c r="AX97" s="137"/>
      <c r="AY97" s="134"/>
      <c r="AZ97" s="137"/>
      <c r="BA97" s="134"/>
      <c r="BB97" s="137"/>
      <c r="BC97" s="135"/>
      <c r="BD97" s="135"/>
      <c r="BE97" s="134"/>
      <c r="BF97" s="137"/>
      <c r="BG97" s="134"/>
      <c r="BH97" s="137"/>
      <c r="BI97" s="137"/>
      <c r="BJ97" s="137"/>
      <c r="BK97" s="135"/>
      <c r="BL97" s="135"/>
      <c r="BM97" s="134"/>
      <c r="BN97" s="137"/>
      <c r="BO97" s="137"/>
      <c r="BP97" s="137"/>
      <c r="BQ97" s="135"/>
      <c r="BR97" s="135"/>
      <c r="BS97" s="134"/>
      <c r="BT97" s="137"/>
      <c r="BU97" s="137"/>
      <c r="BV97" s="137"/>
      <c r="BW97" s="135"/>
      <c r="BX97" s="135"/>
      <c r="BY97" s="134"/>
      <c r="BZ97" s="137"/>
      <c r="CA97" s="137"/>
      <c r="CB97" s="137"/>
      <c r="CC97" s="135"/>
      <c r="CD97" s="135"/>
      <c r="CE97" s="134"/>
      <c r="CF97" s="137"/>
      <c r="CG97" s="137"/>
      <c r="CH97" s="137"/>
      <c r="CI97" s="135"/>
      <c r="CJ97" s="135"/>
      <c r="CK97" s="134"/>
      <c r="CL97" s="137"/>
      <c r="CM97" s="137"/>
      <c r="CN97" s="137"/>
      <c r="CO97" s="135"/>
      <c r="CP97" s="135"/>
      <c r="CQ97" s="134"/>
      <c r="CR97" s="137"/>
      <c r="CS97" s="137"/>
      <c r="CT97" s="137"/>
      <c r="CU97" s="135"/>
      <c r="CV97" s="135"/>
      <c r="CW97" s="134"/>
      <c r="CX97" s="137"/>
      <c r="CY97" s="137"/>
      <c r="CZ97" s="137"/>
      <c r="DA97" s="135"/>
      <c r="DB97" s="135"/>
      <c r="DC97" s="134"/>
      <c r="DD97" s="137"/>
      <c r="DE97" s="137"/>
      <c r="DF97" s="137"/>
      <c r="DG97" s="135"/>
      <c r="DH97" s="135"/>
      <c r="DI97" s="134"/>
      <c r="DJ97" s="137"/>
      <c r="DK97" s="137"/>
      <c r="DL97" s="137"/>
      <c r="DM97" s="135">
        <f t="shared" si="314"/>
        <v>1</v>
      </c>
      <c r="DN97" s="135">
        <f t="shared" si="315"/>
        <v>1</v>
      </c>
      <c r="DO97" s="134">
        <f>'бюджет округа (района)'!BH97+'бюджеты поселений'!BH97</f>
        <v>0</v>
      </c>
      <c r="DP97" s="137">
        <f>'бюджет округа (района)'!BH97</f>
        <v>0</v>
      </c>
      <c r="DQ97" s="134">
        <f>'бюджет округа (района)'!BI97+'бюджеты поселений'!BI97</f>
        <v>0</v>
      </c>
      <c r="DR97" s="137">
        <f>'бюджет округа (района)'!BI97</f>
        <v>0</v>
      </c>
      <c r="DS97" s="134"/>
      <c r="DT97" s="137"/>
      <c r="DU97" s="135">
        <f t="shared" ref="DU97:DU100" si="317">IF($BA$10=0,1,DS97/$BA$10)</f>
        <v>0</v>
      </c>
      <c r="DV97" s="135">
        <f t="shared" ref="DV97:DV100" si="318">IF($BA$10=0,1,DT97/$BA$10)</f>
        <v>0</v>
      </c>
      <c r="DW97" s="135">
        <f t="shared" si="313"/>
        <v>1</v>
      </c>
      <c r="DX97" s="197">
        <f>IF($G97=0,1,DT97/$H97)</f>
        <v>1</v>
      </c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05"/>
      <c r="HH97" s="105"/>
      <c r="HI97" s="105"/>
      <c r="HJ97" s="105"/>
      <c r="HK97" s="105"/>
      <c r="HL97" s="105"/>
      <c r="HM97" s="105"/>
      <c r="HN97" s="105"/>
      <c r="HO97" s="105"/>
      <c r="HP97" s="105"/>
      <c r="HQ97" s="105"/>
      <c r="HR97" s="105"/>
      <c r="HS97" s="105"/>
      <c r="HT97" s="105"/>
      <c r="HU97" s="105"/>
      <c r="HV97" s="105"/>
      <c r="HW97" s="105"/>
      <c r="HX97" s="105"/>
      <c r="HY97" s="105"/>
      <c r="HZ97" s="105"/>
      <c r="IA97" s="105"/>
      <c r="IB97" s="105"/>
      <c r="IC97" s="105"/>
      <c r="ID97" s="105"/>
      <c r="IE97" s="105"/>
      <c r="IF97" s="105"/>
      <c r="IG97" s="105"/>
      <c r="IH97" s="105"/>
      <c r="II97" s="105"/>
      <c r="IJ97" s="105"/>
      <c r="IK97" s="105"/>
      <c r="IL97" s="105"/>
      <c r="IM97" s="105"/>
      <c r="IN97" s="105"/>
      <c r="IO97" s="105"/>
      <c r="IP97" s="105"/>
      <c r="IQ97" s="105"/>
      <c r="IR97" s="105"/>
      <c r="IS97" s="105"/>
      <c r="IT97" s="105"/>
      <c r="IU97" s="105"/>
      <c r="IV97" s="105"/>
      <c r="IW97" s="105"/>
      <c r="IX97" s="105"/>
      <c r="IY97" s="105"/>
      <c r="IZ97" s="105"/>
      <c r="JA97" s="105"/>
      <c r="JB97" s="105"/>
      <c r="JC97" s="105"/>
      <c r="JD97" s="105"/>
      <c r="JE97" s="105"/>
      <c r="JF97" s="105"/>
      <c r="JG97" s="105"/>
      <c r="JH97" s="105"/>
    </row>
    <row r="98" spans="1:268" s="106" customFormat="1" ht="18" hidden="1" customHeight="1">
      <c r="A98" s="349" t="s">
        <v>34</v>
      </c>
      <c r="B98" s="293"/>
      <c r="C98" s="134"/>
      <c r="D98" s="137"/>
      <c r="E98" s="137"/>
      <c r="F98" s="137"/>
      <c r="G98" s="137"/>
      <c r="H98" s="137"/>
      <c r="I98" s="134"/>
      <c r="J98" s="137"/>
      <c r="K98" s="134"/>
      <c r="L98" s="137"/>
      <c r="M98" s="137"/>
      <c r="N98" s="137"/>
      <c r="O98" s="134"/>
      <c r="P98" s="137"/>
      <c r="Q98" s="137"/>
      <c r="R98" s="137"/>
      <c r="S98" s="134"/>
      <c r="T98" s="137"/>
      <c r="U98" s="137"/>
      <c r="V98" s="137"/>
      <c r="W98" s="134"/>
      <c r="X98" s="137"/>
      <c r="Y98" s="137"/>
      <c r="Z98" s="137"/>
      <c r="AA98" s="134"/>
      <c r="AB98" s="137"/>
      <c r="AC98" s="137"/>
      <c r="AD98" s="137"/>
      <c r="AE98" s="134"/>
      <c r="AF98" s="137"/>
      <c r="AG98" s="137"/>
      <c r="AH98" s="137"/>
      <c r="AI98" s="134"/>
      <c r="AJ98" s="137"/>
      <c r="AK98" s="137"/>
      <c r="AL98" s="137"/>
      <c r="AM98" s="134"/>
      <c r="AN98" s="137"/>
      <c r="AO98" s="137"/>
      <c r="AP98" s="137"/>
      <c r="AQ98" s="134"/>
      <c r="AR98" s="137"/>
      <c r="AS98" s="137"/>
      <c r="AT98" s="137"/>
      <c r="AU98" s="134"/>
      <c r="AV98" s="137"/>
      <c r="AW98" s="134"/>
      <c r="AX98" s="137"/>
      <c r="AY98" s="134"/>
      <c r="AZ98" s="137"/>
      <c r="BA98" s="134"/>
      <c r="BB98" s="137"/>
      <c r="BC98" s="135"/>
      <c r="BD98" s="135"/>
      <c r="BE98" s="134"/>
      <c r="BF98" s="137"/>
      <c r="BG98" s="134"/>
      <c r="BH98" s="137"/>
      <c r="BI98" s="137"/>
      <c r="BJ98" s="137"/>
      <c r="BK98" s="135"/>
      <c r="BL98" s="135"/>
      <c r="BM98" s="134"/>
      <c r="BN98" s="137"/>
      <c r="BO98" s="137"/>
      <c r="BP98" s="137"/>
      <c r="BQ98" s="135"/>
      <c r="BR98" s="135"/>
      <c r="BS98" s="134"/>
      <c r="BT98" s="137"/>
      <c r="BU98" s="137"/>
      <c r="BV98" s="137"/>
      <c r="BW98" s="135"/>
      <c r="BX98" s="135"/>
      <c r="BY98" s="134"/>
      <c r="BZ98" s="137"/>
      <c r="CA98" s="137"/>
      <c r="CB98" s="137"/>
      <c r="CC98" s="135"/>
      <c r="CD98" s="135"/>
      <c r="CE98" s="134"/>
      <c r="CF98" s="137"/>
      <c r="CG98" s="137"/>
      <c r="CH98" s="137"/>
      <c r="CI98" s="135"/>
      <c r="CJ98" s="135"/>
      <c r="CK98" s="134"/>
      <c r="CL98" s="137"/>
      <c r="CM98" s="137"/>
      <c r="CN98" s="137"/>
      <c r="CO98" s="135"/>
      <c r="CP98" s="135"/>
      <c r="CQ98" s="134"/>
      <c r="CR98" s="137"/>
      <c r="CS98" s="137"/>
      <c r="CT98" s="137"/>
      <c r="CU98" s="135"/>
      <c r="CV98" s="135"/>
      <c r="CW98" s="134"/>
      <c r="CX98" s="137"/>
      <c r="CY98" s="137"/>
      <c r="CZ98" s="137"/>
      <c r="DA98" s="135"/>
      <c r="DB98" s="135"/>
      <c r="DC98" s="134"/>
      <c r="DD98" s="137"/>
      <c r="DE98" s="137"/>
      <c r="DF98" s="137"/>
      <c r="DG98" s="135"/>
      <c r="DH98" s="135"/>
      <c r="DI98" s="134"/>
      <c r="DJ98" s="137"/>
      <c r="DK98" s="137"/>
      <c r="DL98" s="137"/>
      <c r="DM98" s="135">
        <f t="shared" si="314"/>
        <v>1</v>
      </c>
      <c r="DN98" s="135">
        <f t="shared" si="315"/>
        <v>1</v>
      </c>
      <c r="DO98" s="134">
        <f>'бюджет округа (района)'!BH98+'бюджеты поселений'!BH98</f>
        <v>0</v>
      </c>
      <c r="DP98" s="137">
        <f>'бюджет округа (района)'!BH98</f>
        <v>0</v>
      </c>
      <c r="DQ98" s="134">
        <f>'бюджет округа (района)'!BI98+'бюджеты поселений'!BI98</f>
        <v>0</v>
      </c>
      <c r="DR98" s="137">
        <f>'бюджет округа (района)'!BI98</f>
        <v>0</v>
      </c>
      <c r="DS98" s="134"/>
      <c r="DT98" s="137"/>
      <c r="DU98" s="135">
        <f t="shared" si="317"/>
        <v>0</v>
      </c>
      <c r="DV98" s="135">
        <f t="shared" si="318"/>
        <v>0</v>
      </c>
      <c r="DW98" s="135">
        <f t="shared" si="313"/>
        <v>1</v>
      </c>
      <c r="DX98" s="197">
        <f>IF($G98=0,1,DT98/$H98)</f>
        <v>1</v>
      </c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  <c r="GY98" s="105"/>
      <c r="GZ98" s="105"/>
      <c r="HA98" s="105"/>
      <c r="HB98" s="105"/>
      <c r="HC98" s="105"/>
      <c r="HD98" s="105"/>
      <c r="HE98" s="105"/>
      <c r="HF98" s="105"/>
      <c r="HG98" s="105"/>
      <c r="HH98" s="105"/>
      <c r="HI98" s="105"/>
      <c r="HJ98" s="105"/>
      <c r="HK98" s="105"/>
      <c r="HL98" s="105"/>
      <c r="HM98" s="105"/>
      <c r="HN98" s="105"/>
      <c r="HO98" s="105"/>
      <c r="HP98" s="105"/>
      <c r="HQ98" s="105"/>
      <c r="HR98" s="105"/>
      <c r="HS98" s="105"/>
      <c r="HT98" s="105"/>
      <c r="HU98" s="105"/>
      <c r="HV98" s="105"/>
      <c r="HW98" s="105"/>
      <c r="HX98" s="105"/>
      <c r="HY98" s="105"/>
      <c r="HZ98" s="105"/>
      <c r="IA98" s="105"/>
      <c r="IB98" s="105"/>
      <c r="IC98" s="105"/>
      <c r="ID98" s="105"/>
      <c r="IE98" s="105"/>
      <c r="IF98" s="105"/>
      <c r="IG98" s="105"/>
      <c r="IH98" s="105"/>
      <c r="II98" s="105"/>
      <c r="IJ98" s="105"/>
      <c r="IK98" s="105"/>
      <c r="IL98" s="105"/>
      <c r="IM98" s="105"/>
      <c r="IN98" s="105"/>
      <c r="IO98" s="105"/>
      <c r="IP98" s="105"/>
      <c r="IQ98" s="105"/>
      <c r="IR98" s="105"/>
      <c r="IS98" s="105"/>
      <c r="IT98" s="105"/>
      <c r="IU98" s="105"/>
      <c r="IV98" s="105"/>
      <c r="IW98" s="105"/>
      <c r="IX98" s="105"/>
      <c r="IY98" s="105"/>
      <c r="IZ98" s="105"/>
      <c r="JA98" s="105"/>
      <c r="JB98" s="105"/>
      <c r="JC98" s="105"/>
      <c r="JD98" s="105"/>
      <c r="JE98" s="105"/>
      <c r="JF98" s="105"/>
      <c r="JG98" s="105"/>
      <c r="JH98" s="105"/>
    </row>
    <row r="99" spans="1:268" s="106" customFormat="1" ht="18" hidden="1" customHeight="1">
      <c r="A99" s="349" t="s">
        <v>34</v>
      </c>
      <c r="B99" s="293"/>
      <c r="C99" s="134"/>
      <c r="D99" s="137"/>
      <c r="E99" s="137"/>
      <c r="F99" s="137"/>
      <c r="G99" s="137"/>
      <c r="H99" s="137"/>
      <c r="I99" s="134"/>
      <c r="J99" s="137"/>
      <c r="K99" s="134"/>
      <c r="L99" s="137"/>
      <c r="M99" s="137"/>
      <c r="N99" s="137"/>
      <c r="O99" s="134"/>
      <c r="P99" s="137"/>
      <c r="Q99" s="137"/>
      <c r="R99" s="137"/>
      <c r="S99" s="134"/>
      <c r="T99" s="137"/>
      <c r="U99" s="137"/>
      <c r="V99" s="137"/>
      <c r="W99" s="134"/>
      <c r="X99" s="137"/>
      <c r="Y99" s="137"/>
      <c r="Z99" s="137"/>
      <c r="AA99" s="134"/>
      <c r="AB99" s="137"/>
      <c r="AC99" s="137"/>
      <c r="AD99" s="137"/>
      <c r="AE99" s="134"/>
      <c r="AF99" s="137"/>
      <c r="AG99" s="137"/>
      <c r="AH99" s="137"/>
      <c r="AI99" s="134"/>
      <c r="AJ99" s="137"/>
      <c r="AK99" s="137"/>
      <c r="AL99" s="137"/>
      <c r="AM99" s="134"/>
      <c r="AN99" s="137"/>
      <c r="AO99" s="137"/>
      <c r="AP99" s="137"/>
      <c r="AQ99" s="134"/>
      <c r="AR99" s="137"/>
      <c r="AS99" s="137"/>
      <c r="AT99" s="137"/>
      <c r="AU99" s="134"/>
      <c r="AV99" s="137"/>
      <c r="AW99" s="134"/>
      <c r="AX99" s="137"/>
      <c r="AY99" s="134"/>
      <c r="AZ99" s="137"/>
      <c r="BA99" s="134"/>
      <c r="BB99" s="137"/>
      <c r="BC99" s="135"/>
      <c r="BD99" s="135"/>
      <c r="BE99" s="134"/>
      <c r="BF99" s="137"/>
      <c r="BG99" s="134"/>
      <c r="BH99" s="137"/>
      <c r="BI99" s="137"/>
      <c r="BJ99" s="137"/>
      <c r="BK99" s="135"/>
      <c r="BL99" s="135"/>
      <c r="BM99" s="134"/>
      <c r="BN99" s="137"/>
      <c r="BO99" s="137"/>
      <c r="BP99" s="137"/>
      <c r="BQ99" s="135"/>
      <c r="BR99" s="135"/>
      <c r="BS99" s="134"/>
      <c r="BT99" s="137"/>
      <c r="BU99" s="137"/>
      <c r="BV99" s="137"/>
      <c r="BW99" s="135"/>
      <c r="BX99" s="135"/>
      <c r="BY99" s="134"/>
      <c r="BZ99" s="137"/>
      <c r="CA99" s="137"/>
      <c r="CB99" s="137"/>
      <c r="CC99" s="135"/>
      <c r="CD99" s="135"/>
      <c r="CE99" s="134"/>
      <c r="CF99" s="137"/>
      <c r="CG99" s="137"/>
      <c r="CH99" s="137"/>
      <c r="CI99" s="135"/>
      <c r="CJ99" s="135"/>
      <c r="CK99" s="134"/>
      <c r="CL99" s="137"/>
      <c r="CM99" s="137"/>
      <c r="CN99" s="137"/>
      <c r="CO99" s="135"/>
      <c r="CP99" s="135"/>
      <c r="CQ99" s="134"/>
      <c r="CR99" s="137"/>
      <c r="CS99" s="137"/>
      <c r="CT99" s="137"/>
      <c r="CU99" s="135"/>
      <c r="CV99" s="135"/>
      <c r="CW99" s="134"/>
      <c r="CX99" s="137"/>
      <c r="CY99" s="137"/>
      <c r="CZ99" s="137"/>
      <c r="DA99" s="135"/>
      <c r="DB99" s="135"/>
      <c r="DC99" s="134"/>
      <c r="DD99" s="137"/>
      <c r="DE99" s="137"/>
      <c r="DF99" s="137"/>
      <c r="DG99" s="135"/>
      <c r="DH99" s="135"/>
      <c r="DI99" s="134"/>
      <c r="DJ99" s="137"/>
      <c r="DK99" s="137"/>
      <c r="DL99" s="137"/>
      <c r="DM99" s="135">
        <f t="shared" si="314"/>
        <v>1</v>
      </c>
      <c r="DN99" s="135">
        <f t="shared" si="315"/>
        <v>1</v>
      </c>
      <c r="DO99" s="134">
        <f>'бюджет округа (района)'!BH99+'бюджеты поселений'!BH99</f>
        <v>0</v>
      </c>
      <c r="DP99" s="137">
        <f>'бюджет округа (района)'!BH99</f>
        <v>0</v>
      </c>
      <c r="DQ99" s="134">
        <f>'бюджет округа (района)'!BI99+'бюджеты поселений'!BI99</f>
        <v>0</v>
      </c>
      <c r="DR99" s="137">
        <f>'бюджет округа (района)'!BI99</f>
        <v>0</v>
      </c>
      <c r="DS99" s="134"/>
      <c r="DT99" s="137"/>
      <c r="DU99" s="135">
        <f t="shared" si="317"/>
        <v>0</v>
      </c>
      <c r="DV99" s="135">
        <f t="shared" si="318"/>
        <v>0</v>
      </c>
      <c r="DW99" s="135">
        <f t="shared" si="313"/>
        <v>1</v>
      </c>
      <c r="DX99" s="197">
        <f>IF($G99=0,1,DT99/$H99)</f>
        <v>1</v>
      </c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  <c r="GY99" s="105"/>
      <c r="GZ99" s="105"/>
      <c r="HA99" s="105"/>
      <c r="HB99" s="105"/>
      <c r="HC99" s="105"/>
      <c r="HD99" s="105"/>
      <c r="HE99" s="105"/>
      <c r="HF99" s="105"/>
      <c r="HG99" s="105"/>
      <c r="HH99" s="105"/>
      <c r="HI99" s="105"/>
      <c r="HJ99" s="105"/>
      <c r="HK99" s="105"/>
      <c r="HL99" s="105"/>
      <c r="HM99" s="105"/>
      <c r="HN99" s="105"/>
      <c r="HO99" s="105"/>
      <c r="HP99" s="105"/>
      <c r="HQ99" s="105"/>
      <c r="HR99" s="105"/>
      <c r="HS99" s="105"/>
      <c r="HT99" s="105"/>
      <c r="HU99" s="105"/>
      <c r="HV99" s="105"/>
      <c r="HW99" s="105"/>
      <c r="HX99" s="105"/>
      <c r="HY99" s="105"/>
      <c r="HZ99" s="105"/>
      <c r="IA99" s="105"/>
      <c r="IB99" s="105"/>
      <c r="IC99" s="105"/>
      <c r="ID99" s="105"/>
      <c r="IE99" s="105"/>
      <c r="IF99" s="105"/>
      <c r="IG99" s="105"/>
      <c r="IH99" s="105"/>
      <c r="II99" s="105"/>
      <c r="IJ99" s="105"/>
      <c r="IK99" s="105"/>
      <c r="IL99" s="105"/>
      <c r="IM99" s="105"/>
      <c r="IN99" s="105"/>
      <c r="IO99" s="105"/>
      <c r="IP99" s="105"/>
      <c r="IQ99" s="105"/>
      <c r="IR99" s="105"/>
      <c r="IS99" s="105"/>
      <c r="IT99" s="105"/>
      <c r="IU99" s="105"/>
      <c r="IV99" s="105"/>
      <c r="IW99" s="105"/>
      <c r="IX99" s="105"/>
      <c r="IY99" s="105"/>
      <c r="IZ99" s="105"/>
      <c r="JA99" s="105"/>
      <c r="JB99" s="105"/>
      <c r="JC99" s="105"/>
      <c r="JD99" s="105"/>
      <c r="JE99" s="105"/>
      <c r="JF99" s="105"/>
      <c r="JG99" s="105"/>
      <c r="JH99" s="105"/>
    </row>
    <row r="100" spans="1:268" ht="16.5" hidden="1">
      <c r="A100" s="349" t="s">
        <v>34</v>
      </c>
      <c r="B100" s="293"/>
      <c r="C100" s="134"/>
      <c r="D100" s="137"/>
      <c r="E100" s="137"/>
      <c r="F100" s="137"/>
      <c r="G100" s="137"/>
      <c r="H100" s="137"/>
      <c r="I100" s="134"/>
      <c r="J100" s="137"/>
      <c r="K100" s="134"/>
      <c r="L100" s="137"/>
      <c r="M100" s="137"/>
      <c r="N100" s="137"/>
      <c r="O100" s="134"/>
      <c r="P100" s="137"/>
      <c r="Q100" s="137"/>
      <c r="R100" s="137"/>
      <c r="S100" s="134"/>
      <c r="T100" s="137"/>
      <c r="U100" s="137"/>
      <c r="V100" s="137"/>
      <c r="W100" s="134"/>
      <c r="X100" s="137"/>
      <c r="Y100" s="137"/>
      <c r="Z100" s="137"/>
      <c r="AA100" s="134"/>
      <c r="AB100" s="137"/>
      <c r="AC100" s="137"/>
      <c r="AD100" s="137"/>
      <c r="AE100" s="134"/>
      <c r="AF100" s="137"/>
      <c r="AG100" s="137"/>
      <c r="AH100" s="137"/>
      <c r="AI100" s="134"/>
      <c r="AJ100" s="137"/>
      <c r="AK100" s="137"/>
      <c r="AL100" s="137"/>
      <c r="AM100" s="134"/>
      <c r="AN100" s="137"/>
      <c r="AO100" s="137"/>
      <c r="AP100" s="137"/>
      <c r="AQ100" s="134"/>
      <c r="AR100" s="137"/>
      <c r="AS100" s="137"/>
      <c r="AT100" s="137"/>
      <c r="AU100" s="134"/>
      <c r="AV100" s="137"/>
      <c r="AW100" s="134"/>
      <c r="AX100" s="137"/>
      <c r="AY100" s="134"/>
      <c r="AZ100" s="137"/>
      <c r="BA100" s="134"/>
      <c r="BB100" s="137"/>
      <c r="BC100" s="135"/>
      <c r="BD100" s="135"/>
      <c r="BE100" s="134"/>
      <c r="BF100" s="137"/>
      <c r="BG100" s="134"/>
      <c r="BH100" s="137"/>
      <c r="BI100" s="137"/>
      <c r="BJ100" s="137"/>
      <c r="BK100" s="135"/>
      <c r="BL100" s="135"/>
      <c r="BM100" s="134"/>
      <c r="BN100" s="137"/>
      <c r="BO100" s="137"/>
      <c r="BP100" s="137"/>
      <c r="BQ100" s="135"/>
      <c r="BR100" s="135"/>
      <c r="BS100" s="134"/>
      <c r="BT100" s="137"/>
      <c r="BU100" s="137"/>
      <c r="BV100" s="137"/>
      <c r="BW100" s="135"/>
      <c r="BX100" s="135"/>
      <c r="BY100" s="134"/>
      <c r="BZ100" s="137"/>
      <c r="CA100" s="137"/>
      <c r="CB100" s="137"/>
      <c r="CC100" s="135"/>
      <c r="CD100" s="135"/>
      <c r="CE100" s="134"/>
      <c r="CF100" s="137"/>
      <c r="CG100" s="137"/>
      <c r="CH100" s="137"/>
      <c r="CI100" s="135"/>
      <c r="CJ100" s="135"/>
      <c r="CK100" s="134"/>
      <c r="CL100" s="137"/>
      <c r="CM100" s="137"/>
      <c r="CN100" s="137"/>
      <c r="CO100" s="135"/>
      <c r="CP100" s="135"/>
      <c r="CQ100" s="134"/>
      <c r="CR100" s="137"/>
      <c r="CS100" s="137"/>
      <c r="CT100" s="137"/>
      <c r="CU100" s="135"/>
      <c r="CV100" s="135"/>
      <c r="CW100" s="134"/>
      <c r="CX100" s="137"/>
      <c r="CY100" s="137"/>
      <c r="CZ100" s="137"/>
      <c r="DA100" s="135"/>
      <c r="DB100" s="135"/>
      <c r="DC100" s="134"/>
      <c r="DD100" s="137"/>
      <c r="DE100" s="137"/>
      <c r="DF100" s="137"/>
      <c r="DG100" s="135"/>
      <c r="DH100" s="135"/>
      <c r="DI100" s="134"/>
      <c r="DJ100" s="137"/>
      <c r="DK100" s="137"/>
      <c r="DL100" s="137"/>
      <c r="DM100" s="135">
        <f t="shared" si="314"/>
        <v>1</v>
      </c>
      <c r="DN100" s="135">
        <f t="shared" si="315"/>
        <v>1</v>
      </c>
      <c r="DO100" s="134">
        <f>'бюджет округа (района)'!BH100+'бюджеты поселений'!BH100</f>
        <v>0</v>
      </c>
      <c r="DP100" s="137">
        <f>'бюджет округа (района)'!BH100</f>
        <v>0</v>
      </c>
      <c r="DQ100" s="134">
        <f>'бюджет округа (района)'!BI100+'бюджеты поселений'!BI100</f>
        <v>0</v>
      </c>
      <c r="DR100" s="137">
        <f>'бюджет округа (района)'!BI100</f>
        <v>0</v>
      </c>
      <c r="DS100" s="134"/>
      <c r="DT100" s="137"/>
      <c r="DU100" s="135">
        <f t="shared" si="317"/>
        <v>0</v>
      </c>
      <c r="DV100" s="135">
        <f t="shared" si="318"/>
        <v>0</v>
      </c>
      <c r="DW100" s="135">
        <f t="shared" ref="DW100" si="319">IF($G100=0,1,DS100/$G100)</f>
        <v>1</v>
      </c>
      <c r="DX100" s="197">
        <f t="shared" ref="DX100" si="320">IF($G100=0,1,DT100/$G100)</f>
        <v>1</v>
      </c>
    </row>
    <row r="101" spans="1:268" s="104" customFormat="1" ht="18" customHeight="1">
      <c r="A101" s="352" t="s">
        <v>68</v>
      </c>
      <c r="B101" s="297"/>
      <c r="C101" s="137">
        <f t="shared" ref="C101:F101" si="321">C102+C103+C104+C105+C106+C107+C108+C112+C109+C110+C111</f>
        <v>10848</v>
      </c>
      <c r="D101" s="137">
        <f t="shared" si="321"/>
        <v>0</v>
      </c>
      <c r="E101" s="137">
        <f>E102+E103+E104+E105+E106+E107+E108+E112+E109+E110+E111</f>
        <v>22133</v>
      </c>
      <c r="F101" s="137">
        <f t="shared" si="321"/>
        <v>0</v>
      </c>
      <c r="G101" s="137">
        <f>G102+G103+G104+G105+G106+G107+G108+G112+G109+G110+G111</f>
        <v>16842</v>
      </c>
      <c r="H101" s="137">
        <f t="shared" ref="H101" si="322">B101+F101</f>
        <v>0</v>
      </c>
      <c r="I101" s="137">
        <f t="shared" ref="I101:L101" si="323">I102+I103+I104+I105+I106+I107+I108+I112+I109+I110+I111</f>
        <v>0</v>
      </c>
      <c r="J101" s="137">
        <f t="shared" si="323"/>
        <v>0</v>
      </c>
      <c r="K101" s="137">
        <f t="shared" si="323"/>
        <v>0</v>
      </c>
      <c r="L101" s="137">
        <f t="shared" si="323"/>
        <v>0</v>
      </c>
      <c r="M101" s="137">
        <f t="shared" ref="M101" si="324">I101+K101</f>
        <v>0</v>
      </c>
      <c r="N101" s="137">
        <f t="shared" ref="N101" si="325">J101+L101</f>
        <v>0</v>
      </c>
      <c r="O101" s="137">
        <f>O102+O103+O104+O105+O106+O107+O108+O112+O109+O110+O111</f>
        <v>0</v>
      </c>
      <c r="P101" s="137">
        <f>P102+P103+P104+P105+P106+P107+P108+P112+P109+P110+P111</f>
        <v>0</v>
      </c>
      <c r="Q101" s="137">
        <f t="shared" ref="Q101:R101" si="326">Q102+Q103+Q104+Q105+Q106+Q107+Q108+Q112</f>
        <v>0</v>
      </c>
      <c r="R101" s="137">
        <f t="shared" si="326"/>
        <v>0</v>
      </c>
      <c r="S101" s="137">
        <f>S102+S103+S104+S105+S106+S107+S108+S112+S109+S110+S111</f>
        <v>0</v>
      </c>
      <c r="T101" s="137">
        <f>T102+T103+T104+T105+T106+T107+T108+T112+T109+T110+T111</f>
        <v>0</v>
      </c>
      <c r="U101" s="137">
        <f t="shared" ref="U101" si="327">Q101+S101</f>
        <v>0</v>
      </c>
      <c r="V101" s="137">
        <f t="shared" ref="V101" si="328">R101+T101</f>
        <v>0</v>
      </c>
      <c r="W101" s="137">
        <f>W102+W103+W104+W105+W106+W107+W108+W112+W109+W110+W111</f>
        <v>0</v>
      </c>
      <c r="X101" s="137">
        <f>X102+X103+X104+X105+X106+X107+X108+X112+X109+X110+X111</f>
        <v>0</v>
      </c>
      <c r="Y101" s="137">
        <f t="shared" ref="Y101" si="329">U101+W101</f>
        <v>0</v>
      </c>
      <c r="Z101" s="137">
        <f t="shared" ref="Z101" si="330">V101+X101</f>
        <v>0</v>
      </c>
      <c r="AA101" s="137">
        <f>AA102+AA103+AA104+AA105+AA106+AA107+AA108+AA112+AA109+AA110+AA111</f>
        <v>0</v>
      </c>
      <c r="AB101" s="137">
        <f>AB102+AB103+AB104+AB105+AB106+AB107+AB108+AB112+AB109+AB110+AB111</f>
        <v>0</v>
      </c>
      <c r="AC101" s="137">
        <f t="shared" ref="AC101" si="331">Y101+AA101</f>
        <v>0</v>
      </c>
      <c r="AD101" s="137">
        <f t="shared" ref="AD101" si="332">Z101+AB101</f>
        <v>0</v>
      </c>
      <c r="AE101" s="137">
        <f>AE102+AE103+AE104+AE105+AE106+AE107+AE108+AE112+AE109+AE110+AE111</f>
        <v>0</v>
      </c>
      <c r="AF101" s="137">
        <f>AF102+AF103+AF104+AF105+AF106+AF107+AF108+AF112+AF109+AF110+AF111</f>
        <v>0</v>
      </c>
      <c r="AG101" s="137">
        <f t="shared" ref="AG101" si="333">AC101+AE101</f>
        <v>0</v>
      </c>
      <c r="AH101" s="137">
        <f t="shared" ref="AH101" si="334">AD101+AF101</f>
        <v>0</v>
      </c>
      <c r="AI101" s="137">
        <f>AI102+AI103+AI104+AI105+AI106+AI107+AI108+AI112+AI109+AI110+AI111</f>
        <v>0</v>
      </c>
      <c r="AJ101" s="137">
        <f>AJ102+AJ103+AJ104+AJ105+AJ106+AJ107+AJ108+AJ112+AJ109+AJ110+AJ111</f>
        <v>0</v>
      </c>
      <c r="AK101" s="137">
        <f t="shared" ref="AK101" si="335">AG101+AI101</f>
        <v>0</v>
      </c>
      <c r="AL101" s="137">
        <f t="shared" ref="AL101" si="336">AH101+AJ101</f>
        <v>0</v>
      </c>
      <c r="AM101" s="137">
        <f>AM102+AM103+AM104+AM105+AM106+AM107+AM108+AM112+AM109+AM110+AM111</f>
        <v>0</v>
      </c>
      <c r="AN101" s="137">
        <f>AN102+AN103+AN104+AN105+AN106+AN107+AN108+AN112+AN109+AN110+AN111</f>
        <v>0</v>
      </c>
      <c r="AO101" s="137">
        <f t="shared" ref="AO101" si="337">AK101+AM101</f>
        <v>0</v>
      </c>
      <c r="AP101" s="137">
        <f t="shared" ref="AP101" si="338">AL101+AN101</f>
        <v>0</v>
      </c>
      <c r="AQ101" s="137">
        <f>AQ102+AQ103+AQ104+AQ105+AQ106+AQ107+AQ108+AQ112+AQ109+AQ110+AQ111</f>
        <v>0</v>
      </c>
      <c r="AR101" s="137">
        <f>AR102+AR103+AR104+AR105+AR106+AR107+AR108+AR112+AR109+AR110+AR111</f>
        <v>0</v>
      </c>
      <c r="AS101" s="137">
        <f t="shared" ref="AS101" si="339">AO101+AQ101</f>
        <v>0</v>
      </c>
      <c r="AT101" s="137">
        <f t="shared" ref="AT101" si="340">AP101+AR101</f>
        <v>0</v>
      </c>
      <c r="AU101" s="137">
        <f>AU102+AU103+AU104+AU105+AU106+AU107+AU108+AU112+AU109+AU110+AU111</f>
        <v>0</v>
      </c>
      <c r="AV101" s="137">
        <f>AV102+AV103+AV104+AV105+AV106+AV107+AV108+AV112+AV109+AV110+AV111</f>
        <v>0</v>
      </c>
      <c r="AW101" s="137">
        <f t="shared" ref="AW101:AX101" si="341">AW102+AW103+AW104+AW105+AW106+AW107+AW108+AW112+AW109+AW110+AW111</f>
        <v>4794</v>
      </c>
      <c r="AX101" s="137">
        <f t="shared" si="341"/>
        <v>0</v>
      </c>
      <c r="AY101" s="137">
        <f>AY102+AY103+AY104+AY105+AY106+AY107+AY108+AY112+AY109+AY110+AY111</f>
        <v>0</v>
      </c>
      <c r="AZ101" s="137">
        <f>AZ102+AZ103+AZ104+AZ105+AZ106+AZ107+AZ108+AZ112+AZ109+AZ110+AZ111</f>
        <v>0</v>
      </c>
      <c r="BA101" s="137">
        <f>BA102+BA103+BA104+BA105+BA106+BA107+BA108+BA112+BA109+BA110+BA111</f>
        <v>16599</v>
      </c>
      <c r="BB101" s="137">
        <f>BB102+BB103+BB104+BB105+BB106+BB107+BB108+BB112+BB109+BB110+BB111</f>
        <v>0</v>
      </c>
      <c r="BC101" s="135">
        <f t="shared" ref="BC101" si="342">IF(G101=0,1,BA101/G101-1)</f>
        <v>-1.442821517634485E-2</v>
      </c>
      <c r="BD101" s="135">
        <f t="shared" ref="BD101" si="343">IF(H101=0,1,BB101/H101-1)</f>
        <v>1</v>
      </c>
      <c r="BE101" s="137">
        <f>BE102+BE103+BE104+BE105+BE106+BE107+BE108+BE112+BE109+BE110+BE111</f>
        <v>0</v>
      </c>
      <c r="BF101" s="137">
        <f>BF102+BF103+BF104+BF105+BF106+BF107+BF108+BF112+BF109+BF110+BF111</f>
        <v>0</v>
      </c>
      <c r="BG101" s="137">
        <f>BG102+BG103+BG104+BG105+BG106+BG107+BG108+BG112+BG109+BG110+BG111</f>
        <v>0</v>
      </c>
      <c r="BH101" s="137">
        <f>BH102+BH103+BH104+BH105+BH106+BH107+BH108+BH112+BH109+BH110+BH111</f>
        <v>0</v>
      </c>
      <c r="BI101" s="137">
        <f t="shared" ref="BI101" si="344">BE101+BG101</f>
        <v>0</v>
      </c>
      <c r="BJ101" s="137">
        <f t="shared" ref="BJ101" si="345">BF101+BH101</f>
        <v>0</v>
      </c>
      <c r="BK101" s="135">
        <f t="shared" ref="BK101" si="346">IF(M101=0,1,BI101/M101-1)</f>
        <v>1</v>
      </c>
      <c r="BL101" s="135">
        <f t="shared" ref="BL101" si="347">IF(N101=0,1,BJ101/N101-1)</f>
        <v>1</v>
      </c>
      <c r="BM101" s="137">
        <f>BM102+BM103+BM104+BM105+BM106+BM107+BM108+BM112+BM109+BM110+BM111</f>
        <v>0</v>
      </c>
      <c r="BN101" s="137">
        <f>BN102+BN103+BN104+BN105+BN106+BN107+BN108+BN112+BN109+BN110+BN111</f>
        <v>0</v>
      </c>
      <c r="BO101" s="137">
        <f t="shared" ref="BO101" si="348">BI101+BM101</f>
        <v>0</v>
      </c>
      <c r="BP101" s="137">
        <f t="shared" ref="BP101" si="349">BJ101+BN101</f>
        <v>0</v>
      </c>
      <c r="BQ101" s="135">
        <f t="shared" ref="BQ101" si="350">IF(Q101=0,1,BO101/Q101-1)</f>
        <v>1</v>
      </c>
      <c r="BR101" s="135">
        <f t="shared" ref="BR101" si="351">IF(R101=0,1,BP101/R101-1)</f>
        <v>1</v>
      </c>
      <c r="BS101" s="137">
        <f>BS102+BS103+BS104+BS105+BS106+BS107+BS108+BS112+BS109+BS110+BS111</f>
        <v>0</v>
      </c>
      <c r="BT101" s="137">
        <f>BT102+BT103+BT104+BT105+BT106+BT107+BT108+BT112+BT109+BT110+BT111</f>
        <v>0</v>
      </c>
      <c r="BU101" s="137">
        <f t="shared" ref="BU101" si="352">BO101+BS101</f>
        <v>0</v>
      </c>
      <c r="BV101" s="137">
        <f t="shared" ref="BV101" si="353">BP101+BT101</f>
        <v>0</v>
      </c>
      <c r="BW101" s="135">
        <f t="shared" ref="BW101" si="354">IF(U101=0,1,BU101/U101-1)</f>
        <v>1</v>
      </c>
      <c r="BX101" s="135">
        <f t="shared" ref="BX101" si="355">IF(V101=0,1,BV101/V101-1)</f>
        <v>1</v>
      </c>
      <c r="BY101" s="137">
        <f>BY102+BY103+BY104+BY105+BY106+BY107+BY108+BY112+BY109+BY110+BY111</f>
        <v>0</v>
      </c>
      <c r="BZ101" s="137">
        <f>BZ102+BZ103+BZ104+BZ105+BZ106+BZ107+BZ108+BZ112+BZ109+BZ110+BZ111</f>
        <v>0</v>
      </c>
      <c r="CA101" s="137">
        <f t="shared" ref="CA101" si="356">BU101+BY101</f>
        <v>0</v>
      </c>
      <c r="CB101" s="137">
        <f t="shared" ref="CB101" si="357">BV101+BZ101</f>
        <v>0</v>
      </c>
      <c r="CC101" s="135">
        <f t="shared" ref="CC101" si="358">IF(Y101=0,1,CA101/Y101-1)</f>
        <v>1</v>
      </c>
      <c r="CD101" s="135">
        <f t="shared" ref="CD101" si="359">IF(Z101=0,1,CB101/Z101-1)</f>
        <v>1</v>
      </c>
      <c r="CE101" s="137">
        <f>CE102+CE103+CE104+CE105+CE106+CE107+CE108+CE112+CE109+CE110+CE111</f>
        <v>0</v>
      </c>
      <c r="CF101" s="137">
        <f>CF102+CF103+CF104+CF105+CF106+CF107+CF108+CF112+CF109+CF110+CF111</f>
        <v>0</v>
      </c>
      <c r="CG101" s="137">
        <f t="shared" ref="CG101" si="360">CA101+CE101</f>
        <v>0</v>
      </c>
      <c r="CH101" s="137">
        <f t="shared" ref="CH101" si="361">CB101+CF101</f>
        <v>0</v>
      </c>
      <c r="CI101" s="135">
        <f t="shared" ref="CI101" si="362">IF(AC101=0,1,CG101/AC101-1)</f>
        <v>1</v>
      </c>
      <c r="CJ101" s="135">
        <f t="shared" ref="CJ101" si="363">IF(AD101=0,1,CH101/AD101-1)</f>
        <v>1</v>
      </c>
      <c r="CK101" s="137">
        <f>CK102+CK103+CK104+CK105+CK106+CK107+CK108+CK112+CK109+CK110+CK111</f>
        <v>0</v>
      </c>
      <c r="CL101" s="137">
        <f>CL102+CL103+CL104+CL105+CL106+CL107+CL108+CL112+CL109+CL110+CL111</f>
        <v>0</v>
      </c>
      <c r="CM101" s="137">
        <f t="shared" ref="CM101" si="364">CG101+CK101</f>
        <v>0</v>
      </c>
      <c r="CN101" s="137">
        <f t="shared" ref="CN101" si="365">CH101+CL101</f>
        <v>0</v>
      </c>
      <c r="CO101" s="135">
        <f t="shared" ref="CO101" si="366">IF(AG101=0,1,CM101/AG101-1)</f>
        <v>1</v>
      </c>
      <c r="CP101" s="135">
        <f t="shared" ref="CP101" si="367">IF(AH101=0,1,CN101/AH101-1)</f>
        <v>1</v>
      </c>
      <c r="CQ101" s="137">
        <f>CQ102+CQ103+CQ104+CQ105+CQ106+CQ107+CQ108+CQ112+CQ109+CQ110+CQ111</f>
        <v>0</v>
      </c>
      <c r="CR101" s="137">
        <f>CR102+CR103+CR104+CR105+CR106+CR107+CR108+CR112+CR109+CR110+CR111</f>
        <v>0</v>
      </c>
      <c r="CS101" s="137">
        <f t="shared" ref="CS101" si="368">CM101+CQ101</f>
        <v>0</v>
      </c>
      <c r="CT101" s="137">
        <f t="shared" ref="CT101" si="369">CN101+CR101</f>
        <v>0</v>
      </c>
      <c r="CU101" s="135">
        <f t="shared" ref="CU101" si="370">IF(AK101=0,1,CS101/AK101-1)</f>
        <v>1</v>
      </c>
      <c r="CV101" s="135">
        <f t="shared" ref="CV101" si="371">IF(AL101=0,1,CT101/AL101-1)</f>
        <v>1</v>
      </c>
      <c r="CW101" s="137">
        <f>CW102+CW103+CW104+CW105+CW106+CW107+CW108+CW112+CW109+CW110+CW111</f>
        <v>0</v>
      </c>
      <c r="CX101" s="137">
        <f>CX102+CX103+CX104+CX105+CX106+CX107+CX108+CX112+CX109+CX110+CX111</f>
        <v>0</v>
      </c>
      <c r="CY101" s="137">
        <f t="shared" ref="CY101" si="372">CS101+CW101</f>
        <v>0</v>
      </c>
      <c r="CZ101" s="137">
        <f t="shared" ref="CZ101" si="373">CT101+CX101</f>
        <v>0</v>
      </c>
      <c r="DA101" s="135">
        <f t="shared" ref="DA101" si="374">IF(AO101=0,1,CY101/AO101-1)</f>
        <v>1</v>
      </c>
      <c r="DB101" s="135">
        <f t="shared" ref="DB101" si="375">IF(AP101=0,1,CZ101/AP101-1)</f>
        <v>1</v>
      </c>
      <c r="DC101" s="137">
        <f>DC102+DC103+DC104+DC105+DC106+DC107+DC108+DC112+DC109+DC110+DC111</f>
        <v>0</v>
      </c>
      <c r="DD101" s="137">
        <f>DD102+DD103+DD104+DD105+DD106+DD107+DD108+DD112+DD109+DD110+DD111</f>
        <v>0</v>
      </c>
      <c r="DE101" s="137">
        <f t="shared" ref="DE101" si="376">CY101+DC101</f>
        <v>0</v>
      </c>
      <c r="DF101" s="137">
        <f t="shared" ref="DF101" si="377">CZ101+DD101</f>
        <v>0</v>
      </c>
      <c r="DG101" s="135">
        <f t="shared" ref="DG101" si="378">IF(AS101=0,1,DE101/AS101-1)</f>
        <v>1</v>
      </c>
      <c r="DH101" s="135">
        <f t="shared" ref="DH101" si="379">IF(AT101=0,1,DF101/AT101-1)</f>
        <v>1</v>
      </c>
      <c r="DI101" s="137">
        <f>DI102+DI103+DI104+DI105+DI106+DI107+DI108+DI112+DI109+DI110+DI111</f>
        <v>0</v>
      </c>
      <c r="DJ101" s="137">
        <f>DJ102+DJ103+DJ104+DJ105+DJ106+DJ107+DJ108+DJ112+DJ109+DJ110+DJ111</f>
        <v>0</v>
      </c>
      <c r="DK101" s="137">
        <f>DK102+DK103+DK104+DK105+DK106+DK107+DK108+DK112+DK109+DK110+DK111</f>
        <v>4736</v>
      </c>
      <c r="DL101" s="137">
        <f t="shared" ref="DL101" si="380">DF101+DJ101</f>
        <v>0</v>
      </c>
      <c r="DM101" s="135">
        <f t="shared" si="314"/>
        <v>0.98790154359616189</v>
      </c>
      <c r="DN101" s="135">
        <f t="shared" si="315"/>
        <v>1</v>
      </c>
      <c r="DO101" s="137">
        <f t="shared" ref="DO101:DR101" si="381">DO102+DO103+DO104+DO105+DO106+DO107+DO108+DO112+DO109+DO110+DO111</f>
        <v>0</v>
      </c>
      <c r="DP101" s="137">
        <f t="shared" si="381"/>
        <v>0</v>
      </c>
      <c r="DQ101" s="137">
        <f t="shared" si="381"/>
        <v>0</v>
      </c>
      <c r="DR101" s="137">
        <f t="shared" si="381"/>
        <v>0</v>
      </c>
      <c r="DS101" s="137">
        <f>DS102+DS103+DS104+DS105+DS106+DS107+DS108+DS112+DS109+DS110+DS111</f>
        <v>16599</v>
      </c>
      <c r="DT101" s="137">
        <f>DT102+DT103+DT104+DT105+DT106+DT107+DT108+DT112+DT109+DT110+DT111</f>
        <v>0</v>
      </c>
      <c r="DU101" s="135">
        <f>IF($BA$10=0,1,DS101/$BA101)</f>
        <v>1</v>
      </c>
      <c r="DV101" s="229" t="s">
        <v>34</v>
      </c>
      <c r="DW101" s="135">
        <f>IF($G101=0,1,DS101/$G101)</f>
        <v>0.98557178482365515</v>
      </c>
      <c r="DX101" s="244" t="s">
        <v>34</v>
      </c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  <c r="GY101" s="103"/>
      <c r="GZ101" s="103"/>
      <c r="HA101" s="103"/>
      <c r="HB101" s="103"/>
      <c r="HC101" s="103"/>
      <c r="HD101" s="103"/>
      <c r="HE101" s="103"/>
      <c r="HF101" s="103"/>
      <c r="HG101" s="103"/>
      <c r="HH101" s="103"/>
      <c r="HI101" s="103"/>
      <c r="HJ101" s="103"/>
      <c r="HK101" s="103"/>
      <c r="HL101" s="103"/>
      <c r="HM101" s="103"/>
      <c r="HN101" s="103"/>
      <c r="HO101" s="103"/>
      <c r="HP101" s="103"/>
      <c r="HQ101" s="103"/>
      <c r="HR101" s="103"/>
      <c r="HS101" s="103"/>
      <c r="HT101" s="103"/>
      <c r="HU101" s="103"/>
      <c r="HV101" s="103"/>
      <c r="HW101" s="103"/>
      <c r="HX101" s="103"/>
      <c r="HY101" s="103"/>
      <c r="HZ101" s="103"/>
      <c r="IA101" s="103"/>
      <c r="IB101" s="103"/>
      <c r="IC101" s="103"/>
      <c r="ID101" s="103"/>
      <c r="IE101" s="103"/>
      <c r="IF101" s="103"/>
      <c r="IG101" s="103"/>
      <c r="IH101" s="103"/>
      <c r="II101" s="103"/>
      <c r="IJ101" s="103"/>
      <c r="IK101" s="103"/>
      <c r="IL101" s="103"/>
      <c r="IM101" s="103"/>
      <c r="IN101" s="103"/>
      <c r="IO101" s="103"/>
      <c r="IP101" s="103"/>
      <c r="IQ101" s="103"/>
      <c r="IR101" s="103"/>
      <c r="IS101" s="103"/>
      <c r="IT101" s="103"/>
      <c r="IU101" s="103"/>
      <c r="IV101" s="103"/>
      <c r="IW101" s="103"/>
      <c r="IX101" s="103"/>
      <c r="IY101" s="103"/>
      <c r="IZ101" s="103"/>
      <c r="JA101" s="103"/>
      <c r="JB101" s="103"/>
      <c r="JC101" s="103"/>
      <c r="JD101" s="103"/>
      <c r="JE101" s="103"/>
      <c r="JF101" s="103"/>
      <c r="JG101" s="103"/>
      <c r="JH101" s="103"/>
    </row>
    <row r="102" spans="1:268" s="104" customFormat="1" ht="19.5" customHeight="1">
      <c r="A102" s="348">
        <v>243</v>
      </c>
      <c r="B102" s="291"/>
      <c r="C102" s="134"/>
      <c r="D102" s="137"/>
      <c r="E102" s="137"/>
      <c r="F102" s="137"/>
      <c r="G102" s="137"/>
      <c r="H102" s="137"/>
      <c r="I102" s="134"/>
      <c r="J102" s="137"/>
      <c r="K102" s="134"/>
      <c r="L102" s="137"/>
      <c r="M102" s="137"/>
      <c r="N102" s="137"/>
      <c r="O102" s="134"/>
      <c r="P102" s="137"/>
      <c r="Q102" s="137"/>
      <c r="R102" s="137"/>
      <c r="S102" s="134"/>
      <c r="T102" s="137"/>
      <c r="U102" s="137"/>
      <c r="V102" s="137"/>
      <c r="W102" s="134"/>
      <c r="X102" s="137"/>
      <c r="Y102" s="137"/>
      <c r="Z102" s="137"/>
      <c r="AA102" s="134"/>
      <c r="AB102" s="137"/>
      <c r="AC102" s="137"/>
      <c r="AD102" s="137"/>
      <c r="AE102" s="134"/>
      <c r="AF102" s="137"/>
      <c r="AG102" s="137"/>
      <c r="AH102" s="137"/>
      <c r="AI102" s="134"/>
      <c r="AJ102" s="137"/>
      <c r="AK102" s="137"/>
      <c r="AL102" s="137"/>
      <c r="AM102" s="134"/>
      <c r="AN102" s="137"/>
      <c r="AO102" s="137"/>
      <c r="AP102" s="137"/>
      <c r="AQ102" s="134"/>
      <c r="AR102" s="137"/>
      <c r="AS102" s="137"/>
      <c r="AT102" s="137"/>
      <c r="AU102" s="134"/>
      <c r="AV102" s="137"/>
      <c r="AW102" s="134"/>
      <c r="AX102" s="137"/>
      <c r="AY102" s="134"/>
      <c r="AZ102" s="137"/>
      <c r="BA102" s="134"/>
      <c r="BB102" s="137"/>
      <c r="BC102" s="135"/>
      <c r="BD102" s="135"/>
      <c r="BE102" s="134"/>
      <c r="BF102" s="137"/>
      <c r="BG102" s="134"/>
      <c r="BH102" s="137"/>
      <c r="BI102" s="137"/>
      <c r="BJ102" s="137"/>
      <c r="BK102" s="135"/>
      <c r="BL102" s="135"/>
      <c r="BM102" s="134"/>
      <c r="BN102" s="137"/>
      <c r="BO102" s="137"/>
      <c r="BP102" s="137"/>
      <c r="BQ102" s="135"/>
      <c r="BR102" s="135"/>
      <c r="BS102" s="134"/>
      <c r="BT102" s="137"/>
      <c r="BU102" s="137"/>
      <c r="BV102" s="137"/>
      <c r="BW102" s="135"/>
      <c r="BX102" s="135"/>
      <c r="BY102" s="134"/>
      <c r="BZ102" s="137"/>
      <c r="CA102" s="137"/>
      <c r="CB102" s="137"/>
      <c r="CC102" s="135"/>
      <c r="CD102" s="135"/>
      <c r="CE102" s="134"/>
      <c r="CF102" s="137"/>
      <c r="CG102" s="137"/>
      <c r="CH102" s="137"/>
      <c r="CI102" s="135"/>
      <c r="CJ102" s="135"/>
      <c r="CK102" s="134"/>
      <c r="CL102" s="137"/>
      <c r="CM102" s="137"/>
      <c r="CN102" s="137"/>
      <c r="CO102" s="135"/>
      <c r="CP102" s="135"/>
      <c r="CQ102" s="134"/>
      <c r="CR102" s="137"/>
      <c r="CS102" s="137"/>
      <c r="CT102" s="137"/>
      <c r="CU102" s="135"/>
      <c r="CV102" s="135"/>
      <c r="CW102" s="134"/>
      <c r="CX102" s="137"/>
      <c r="CY102" s="137"/>
      <c r="CZ102" s="137"/>
      <c r="DA102" s="135"/>
      <c r="DB102" s="135"/>
      <c r="DC102" s="134"/>
      <c r="DD102" s="137"/>
      <c r="DE102" s="137"/>
      <c r="DF102" s="137"/>
      <c r="DG102" s="135"/>
      <c r="DH102" s="135"/>
      <c r="DI102" s="134"/>
      <c r="DJ102" s="137"/>
      <c r="DK102" s="137"/>
      <c r="DL102" s="137"/>
      <c r="DM102" s="135">
        <f t="shared" si="314"/>
        <v>1</v>
      </c>
      <c r="DN102" s="135">
        <f t="shared" si="315"/>
        <v>1</v>
      </c>
      <c r="DO102" s="134">
        <f>'бюджет округа (района)'!BH102+'бюджеты поселений'!BH102</f>
        <v>0</v>
      </c>
      <c r="DP102" s="137">
        <f>'бюджет округа (района)'!BH102</f>
        <v>0</v>
      </c>
      <c r="DQ102" s="134">
        <f>'бюджет округа (района)'!BI102+'бюджеты поселений'!BI102</f>
        <v>0</v>
      </c>
      <c r="DR102" s="137">
        <f>'бюджет округа (района)'!BI102</f>
        <v>0</v>
      </c>
      <c r="DS102" s="134"/>
      <c r="DT102" s="137"/>
      <c r="DU102" s="229" t="s">
        <v>34</v>
      </c>
      <c r="DV102" s="229" t="s">
        <v>34</v>
      </c>
      <c r="DW102" s="135">
        <f>IF($G102=0,1,DS102/$G102)</f>
        <v>1</v>
      </c>
      <c r="DX102" s="244" t="s">
        <v>34</v>
      </c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  <c r="GY102" s="103"/>
      <c r="GZ102" s="103"/>
      <c r="HA102" s="103"/>
      <c r="HB102" s="103"/>
      <c r="HC102" s="103"/>
      <c r="HD102" s="103"/>
      <c r="HE102" s="103"/>
      <c r="HF102" s="103"/>
      <c r="HG102" s="103"/>
      <c r="HH102" s="103"/>
      <c r="HI102" s="103"/>
      <c r="HJ102" s="103"/>
      <c r="HK102" s="103"/>
      <c r="HL102" s="103"/>
      <c r="HM102" s="103"/>
      <c r="HN102" s="103"/>
      <c r="HO102" s="103"/>
      <c r="HP102" s="103"/>
      <c r="HQ102" s="103"/>
      <c r="HR102" s="103"/>
      <c r="HS102" s="103"/>
      <c r="HT102" s="103"/>
      <c r="HU102" s="103"/>
      <c r="HV102" s="103"/>
      <c r="HW102" s="103"/>
      <c r="HX102" s="103"/>
      <c r="HY102" s="103"/>
      <c r="HZ102" s="103"/>
      <c r="IA102" s="103"/>
      <c r="IB102" s="103"/>
      <c r="IC102" s="103"/>
      <c r="ID102" s="103"/>
      <c r="IE102" s="103"/>
      <c r="IF102" s="103"/>
      <c r="IG102" s="103"/>
      <c r="IH102" s="103"/>
      <c r="II102" s="103"/>
      <c r="IJ102" s="103"/>
      <c r="IK102" s="103"/>
      <c r="IL102" s="103"/>
      <c r="IM102" s="103"/>
      <c r="IN102" s="103"/>
      <c r="IO102" s="103"/>
      <c r="IP102" s="103"/>
      <c r="IQ102" s="103"/>
      <c r="IR102" s="103"/>
      <c r="IS102" s="103"/>
      <c r="IT102" s="103"/>
      <c r="IU102" s="103"/>
      <c r="IV102" s="103"/>
      <c r="IW102" s="103"/>
      <c r="IX102" s="103"/>
      <c r="IY102" s="103"/>
      <c r="IZ102" s="103"/>
      <c r="JA102" s="103"/>
      <c r="JB102" s="103"/>
      <c r="JC102" s="103"/>
      <c r="JD102" s="103"/>
      <c r="JE102" s="103"/>
      <c r="JF102" s="103"/>
      <c r="JG102" s="103"/>
      <c r="JH102" s="103"/>
    </row>
    <row r="103" spans="1:268" s="106" customFormat="1" ht="18" customHeight="1">
      <c r="A103" s="348">
        <v>244</v>
      </c>
      <c r="B103" s="291"/>
      <c r="C103" s="134">
        <v>10804</v>
      </c>
      <c r="D103" s="137">
        <v>0</v>
      </c>
      <c r="E103" s="137">
        <v>20379</v>
      </c>
      <c r="F103" s="137">
        <v>0</v>
      </c>
      <c r="G103" s="137">
        <v>15075</v>
      </c>
      <c r="H103" s="137">
        <v>0</v>
      </c>
      <c r="I103" s="134"/>
      <c r="J103" s="137"/>
      <c r="K103" s="134"/>
      <c r="L103" s="137"/>
      <c r="M103" s="137"/>
      <c r="N103" s="137"/>
      <c r="O103" s="134"/>
      <c r="P103" s="137"/>
      <c r="Q103" s="137"/>
      <c r="R103" s="137"/>
      <c r="S103" s="134"/>
      <c r="T103" s="137"/>
      <c r="U103" s="137"/>
      <c r="V103" s="137"/>
      <c r="W103" s="134"/>
      <c r="X103" s="137"/>
      <c r="Y103" s="137"/>
      <c r="Z103" s="137"/>
      <c r="AA103" s="134"/>
      <c r="AB103" s="137"/>
      <c r="AC103" s="137"/>
      <c r="AD103" s="137"/>
      <c r="AE103" s="134"/>
      <c r="AF103" s="137"/>
      <c r="AG103" s="137"/>
      <c r="AH103" s="137"/>
      <c r="AI103" s="134"/>
      <c r="AJ103" s="137"/>
      <c r="AK103" s="137"/>
      <c r="AL103" s="137"/>
      <c r="AM103" s="134"/>
      <c r="AN103" s="137"/>
      <c r="AO103" s="137"/>
      <c r="AP103" s="137"/>
      <c r="AQ103" s="134"/>
      <c r="AR103" s="137"/>
      <c r="AS103" s="137"/>
      <c r="AT103" s="137"/>
      <c r="AU103" s="134"/>
      <c r="AV103" s="137"/>
      <c r="AW103" s="134">
        <v>3789</v>
      </c>
      <c r="AX103" s="137">
        <v>0</v>
      </c>
      <c r="AY103" s="134"/>
      <c r="AZ103" s="137"/>
      <c r="BA103" s="134">
        <v>14299</v>
      </c>
      <c r="BB103" s="137">
        <v>0</v>
      </c>
      <c r="BC103" s="135"/>
      <c r="BD103" s="135"/>
      <c r="BE103" s="134"/>
      <c r="BF103" s="137"/>
      <c r="BG103" s="134"/>
      <c r="BH103" s="137"/>
      <c r="BI103" s="137"/>
      <c r="BJ103" s="137"/>
      <c r="BK103" s="135"/>
      <c r="BL103" s="135"/>
      <c r="BM103" s="134"/>
      <c r="BN103" s="137"/>
      <c r="BO103" s="137"/>
      <c r="BP103" s="137"/>
      <c r="BQ103" s="135"/>
      <c r="BR103" s="135"/>
      <c r="BS103" s="134"/>
      <c r="BT103" s="137"/>
      <c r="BU103" s="137"/>
      <c r="BV103" s="137"/>
      <c r="BW103" s="135"/>
      <c r="BX103" s="135"/>
      <c r="BY103" s="134"/>
      <c r="BZ103" s="137"/>
      <c r="CA103" s="137"/>
      <c r="CB103" s="137"/>
      <c r="CC103" s="135"/>
      <c r="CD103" s="135"/>
      <c r="CE103" s="134"/>
      <c r="CF103" s="137"/>
      <c r="CG103" s="137"/>
      <c r="CH103" s="137"/>
      <c r="CI103" s="135"/>
      <c r="CJ103" s="135"/>
      <c r="CK103" s="134"/>
      <c r="CL103" s="137"/>
      <c r="CM103" s="137"/>
      <c r="CN103" s="137"/>
      <c r="CO103" s="135"/>
      <c r="CP103" s="135"/>
      <c r="CQ103" s="134"/>
      <c r="CR103" s="137"/>
      <c r="CS103" s="137"/>
      <c r="CT103" s="137"/>
      <c r="CU103" s="135"/>
      <c r="CV103" s="135"/>
      <c r="CW103" s="134"/>
      <c r="CX103" s="137"/>
      <c r="CY103" s="137"/>
      <c r="CZ103" s="137"/>
      <c r="DA103" s="135"/>
      <c r="DB103" s="135"/>
      <c r="DC103" s="134"/>
      <c r="DD103" s="137"/>
      <c r="DE103" s="137"/>
      <c r="DF103" s="137"/>
      <c r="DG103" s="135"/>
      <c r="DH103" s="135"/>
      <c r="DI103" s="134"/>
      <c r="DJ103" s="137"/>
      <c r="DK103" s="137">
        <v>4736</v>
      </c>
      <c r="DL103" s="137">
        <v>0</v>
      </c>
      <c r="DM103" s="135">
        <f t="shared" si="314"/>
        <v>1.2499340195302191</v>
      </c>
      <c r="DN103" s="135">
        <f t="shared" si="315"/>
        <v>1</v>
      </c>
      <c r="DO103" s="134">
        <f>'бюджет округа (района)'!BH103+'бюджеты поселений'!BH103</f>
        <v>0</v>
      </c>
      <c r="DP103" s="137">
        <f>'бюджет округа (района)'!BH103</f>
        <v>0</v>
      </c>
      <c r="DQ103" s="134">
        <f>'бюджет округа (района)'!BI103+'бюджеты поселений'!BI103</f>
        <v>0</v>
      </c>
      <c r="DR103" s="137">
        <f>'бюджет округа (района)'!BI103</f>
        <v>0</v>
      </c>
      <c r="DS103" s="134">
        <v>14299</v>
      </c>
      <c r="DT103" s="137">
        <v>0</v>
      </c>
      <c r="DU103" s="135">
        <f>IF($BA$10=0,1,DS103/$BA103)</f>
        <v>1</v>
      </c>
      <c r="DV103" s="229" t="s">
        <v>34</v>
      </c>
      <c r="DW103" s="135">
        <f>IF($G103=0,1,DS103/$G103)</f>
        <v>0.94852404643449417</v>
      </c>
      <c r="DX103" s="244" t="s">
        <v>34</v>
      </c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  <c r="GY103" s="105"/>
      <c r="GZ103" s="105"/>
      <c r="HA103" s="105"/>
      <c r="HB103" s="105"/>
      <c r="HC103" s="105"/>
      <c r="HD103" s="105"/>
      <c r="HE103" s="105"/>
      <c r="HF103" s="105"/>
      <c r="HG103" s="105"/>
      <c r="HH103" s="105"/>
      <c r="HI103" s="105"/>
      <c r="HJ103" s="105"/>
      <c r="HK103" s="105"/>
      <c r="HL103" s="105"/>
      <c r="HM103" s="105"/>
      <c r="HN103" s="105"/>
      <c r="HO103" s="105"/>
      <c r="HP103" s="105"/>
      <c r="HQ103" s="105"/>
      <c r="HR103" s="105"/>
      <c r="HS103" s="105"/>
      <c r="HT103" s="105"/>
      <c r="HU103" s="105"/>
      <c r="HV103" s="105"/>
      <c r="HW103" s="105"/>
      <c r="HX103" s="105"/>
      <c r="HY103" s="105"/>
      <c r="HZ103" s="105"/>
      <c r="IA103" s="105"/>
      <c r="IB103" s="105"/>
      <c r="IC103" s="105"/>
      <c r="ID103" s="105"/>
      <c r="IE103" s="105"/>
      <c r="IF103" s="105"/>
      <c r="IG103" s="105"/>
      <c r="IH103" s="105"/>
      <c r="II103" s="105"/>
      <c r="IJ103" s="105"/>
      <c r="IK103" s="105"/>
      <c r="IL103" s="105"/>
      <c r="IM103" s="105"/>
      <c r="IN103" s="105"/>
      <c r="IO103" s="105"/>
      <c r="IP103" s="105"/>
      <c r="IQ103" s="105"/>
      <c r="IR103" s="105"/>
      <c r="IS103" s="105"/>
      <c r="IT103" s="105"/>
      <c r="IU103" s="105"/>
      <c r="IV103" s="105"/>
      <c r="IW103" s="105"/>
      <c r="IX103" s="105"/>
      <c r="IY103" s="105"/>
      <c r="IZ103" s="105"/>
      <c r="JA103" s="105"/>
      <c r="JB103" s="105"/>
      <c r="JC103" s="105"/>
      <c r="JD103" s="105"/>
      <c r="JE103" s="105"/>
      <c r="JF103" s="105"/>
      <c r="JG103" s="105"/>
      <c r="JH103" s="105"/>
    </row>
    <row r="104" spans="1:268" s="106" customFormat="1" ht="18" customHeight="1">
      <c r="A104" s="348">
        <v>247</v>
      </c>
      <c r="B104" s="291"/>
      <c r="C104" s="134"/>
      <c r="D104" s="137"/>
      <c r="E104" s="137">
        <v>1754</v>
      </c>
      <c r="F104" s="137"/>
      <c r="G104" s="137">
        <v>1767</v>
      </c>
      <c r="H104" s="137"/>
      <c r="I104" s="134"/>
      <c r="J104" s="137"/>
      <c r="K104" s="134"/>
      <c r="L104" s="137"/>
      <c r="M104" s="137"/>
      <c r="N104" s="137"/>
      <c r="O104" s="134"/>
      <c r="P104" s="137"/>
      <c r="Q104" s="137"/>
      <c r="R104" s="137"/>
      <c r="S104" s="134"/>
      <c r="T104" s="137"/>
      <c r="U104" s="137"/>
      <c r="V104" s="137"/>
      <c r="W104" s="134"/>
      <c r="X104" s="137"/>
      <c r="Y104" s="137"/>
      <c r="Z104" s="137"/>
      <c r="AA104" s="134"/>
      <c r="AB104" s="137"/>
      <c r="AC104" s="137"/>
      <c r="AD104" s="137"/>
      <c r="AE104" s="134"/>
      <c r="AF104" s="137"/>
      <c r="AG104" s="137"/>
      <c r="AH104" s="137"/>
      <c r="AI104" s="134"/>
      <c r="AJ104" s="137"/>
      <c r="AK104" s="137"/>
      <c r="AL104" s="137"/>
      <c r="AM104" s="134"/>
      <c r="AN104" s="137"/>
      <c r="AO104" s="137"/>
      <c r="AP104" s="137"/>
      <c r="AQ104" s="134"/>
      <c r="AR104" s="137"/>
      <c r="AS104" s="137"/>
      <c r="AT104" s="137"/>
      <c r="AU104" s="134"/>
      <c r="AV104" s="137"/>
      <c r="AW104" s="134">
        <v>1005</v>
      </c>
      <c r="AX104" s="137"/>
      <c r="AY104" s="134"/>
      <c r="AZ104" s="137"/>
      <c r="BA104" s="134">
        <v>2300</v>
      </c>
      <c r="BB104" s="137">
        <v>0</v>
      </c>
      <c r="BC104" s="135"/>
      <c r="BD104" s="135"/>
      <c r="BE104" s="134"/>
      <c r="BF104" s="137"/>
      <c r="BG104" s="134"/>
      <c r="BH104" s="137"/>
      <c r="BI104" s="137"/>
      <c r="BJ104" s="137"/>
      <c r="BK104" s="135"/>
      <c r="BL104" s="135"/>
      <c r="BM104" s="134"/>
      <c r="BN104" s="137"/>
      <c r="BO104" s="137"/>
      <c r="BP104" s="137"/>
      <c r="BQ104" s="135"/>
      <c r="BR104" s="135"/>
      <c r="BS104" s="134"/>
      <c r="BT104" s="137"/>
      <c r="BU104" s="137"/>
      <c r="BV104" s="137"/>
      <c r="BW104" s="135"/>
      <c r="BX104" s="135"/>
      <c r="BY104" s="134"/>
      <c r="BZ104" s="137"/>
      <c r="CA104" s="137"/>
      <c r="CB104" s="137"/>
      <c r="CC104" s="135"/>
      <c r="CD104" s="135"/>
      <c r="CE104" s="134"/>
      <c r="CF104" s="137"/>
      <c r="CG104" s="137"/>
      <c r="CH104" s="137"/>
      <c r="CI104" s="135"/>
      <c r="CJ104" s="135"/>
      <c r="CK104" s="134"/>
      <c r="CL104" s="137"/>
      <c r="CM104" s="137"/>
      <c r="CN104" s="137"/>
      <c r="CO104" s="135"/>
      <c r="CP104" s="135"/>
      <c r="CQ104" s="134"/>
      <c r="CR104" s="137"/>
      <c r="CS104" s="137"/>
      <c r="CT104" s="137"/>
      <c r="CU104" s="135"/>
      <c r="CV104" s="135"/>
      <c r="CW104" s="134"/>
      <c r="CX104" s="137"/>
      <c r="CY104" s="137"/>
      <c r="CZ104" s="137"/>
      <c r="DA104" s="135"/>
      <c r="DB104" s="135"/>
      <c r="DC104" s="134"/>
      <c r="DD104" s="137"/>
      <c r="DE104" s="137"/>
      <c r="DF104" s="137"/>
      <c r="DG104" s="135"/>
      <c r="DH104" s="135"/>
      <c r="DI104" s="134"/>
      <c r="DJ104" s="137"/>
      <c r="DK104" s="137">
        <v>0</v>
      </c>
      <c r="DL104" s="137">
        <v>0</v>
      </c>
      <c r="DM104" s="135">
        <f t="shared" si="314"/>
        <v>0</v>
      </c>
      <c r="DN104" s="135">
        <f t="shared" si="315"/>
        <v>1</v>
      </c>
      <c r="DO104" s="134">
        <f>'бюджет округа (района)'!BH104+'бюджеты поселений'!BH104</f>
        <v>0</v>
      </c>
      <c r="DP104" s="137">
        <f>'бюджет округа (района)'!BH104</f>
        <v>0</v>
      </c>
      <c r="DQ104" s="134">
        <f>'бюджет округа (района)'!BI104+'бюджеты поселений'!BI104</f>
        <v>0</v>
      </c>
      <c r="DR104" s="137">
        <f>'бюджет округа (района)'!BI104</f>
        <v>0</v>
      </c>
      <c r="DS104" s="134">
        <v>2300</v>
      </c>
      <c r="DT104" s="137">
        <v>0</v>
      </c>
      <c r="DU104" s="229" t="s">
        <v>34</v>
      </c>
      <c r="DV104" s="229" t="s">
        <v>34</v>
      </c>
      <c r="DW104" s="229" t="s">
        <v>34</v>
      </c>
      <c r="DX104" s="244" t="s">
        <v>34</v>
      </c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  <c r="GY104" s="105"/>
      <c r="GZ104" s="105"/>
      <c r="HA104" s="105"/>
      <c r="HB104" s="105"/>
      <c r="HC104" s="105"/>
      <c r="HD104" s="105"/>
      <c r="HE104" s="105"/>
      <c r="HF104" s="105"/>
      <c r="HG104" s="105"/>
      <c r="HH104" s="105"/>
      <c r="HI104" s="105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5"/>
      <c r="HV104" s="105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05"/>
      <c r="II104" s="105"/>
      <c r="IJ104" s="105"/>
      <c r="IK104" s="105"/>
      <c r="IL104" s="105"/>
      <c r="IM104" s="105"/>
      <c r="IN104" s="105"/>
      <c r="IO104" s="105"/>
      <c r="IP104" s="105"/>
      <c r="IQ104" s="105"/>
      <c r="IR104" s="105"/>
      <c r="IS104" s="105"/>
      <c r="IT104" s="105"/>
      <c r="IU104" s="105"/>
      <c r="IV104" s="105"/>
      <c r="IW104" s="105"/>
      <c r="IX104" s="105"/>
      <c r="IY104" s="105"/>
      <c r="IZ104" s="105"/>
      <c r="JA104" s="105"/>
      <c r="JB104" s="105"/>
      <c r="JC104" s="105"/>
      <c r="JD104" s="105"/>
      <c r="JE104" s="105"/>
      <c r="JF104" s="105"/>
      <c r="JG104" s="105"/>
      <c r="JH104" s="105"/>
    </row>
    <row r="105" spans="1:268" s="106" customFormat="1" ht="18" customHeight="1">
      <c r="A105" s="348">
        <v>521</v>
      </c>
      <c r="B105" s="291"/>
      <c r="C105" s="134"/>
      <c r="D105" s="137"/>
      <c r="E105" s="137"/>
      <c r="F105" s="137"/>
      <c r="G105" s="137"/>
      <c r="H105" s="137"/>
      <c r="I105" s="134"/>
      <c r="J105" s="137"/>
      <c r="K105" s="134"/>
      <c r="L105" s="137"/>
      <c r="M105" s="137"/>
      <c r="N105" s="137"/>
      <c r="O105" s="134"/>
      <c r="P105" s="137"/>
      <c r="Q105" s="137"/>
      <c r="R105" s="137"/>
      <c r="S105" s="134"/>
      <c r="T105" s="137"/>
      <c r="U105" s="137"/>
      <c r="V105" s="137"/>
      <c r="W105" s="134"/>
      <c r="X105" s="137"/>
      <c r="Y105" s="137"/>
      <c r="Z105" s="137"/>
      <c r="AA105" s="134"/>
      <c r="AB105" s="137"/>
      <c r="AC105" s="137"/>
      <c r="AD105" s="137"/>
      <c r="AE105" s="134"/>
      <c r="AF105" s="137"/>
      <c r="AG105" s="137"/>
      <c r="AH105" s="137"/>
      <c r="AI105" s="134"/>
      <c r="AJ105" s="137"/>
      <c r="AK105" s="137"/>
      <c r="AL105" s="137"/>
      <c r="AM105" s="134"/>
      <c r="AN105" s="137"/>
      <c r="AO105" s="137"/>
      <c r="AP105" s="137"/>
      <c r="AQ105" s="134"/>
      <c r="AR105" s="137"/>
      <c r="AS105" s="137"/>
      <c r="AT105" s="137"/>
      <c r="AU105" s="134"/>
      <c r="AV105" s="137"/>
      <c r="AW105" s="134"/>
      <c r="AX105" s="137"/>
      <c r="AY105" s="134"/>
      <c r="AZ105" s="137"/>
      <c r="BA105" s="134"/>
      <c r="BB105" s="137"/>
      <c r="BC105" s="135"/>
      <c r="BD105" s="135"/>
      <c r="BE105" s="134"/>
      <c r="BF105" s="137"/>
      <c r="BG105" s="134"/>
      <c r="BH105" s="137"/>
      <c r="BI105" s="137"/>
      <c r="BJ105" s="137"/>
      <c r="BK105" s="135"/>
      <c r="BL105" s="135"/>
      <c r="BM105" s="134"/>
      <c r="BN105" s="137"/>
      <c r="BO105" s="137"/>
      <c r="BP105" s="137"/>
      <c r="BQ105" s="135"/>
      <c r="BR105" s="135"/>
      <c r="BS105" s="134"/>
      <c r="BT105" s="137"/>
      <c r="BU105" s="137"/>
      <c r="BV105" s="137"/>
      <c r="BW105" s="135"/>
      <c r="BX105" s="135"/>
      <c r="BY105" s="134"/>
      <c r="BZ105" s="137"/>
      <c r="CA105" s="137"/>
      <c r="CB105" s="137"/>
      <c r="CC105" s="135"/>
      <c r="CD105" s="135"/>
      <c r="CE105" s="134"/>
      <c r="CF105" s="137"/>
      <c r="CG105" s="137"/>
      <c r="CH105" s="137"/>
      <c r="CI105" s="135"/>
      <c r="CJ105" s="135"/>
      <c r="CK105" s="134"/>
      <c r="CL105" s="137"/>
      <c r="CM105" s="137"/>
      <c r="CN105" s="137"/>
      <c r="CO105" s="135"/>
      <c r="CP105" s="135"/>
      <c r="CQ105" s="134"/>
      <c r="CR105" s="137"/>
      <c r="CS105" s="137"/>
      <c r="CT105" s="137"/>
      <c r="CU105" s="135"/>
      <c r="CV105" s="135"/>
      <c r="CW105" s="134"/>
      <c r="CX105" s="137"/>
      <c r="CY105" s="137"/>
      <c r="CZ105" s="137"/>
      <c r="DA105" s="135"/>
      <c r="DB105" s="135"/>
      <c r="DC105" s="134"/>
      <c r="DD105" s="137"/>
      <c r="DE105" s="137"/>
      <c r="DF105" s="137"/>
      <c r="DG105" s="135"/>
      <c r="DH105" s="135"/>
      <c r="DI105" s="134"/>
      <c r="DJ105" s="137"/>
      <c r="DK105" s="137"/>
      <c r="DL105" s="137"/>
      <c r="DM105" s="135">
        <f t="shared" si="314"/>
        <v>1</v>
      </c>
      <c r="DN105" s="135">
        <f t="shared" si="315"/>
        <v>1</v>
      </c>
      <c r="DO105" s="134">
        <f>'бюджет округа (района)'!BH105+'бюджеты поселений'!BH105</f>
        <v>0</v>
      </c>
      <c r="DP105" s="137">
        <f>'бюджет округа (района)'!BH105</f>
        <v>0</v>
      </c>
      <c r="DQ105" s="134">
        <f>'бюджет округа (района)'!BI105+'бюджеты поселений'!BI105</f>
        <v>0</v>
      </c>
      <c r="DR105" s="137">
        <f>'бюджет округа (района)'!BI105</f>
        <v>0</v>
      </c>
      <c r="DS105" s="134"/>
      <c r="DT105" s="137"/>
      <c r="DU105" s="229" t="s">
        <v>34</v>
      </c>
      <c r="DV105" s="229" t="s">
        <v>34</v>
      </c>
      <c r="DW105" s="229" t="s">
        <v>34</v>
      </c>
      <c r="DX105" s="244" t="s">
        <v>34</v>
      </c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  <c r="GY105" s="105"/>
      <c r="GZ105" s="105"/>
      <c r="HA105" s="105"/>
      <c r="HB105" s="105"/>
      <c r="HC105" s="105"/>
      <c r="HD105" s="105"/>
      <c r="HE105" s="105"/>
      <c r="HF105" s="105"/>
      <c r="HG105" s="105"/>
      <c r="HH105" s="105"/>
      <c r="HI105" s="105"/>
      <c r="HJ105" s="105"/>
      <c r="HK105" s="105"/>
      <c r="HL105" s="105"/>
      <c r="HM105" s="105"/>
      <c r="HN105" s="105"/>
      <c r="HO105" s="105"/>
      <c r="HP105" s="105"/>
      <c r="HQ105" s="105"/>
      <c r="HR105" s="105"/>
      <c r="HS105" s="105"/>
      <c r="HT105" s="105"/>
      <c r="HU105" s="105"/>
      <c r="HV105" s="105"/>
      <c r="HW105" s="105"/>
      <c r="HX105" s="105"/>
      <c r="HY105" s="105"/>
      <c r="HZ105" s="105"/>
      <c r="IA105" s="105"/>
      <c r="IB105" s="105"/>
      <c r="IC105" s="105"/>
      <c r="ID105" s="105"/>
      <c r="IE105" s="105"/>
      <c r="IF105" s="105"/>
      <c r="IG105" s="105"/>
      <c r="IH105" s="105"/>
      <c r="II105" s="105"/>
      <c r="IJ105" s="105"/>
      <c r="IK105" s="105"/>
      <c r="IL105" s="105"/>
      <c r="IM105" s="105"/>
      <c r="IN105" s="105"/>
      <c r="IO105" s="105"/>
      <c r="IP105" s="105"/>
      <c r="IQ105" s="105"/>
      <c r="IR105" s="105"/>
      <c r="IS105" s="105"/>
      <c r="IT105" s="105"/>
      <c r="IU105" s="105"/>
      <c r="IV105" s="105"/>
      <c r="IW105" s="105"/>
      <c r="IX105" s="105"/>
      <c r="IY105" s="105"/>
      <c r="IZ105" s="105"/>
      <c r="JA105" s="105"/>
      <c r="JB105" s="105"/>
      <c r="JC105" s="105"/>
      <c r="JD105" s="105"/>
      <c r="JE105" s="105"/>
      <c r="JF105" s="105"/>
      <c r="JG105" s="105"/>
      <c r="JH105" s="105"/>
    </row>
    <row r="106" spans="1:268" s="106" customFormat="1" ht="18" customHeight="1">
      <c r="A106" s="348">
        <v>831</v>
      </c>
      <c r="B106" s="291"/>
      <c r="C106" s="134">
        <v>44</v>
      </c>
      <c r="D106" s="137">
        <v>0</v>
      </c>
      <c r="E106" s="137">
        <v>0</v>
      </c>
      <c r="F106" s="137">
        <v>0</v>
      </c>
      <c r="G106" s="137">
        <v>0</v>
      </c>
      <c r="H106" s="137">
        <v>0</v>
      </c>
      <c r="I106" s="134"/>
      <c r="J106" s="137"/>
      <c r="K106" s="134"/>
      <c r="L106" s="137"/>
      <c r="M106" s="137"/>
      <c r="N106" s="137"/>
      <c r="O106" s="134"/>
      <c r="P106" s="137"/>
      <c r="Q106" s="137"/>
      <c r="R106" s="137"/>
      <c r="S106" s="134"/>
      <c r="T106" s="137"/>
      <c r="U106" s="137"/>
      <c r="V106" s="137"/>
      <c r="W106" s="134"/>
      <c r="X106" s="137"/>
      <c r="Y106" s="137"/>
      <c r="Z106" s="137"/>
      <c r="AA106" s="134"/>
      <c r="AB106" s="137"/>
      <c r="AC106" s="137"/>
      <c r="AD106" s="137"/>
      <c r="AE106" s="134"/>
      <c r="AF106" s="137"/>
      <c r="AG106" s="137"/>
      <c r="AH106" s="137"/>
      <c r="AI106" s="134"/>
      <c r="AJ106" s="137"/>
      <c r="AK106" s="137"/>
      <c r="AL106" s="137"/>
      <c r="AM106" s="134"/>
      <c r="AN106" s="137"/>
      <c r="AO106" s="137"/>
      <c r="AP106" s="137"/>
      <c r="AQ106" s="134"/>
      <c r="AR106" s="137"/>
      <c r="AS106" s="137"/>
      <c r="AT106" s="137"/>
      <c r="AU106" s="134"/>
      <c r="AV106" s="137"/>
      <c r="AW106" s="134">
        <v>0</v>
      </c>
      <c r="AX106" s="137">
        <v>0</v>
      </c>
      <c r="AY106" s="134"/>
      <c r="AZ106" s="137"/>
      <c r="BA106" s="134">
        <v>0</v>
      </c>
      <c r="BB106" s="137">
        <v>0</v>
      </c>
      <c r="BC106" s="135"/>
      <c r="BD106" s="135"/>
      <c r="BE106" s="134"/>
      <c r="BF106" s="137"/>
      <c r="BG106" s="134"/>
      <c r="BH106" s="137"/>
      <c r="BI106" s="137"/>
      <c r="BJ106" s="137"/>
      <c r="BK106" s="135"/>
      <c r="BL106" s="135"/>
      <c r="BM106" s="134"/>
      <c r="BN106" s="137"/>
      <c r="BO106" s="137"/>
      <c r="BP106" s="137"/>
      <c r="BQ106" s="135"/>
      <c r="BR106" s="135"/>
      <c r="BS106" s="134"/>
      <c r="BT106" s="137"/>
      <c r="BU106" s="137"/>
      <c r="BV106" s="137"/>
      <c r="BW106" s="135"/>
      <c r="BX106" s="135"/>
      <c r="BY106" s="134"/>
      <c r="BZ106" s="137"/>
      <c r="CA106" s="137"/>
      <c r="CB106" s="137"/>
      <c r="CC106" s="135"/>
      <c r="CD106" s="135"/>
      <c r="CE106" s="134"/>
      <c r="CF106" s="137"/>
      <c r="CG106" s="137"/>
      <c r="CH106" s="137"/>
      <c r="CI106" s="135"/>
      <c r="CJ106" s="135"/>
      <c r="CK106" s="134"/>
      <c r="CL106" s="137"/>
      <c r="CM106" s="137"/>
      <c r="CN106" s="137"/>
      <c r="CO106" s="135"/>
      <c r="CP106" s="135"/>
      <c r="CQ106" s="134"/>
      <c r="CR106" s="137"/>
      <c r="CS106" s="137"/>
      <c r="CT106" s="137"/>
      <c r="CU106" s="135"/>
      <c r="CV106" s="135"/>
      <c r="CW106" s="134"/>
      <c r="CX106" s="137"/>
      <c r="CY106" s="137"/>
      <c r="CZ106" s="137"/>
      <c r="DA106" s="135"/>
      <c r="DB106" s="135"/>
      <c r="DC106" s="134"/>
      <c r="DD106" s="137"/>
      <c r="DE106" s="137"/>
      <c r="DF106" s="137"/>
      <c r="DG106" s="135"/>
      <c r="DH106" s="135"/>
      <c r="DI106" s="134"/>
      <c r="DJ106" s="137"/>
      <c r="DK106" s="137">
        <v>0</v>
      </c>
      <c r="DL106" s="137">
        <v>0</v>
      </c>
      <c r="DM106" s="135">
        <f t="shared" si="314"/>
        <v>1</v>
      </c>
      <c r="DN106" s="135">
        <f t="shared" si="315"/>
        <v>1</v>
      </c>
      <c r="DO106" s="134">
        <f>'бюджет округа (района)'!BH106+'бюджеты поселений'!BH106</f>
        <v>0</v>
      </c>
      <c r="DP106" s="137">
        <f>'бюджет округа (района)'!BH106</f>
        <v>0</v>
      </c>
      <c r="DQ106" s="134">
        <f>'бюджет округа (района)'!BI106+'бюджеты поселений'!BI106</f>
        <v>0</v>
      </c>
      <c r="DR106" s="137">
        <f>'бюджет округа (района)'!BI106</f>
        <v>0</v>
      </c>
      <c r="DS106" s="134">
        <v>0</v>
      </c>
      <c r="DT106" s="137">
        <v>0</v>
      </c>
      <c r="DU106" s="229" t="s">
        <v>34</v>
      </c>
      <c r="DV106" s="229" t="s">
        <v>34</v>
      </c>
      <c r="DW106" s="229" t="s">
        <v>34</v>
      </c>
      <c r="DX106" s="244" t="s">
        <v>34</v>
      </c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  <c r="GY106" s="105"/>
      <c r="GZ106" s="105"/>
      <c r="HA106" s="105"/>
      <c r="HB106" s="105"/>
      <c r="HC106" s="105"/>
      <c r="HD106" s="105"/>
      <c r="HE106" s="105"/>
      <c r="HF106" s="105"/>
      <c r="HG106" s="105"/>
      <c r="HH106" s="105"/>
      <c r="HI106" s="105"/>
      <c r="HJ106" s="105"/>
      <c r="HK106" s="105"/>
      <c r="HL106" s="105"/>
      <c r="HM106" s="105"/>
      <c r="HN106" s="105"/>
      <c r="HO106" s="105"/>
      <c r="HP106" s="105"/>
      <c r="HQ106" s="105"/>
      <c r="HR106" s="105"/>
      <c r="HS106" s="105"/>
      <c r="HT106" s="105"/>
      <c r="HU106" s="105"/>
      <c r="HV106" s="105"/>
      <c r="HW106" s="105"/>
      <c r="HX106" s="105"/>
      <c r="HY106" s="105"/>
      <c r="HZ106" s="105"/>
      <c r="IA106" s="105"/>
      <c r="IB106" s="105"/>
      <c r="IC106" s="105"/>
      <c r="ID106" s="105"/>
      <c r="IE106" s="105"/>
      <c r="IF106" s="105"/>
      <c r="IG106" s="105"/>
      <c r="IH106" s="105"/>
      <c r="II106" s="105"/>
      <c r="IJ106" s="105"/>
      <c r="IK106" s="105"/>
      <c r="IL106" s="105"/>
      <c r="IM106" s="105"/>
      <c r="IN106" s="105"/>
      <c r="IO106" s="105"/>
      <c r="IP106" s="105"/>
      <c r="IQ106" s="105"/>
      <c r="IR106" s="105"/>
      <c r="IS106" s="105"/>
      <c r="IT106" s="105"/>
      <c r="IU106" s="105"/>
      <c r="IV106" s="105"/>
      <c r="IW106" s="105"/>
      <c r="IX106" s="105"/>
      <c r="IY106" s="105"/>
      <c r="IZ106" s="105"/>
      <c r="JA106" s="105"/>
      <c r="JB106" s="105"/>
      <c r="JC106" s="105"/>
      <c r="JD106" s="105"/>
      <c r="JE106" s="105"/>
      <c r="JF106" s="105"/>
      <c r="JG106" s="105"/>
      <c r="JH106" s="105"/>
    </row>
    <row r="107" spans="1:268" s="106" customFormat="1" ht="18" customHeight="1">
      <c r="A107" s="348">
        <v>851</v>
      </c>
      <c r="B107" s="291"/>
      <c r="C107" s="134"/>
      <c r="D107" s="137"/>
      <c r="E107" s="137"/>
      <c r="F107" s="137"/>
      <c r="G107" s="137"/>
      <c r="H107" s="137"/>
      <c r="I107" s="134"/>
      <c r="J107" s="137"/>
      <c r="K107" s="134"/>
      <c r="L107" s="137"/>
      <c r="M107" s="137"/>
      <c r="N107" s="137"/>
      <c r="O107" s="134"/>
      <c r="P107" s="137"/>
      <c r="Q107" s="137"/>
      <c r="R107" s="137"/>
      <c r="S107" s="134"/>
      <c r="T107" s="137"/>
      <c r="U107" s="137"/>
      <c r="V107" s="137"/>
      <c r="W107" s="134"/>
      <c r="X107" s="137"/>
      <c r="Y107" s="137"/>
      <c r="Z107" s="137"/>
      <c r="AA107" s="134"/>
      <c r="AB107" s="137"/>
      <c r="AC107" s="137"/>
      <c r="AD107" s="137"/>
      <c r="AE107" s="134"/>
      <c r="AF107" s="137"/>
      <c r="AG107" s="137"/>
      <c r="AH107" s="137"/>
      <c r="AI107" s="134"/>
      <c r="AJ107" s="137"/>
      <c r="AK107" s="137"/>
      <c r="AL107" s="137"/>
      <c r="AM107" s="134"/>
      <c r="AN107" s="137"/>
      <c r="AO107" s="137"/>
      <c r="AP107" s="137"/>
      <c r="AQ107" s="134"/>
      <c r="AR107" s="137"/>
      <c r="AS107" s="137"/>
      <c r="AT107" s="137"/>
      <c r="AU107" s="134"/>
      <c r="AV107" s="137"/>
      <c r="AW107" s="137"/>
      <c r="AX107" s="137"/>
      <c r="AY107" s="134"/>
      <c r="AZ107" s="137"/>
      <c r="BA107" s="134"/>
      <c r="BB107" s="137"/>
      <c r="BC107" s="135"/>
      <c r="BD107" s="135"/>
      <c r="BE107" s="134"/>
      <c r="BF107" s="137"/>
      <c r="BG107" s="134"/>
      <c r="BH107" s="137"/>
      <c r="BI107" s="137"/>
      <c r="BJ107" s="137"/>
      <c r="BK107" s="135"/>
      <c r="BL107" s="135"/>
      <c r="BM107" s="134"/>
      <c r="BN107" s="137"/>
      <c r="BO107" s="137"/>
      <c r="BP107" s="137"/>
      <c r="BQ107" s="135"/>
      <c r="BR107" s="135"/>
      <c r="BS107" s="134"/>
      <c r="BT107" s="137"/>
      <c r="BU107" s="137"/>
      <c r="BV107" s="137"/>
      <c r="BW107" s="135"/>
      <c r="BX107" s="135"/>
      <c r="BY107" s="134"/>
      <c r="BZ107" s="137"/>
      <c r="CA107" s="137"/>
      <c r="CB107" s="137"/>
      <c r="CC107" s="135"/>
      <c r="CD107" s="135"/>
      <c r="CE107" s="134"/>
      <c r="CF107" s="137"/>
      <c r="CG107" s="137"/>
      <c r="CH107" s="137"/>
      <c r="CI107" s="135"/>
      <c r="CJ107" s="135"/>
      <c r="CK107" s="134"/>
      <c r="CL107" s="137"/>
      <c r="CM107" s="137"/>
      <c r="CN107" s="137"/>
      <c r="CO107" s="135"/>
      <c r="CP107" s="135"/>
      <c r="CQ107" s="134"/>
      <c r="CR107" s="137"/>
      <c r="CS107" s="137"/>
      <c r="CT107" s="137"/>
      <c r="CU107" s="135"/>
      <c r="CV107" s="135"/>
      <c r="CW107" s="134"/>
      <c r="CX107" s="137"/>
      <c r="CY107" s="137"/>
      <c r="CZ107" s="137"/>
      <c r="DA107" s="135"/>
      <c r="DB107" s="135"/>
      <c r="DC107" s="134"/>
      <c r="DD107" s="137"/>
      <c r="DE107" s="137"/>
      <c r="DF107" s="137"/>
      <c r="DG107" s="135"/>
      <c r="DH107" s="135"/>
      <c r="DI107" s="134"/>
      <c r="DJ107" s="137"/>
      <c r="DK107" s="137"/>
      <c r="DL107" s="137"/>
      <c r="DM107" s="135">
        <f t="shared" si="314"/>
        <v>1</v>
      </c>
      <c r="DN107" s="135">
        <f t="shared" si="315"/>
        <v>1</v>
      </c>
      <c r="DO107" s="134">
        <f>'бюджет округа (района)'!BH107+'бюджеты поселений'!BH107</f>
        <v>0</v>
      </c>
      <c r="DP107" s="137">
        <f>'бюджет округа (района)'!BH107</f>
        <v>0</v>
      </c>
      <c r="DQ107" s="134">
        <f>'бюджет округа (района)'!BI107+'бюджеты поселений'!BI107</f>
        <v>0</v>
      </c>
      <c r="DR107" s="137">
        <f>'бюджет округа (района)'!BI107</f>
        <v>0</v>
      </c>
      <c r="DS107" s="134"/>
      <c r="DT107" s="137"/>
      <c r="DU107" s="229" t="s">
        <v>34</v>
      </c>
      <c r="DV107" s="229" t="s">
        <v>34</v>
      </c>
      <c r="DW107" s="229" t="s">
        <v>34</v>
      </c>
      <c r="DX107" s="244" t="s">
        <v>34</v>
      </c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  <c r="GY107" s="105"/>
      <c r="GZ107" s="105"/>
      <c r="HA107" s="105"/>
      <c r="HB107" s="105"/>
      <c r="HC107" s="105"/>
      <c r="HD107" s="105"/>
      <c r="HE107" s="105"/>
      <c r="HF107" s="105"/>
      <c r="HG107" s="105"/>
      <c r="HH107" s="105"/>
      <c r="HI107" s="105"/>
      <c r="HJ107" s="105"/>
      <c r="HK107" s="105"/>
      <c r="HL107" s="105"/>
      <c r="HM107" s="105"/>
      <c r="HN107" s="105"/>
      <c r="HO107" s="105"/>
      <c r="HP107" s="105"/>
      <c r="HQ107" s="105"/>
      <c r="HR107" s="105"/>
      <c r="HS107" s="105"/>
      <c r="HT107" s="105"/>
      <c r="HU107" s="105"/>
      <c r="HV107" s="105"/>
      <c r="HW107" s="105"/>
      <c r="HX107" s="105"/>
      <c r="HY107" s="105"/>
      <c r="HZ107" s="105"/>
      <c r="IA107" s="105"/>
      <c r="IB107" s="105"/>
      <c r="IC107" s="105"/>
      <c r="ID107" s="105"/>
      <c r="IE107" s="105"/>
      <c r="IF107" s="105"/>
      <c r="IG107" s="105"/>
      <c r="IH107" s="105"/>
      <c r="II107" s="105"/>
      <c r="IJ107" s="105"/>
      <c r="IK107" s="105"/>
      <c r="IL107" s="105"/>
      <c r="IM107" s="105"/>
      <c r="IN107" s="105"/>
      <c r="IO107" s="105"/>
      <c r="IP107" s="105"/>
      <c r="IQ107" s="105"/>
      <c r="IR107" s="105"/>
      <c r="IS107" s="105"/>
      <c r="IT107" s="105"/>
      <c r="IU107" s="105"/>
      <c r="IV107" s="105"/>
      <c r="IW107" s="105"/>
      <c r="IX107" s="105"/>
      <c r="IY107" s="105"/>
      <c r="IZ107" s="105"/>
      <c r="JA107" s="105"/>
      <c r="JB107" s="105"/>
      <c r="JC107" s="105"/>
      <c r="JD107" s="105"/>
      <c r="JE107" s="105"/>
      <c r="JF107" s="105"/>
      <c r="JG107" s="105"/>
      <c r="JH107" s="105"/>
    </row>
    <row r="108" spans="1:268" s="106" customFormat="1" ht="18" customHeight="1">
      <c r="A108" s="348">
        <v>853</v>
      </c>
      <c r="B108" s="291"/>
      <c r="C108" s="134"/>
      <c r="D108" s="137"/>
      <c r="E108" s="137"/>
      <c r="F108" s="137"/>
      <c r="G108" s="137"/>
      <c r="H108" s="137"/>
      <c r="I108" s="134"/>
      <c r="J108" s="137"/>
      <c r="K108" s="134"/>
      <c r="L108" s="137"/>
      <c r="M108" s="137"/>
      <c r="N108" s="137"/>
      <c r="O108" s="134"/>
      <c r="P108" s="137"/>
      <c r="Q108" s="137"/>
      <c r="R108" s="137"/>
      <c r="S108" s="134"/>
      <c r="T108" s="137"/>
      <c r="U108" s="137"/>
      <c r="V108" s="137"/>
      <c r="W108" s="134"/>
      <c r="X108" s="137"/>
      <c r="Y108" s="137"/>
      <c r="Z108" s="137"/>
      <c r="AA108" s="134"/>
      <c r="AB108" s="137"/>
      <c r="AC108" s="137"/>
      <c r="AD108" s="137"/>
      <c r="AE108" s="134"/>
      <c r="AF108" s="137"/>
      <c r="AG108" s="137"/>
      <c r="AH108" s="137"/>
      <c r="AI108" s="134"/>
      <c r="AJ108" s="137"/>
      <c r="AK108" s="137"/>
      <c r="AL108" s="137"/>
      <c r="AM108" s="134"/>
      <c r="AN108" s="137"/>
      <c r="AO108" s="137"/>
      <c r="AP108" s="137"/>
      <c r="AQ108" s="134"/>
      <c r="AR108" s="137"/>
      <c r="AS108" s="137"/>
      <c r="AT108" s="137"/>
      <c r="AU108" s="134"/>
      <c r="AV108" s="137"/>
      <c r="AW108" s="137"/>
      <c r="AX108" s="137"/>
      <c r="AY108" s="134"/>
      <c r="AZ108" s="137"/>
      <c r="BA108" s="134"/>
      <c r="BB108" s="137"/>
      <c r="BC108" s="135"/>
      <c r="BD108" s="135"/>
      <c r="BE108" s="134"/>
      <c r="BF108" s="137"/>
      <c r="BG108" s="134"/>
      <c r="BH108" s="137"/>
      <c r="BI108" s="137"/>
      <c r="BJ108" s="137"/>
      <c r="BK108" s="135"/>
      <c r="BL108" s="135"/>
      <c r="BM108" s="134"/>
      <c r="BN108" s="137"/>
      <c r="BO108" s="137"/>
      <c r="BP108" s="137"/>
      <c r="BQ108" s="135"/>
      <c r="BR108" s="135"/>
      <c r="BS108" s="134"/>
      <c r="BT108" s="137"/>
      <c r="BU108" s="137"/>
      <c r="BV108" s="137"/>
      <c r="BW108" s="135"/>
      <c r="BX108" s="135"/>
      <c r="BY108" s="134"/>
      <c r="BZ108" s="137"/>
      <c r="CA108" s="137"/>
      <c r="CB108" s="137"/>
      <c r="CC108" s="135"/>
      <c r="CD108" s="135"/>
      <c r="CE108" s="134"/>
      <c r="CF108" s="137"/>
      <c r="CG108" s="137"/>
      <c r="CH108" s="137"/>
      <c r="CI108" s="135"/>
      <c r="CJ108" s="135"/>
      <c r="CK108" s="134"/>
      <c r="CL108" s="137"/>
      <c r="CM108" s="137"/>
      <c r="CN108" s="137"/>
      <c r="CO108" s="135"/>
      <c r="CP108" s="135"/>
      <c r="CQ108" s="134"/>
      <c r="CR108" s="137"/>
      <c r="CS108" s="137"/>
      <c r="CT108" s="137"/>
      <c r="CU108" s="135"/>
      <c r="CV108" s="135"/>
      <c r="CW108" s="134"/>
      <c r="CX108" s="137"/>
      <c r="CY108" s="137"/>
      <c r="CZ108" s="137"/>
      <c r="DA108" s="135"/>
      <c r="DB108" s="135"/>
      <c r="DC108" s="134"/>
      <c r="DD108" s="137"/>
      <c r="DE108" s="137"/>
      <c r="DF108" s="137"/>
      <c r="DG108" s="135"/>
      <c r="DH108" s="135"/>
      <c r="DI108" s="134"/>
      <c r="DJ108" s="137"/>
      <c r="DK108" s="137"/>
      <c r="DL108" s="137"/>
      <c r="DM108" s="135">
        <f t="shared" si="314"/>
        <v>1</v>
      </c>
      <c r="DN108" s="135">
        <f t="shared" si="315"/>
        <v>1</v>
      </c>
      <c r="DO108" s="134">
        <f>'бюджет округа (района)'!BH108+'бюджеты поселений'!BH108</f>
        <v>0</v>
      </c>
      <c r="DP108" s="137">
        <f>'бюджет округа (района)'!BH108</f>
        <v>0</v>
      </c>
      <c r="DQ108" s="134">
        <f>'бюджет округа (района)'!BI108+'бюджеты поселений'!BI108</f>
        <v>0</v>
      </c>
      <c r="DR108" s="137">
        <f>'бюджет округа (района)'!BI108</f>
        <v>0</v>
      </c>
      <c r="DS108" s="134"/>
      <c r="DT108" s="137"/>
      <c r="DU108" s="229" t="s">
        <v>34</v>
      </c>
      <c r="DV108" s="229" t="s">
        <v>34</v>
      </c>
      <c r="DW108" s="229" t="s">
        <v>34</v>
      </c>
      <c r="DX108" s="244" t="s">
        <v>34</v>
      </c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  <c r="GY108" s="105"/>
      <c r="GZ108" s="105"/>
      <c r="HA108" s="105"/>
      <c r="HB108" s="105"/>
      <c r="HC108" s="105"/>
      <c r="HD108" s="105"/>
      <c r="HE108" s="105"/>
      <c r="HF108" s="105"/>
      <c r="HG108" s="105"/>
      <c r="HH108" s="105"/>
      <c r="HI108" s="105"/>
      <c r="HJ108" s="105"/>
      <c r="HK108" s="105"/>
      <c r="HL108" s="105"/>
      <c r="HM108" s="105"/>
      <c r="HN108" s="105"/>
      <c r="HO108" s="105"/>
      <c r="HP108" s="105"/>
      <c r="HQ108" s="105"/>
      <c r="HR108" s="105"/>
      <c r="HS108" s="105"/>
      <c r="HT108" s="105"/>
      <c r="HU108" s="105"/>
      <c r="HV108" s="105"/>
      <c r="HW108" s="105"/>
      <c r="HX108" s="105"/>
      <c r="HY108" s="105"/>
      <c r="HZ108" s="105"/>
      <c r="IA108" s="105"/>
      <c r="IB108" s="105"/>
      <c r="IC108" s="105"/>
      <c r="ID108" s="105"/>
      <c r="IE108" s="105"/>
      <c r="IF108" s="105"/>
      <c r="IG108" s="105"/>
      <c r="IH108" s="105"/>
      <c r="II108" s="105"/>
      <c r="IJ108" s="105"/>
      <c r="IK108" s="105"/>
      <c r="IL108" s="105"/>
      <c r="IM108" s="105"/>
      <c r="IN108" s="105"/>
      <c r="IO108" s="105"/>
      <c r="IP108" s="105"/>
      <c r="IQ108" s="105"/>
      <c r="IR108" s="105"/>
      <c r="IS108" s="105"/>
      <c r="IT108" s="105"/>
      <c r="IU108" s="105"/>
      <c r="IV108" s="105"/>
      <c r="IW108" s="105"/>
      <c r="IX108" s="105"/>
      <c r="IY108" s="105"/>
      <c r="IZ108" s="105"/>
      <c r="JA108" s="105"/>
      <c r="JB108" s="105"/>
      <c r="JC108" s="105"/>
      <c r="JD108" s="105"/>
      <c r="JE108" s="105"/>
      <c r="JF108" s="105"/>
      <c r="JG108" s="105"/>
      <c r="JH108" s="105"/>
    </row>
    <row r="109" spans="1:268" s="106" customFormat="1" ht="18" hidden="1" customHeight="1">
      <c r="A109" s="265"/>
      <c r="B109" s="260"/>
      <c r="C109" s="134">
        <f>'бюджет округа (района)'!A109+'бюджеты поселений'!A109</f>
        <v>0</v>
      </c>
      <c r="D109" s="137">
        <f>'бюджет округа (района)'!A109</f>
        <v>0</v>
      </c>
      <c r="E109" s="134">
        <f>'бюджет округа (района)'!C109+'бюджеты поселений'!C109</f>
        <v>0</v>
      </c>
      <c r="F109" s="137">
        <f>'бюджет округа (района)'!C109</f>
        <v>0</v>
      </c>
      <c r="G109" s="134">
        <f t="shared" ref="G109:G112" si="382">I109+K109+O109+S109+W109+AA109+AE109+AI109+AM109+AQ109+AU109+AY109</f>
        <v>0</v>
      </c>
      <c r="H109" s="137">
        <f t="shared" ref="H109:H112" si="383">J109+L109+P109+T109+X109+AB109+AF109+AJ109+AN109+AR109+AV109+AZ109</f>
        <v>0</v>
      </c>
      <c r="I109" s="134">
        <f>'бюджет округа (района)'!E109+'бюджеты поселений'!E109</f>
        <v>0</v>
      </c>
      <c r="J109" s="137">
        <f>'бюджет округа (района)'!E109</f>
        <v>0</v>
      </c>
      <c r="K109" s="134">
        <f>'бюджет округа (района)'!F109+'бюджеты поселений'!F109</f>
        <v>0</v>
      </c>
      <c r="L109" s="137">
        <f>'бюджет округа (района)'!F109</f>
        <v>0</v>
      </c>
      <c r="M109" s="137">
        <f t="shared" ref="M109:M112" si="384">I109+K109</f>
        <v>0</v>
      </c>
      <c r="N109" s="137">
        <f t="shared" ref="N109:N112" si="385">J109+L109</f>
        <v>0</v>
      </c>
      <c r="O109" s="134">
        <f>'бюджет округа (района)'!H109+'бюджеты поселений'!H109</f>
        <v>0</v>
      </c>
      <c r="P109" s="137">
        <f>'бюджет округа (района)'!H109</f>
        <v>0</v>
      </c>
      <c r="Q109" s="137">
        <f t="shared" ref="Q109:Q112" si="386">K109+I109</f>
        <v>0</v>
      </c>
      <c r="R109" s="137">
        <f t="shared" ref="R109:R112" si="387">L109+J109</f>
        <v>0</v>
      </c>
      <c r="S109" s="134">
        <f>'бюджет округа (района)'!J109+'бюджеты поселений'!J109</f>
        <v>0</v>
      </c>
      <c r="T109" s="137">
        <f>'бюджет округа (района)'!J109</f>
        <v>0</v>
      </c>
      <c r="U109" s="137">
        <f t="shared" ref="U109:U112" si="388">Q109+S109</f>
        <v>0</v>
      </c>
      <c r="V109" s="137">
        <f t="shared" ref="V109:V112" si="389">R109+T109</f>
        <v>0</v>
      </c>
      <c r="W109" s="134">
        <f>'бюджет округа (района)'!L109+'бюджеты поселений'!L109</f>
        <v>0</v>
      </c>
      <c r="X109" s="137">
        <f>'бюджет округа (района)'!L109</f>
        <v>0</v>
      </c>
      <c r="Y109" s="137">
        <f t="shared" ref="Y109:Y112" si="390">U109+W109</f>
        <v>0</v>
      </c>
      <c r="Z109" s="137">
        <f t="shared" ref="Z109:Z112" si="391">V109+X109</f>
        <v>0</v>
      </c>
      <c r="AA109" s="134">
        <f>'бюджет округа (района)'!N109+'бюджеты поселений'!N109</f>
        <v>0</v>
      </c>
      <c r="AB109" s="137">
        <f>'бюджет округа (района)'!N109</f>
        <v>0</v>
      </c>
      <c r="AC109" s="137">
        <f t="shared" ref="AC109:AC112" si="392">Y109+AA109</f>
        <v>0</v>
      </c>
      <c r="AD109" s="137">
        <f t="shared" ref="AD109:AD112" si="393">Z109+AB109</f>
        <v>0</v>
      </c>
      <c r="AE109" s="134">
        <f>'бюджет округа (района)'!P109+'бюджеты поселений'!P109</f>
        <v>0</v>
      </c>
      <c r="AF109" s="137">
        <f>'бюджет округа (района)'!P109</f>
        <v>0</v>
      </c>
      <c r="AG109" s="137">
        <f t="shared" ref="AG109:AG112" si="394">AC109+AE109</f>
        <v>0</v>
      </c>
      <c r="AH109" s="137">
        <f t="shared" ref="AH109:AH112" si="395">AD109+AF109</f>
        <v>0</v>
      </c>
      <c r="AI109" s="134">
        <f>'бюджет округа (района)'!R109+'бюджеты поселений'!R109</f>
        <v>0</v>
      </c>
      <c r="AJ109" s="137">
        <f>'бюджет округа (района)'!R109</f>
        <v>0</v>
      </c>
      <c r="AK109" s="137">
        <f t="shared" ref="AK109:AK112" si="396">AG109+AI109</f>
        <v>0</v>
      </c>
      <c r="AL109" s="137">
        <f t="shared" ref="AL109:AL112" si="397">AH109+AJ109</f>
        <v>0</v>
      </c>
      <c r="AM109" s="134">
        <f>'бюджет округа (района)'!T109+'бюджеты поселений'!T109</f>
        <v>0</v>
      </c>
      <c r="AN109" s="137">
        <f>'бюджет округа (района)'!T109</f>
        <v>0</v>
      </c>
      <c r="AO109" s="137">
        <f t="shared" ref="AO109:AO112" si="398">AK109+AM109</f>
        <v>0</v>
      </c>
      <c r="AP109" s="137">
        <f t="shared" ref="AP109:AP112" si="399">AL109+AN109</f>
        <v>0</v>
      </c>
      <c r="AQ109" s="134">
        <f>'бюджет округа (района)'!V109+'бюджеты поселений'!V109</f>
        <v>0</v>
      </c>
      <c r="AR109" s="137">
        <f>'бюджет округа (района)'!V109</f>
        <v>0</v>
      </c>
      <c r="AS109" s="137">
        <f t="shared" ref="AS109:AS112" si="400">AO109+AQ109</f>
        <v>0</v>
      </c>
      <c r="AT109" s="137">
        <f t="shared" ref="AT109:AT112" si="401">AP109+AR109</f>
        <v>0</v>
      </c>
      <c r="AU109" s="134">
        <f>'бюджет округа (района)'!X109+'бюджеты поселений'!X109</f>
        <v>0</v>
      </c>
      <c r="AV109" s="137">
        <f>'бюджет округа (района)'!X109</f>
        <v>0</v>
      </c>
      <c r="AW109" s="137">
        <f t="shared" ref="AW109:AW112" si="402">AS109+AU109</f>
        <v>0</v>
      </c>
      <c r="AX109" s="137">
        <f t="shared" ref="AX109:AX112" si="403">AT109+AV109</f>
        <v>0</v>
      </c>
      <c r="AY109" s="134">
        <f>'бюджет округа (района)'!Z109+'бюджеты поселений'!Z109</f>
        <v>0</v>
      </c>
      <c r="AZ109" s="137">
        <f>'бюджет округа (района)'!Z109</f>
        <v>0</v>
      </c>
      <c r="BA109" s="134">
        <f>'бюджет округа (района)'!AA109+'бюджеты поселений'!AA109</f>
        <v>0</v>
      </c>
      <c r="BB109" s="137">
        <f>'бюджет округа (района)'!AA109</f>
        <v>0</v>
      </c>
      <c r="BC109" s="135">
        <f t="shared" ref="BC109:BC112" si="404">IF(G109=0,1,BA109/G109-1)</f>
        <v>1</v>
      </c>
      <c r="BD109" s="135">
        <f t="shared" ref="BD109:BD112" si="405">IF(H109=0,1,BB109/H109-1)</f>
        <v>1</v>
      </c>
      <c r="BE109" s="134">
        <f>'бюджет округа (района)'!AC109+'бюджеты поселений'!AC109</f>
        <v>0</v>
      </c>
      <c r="BF109" s="137">
        <f>'бюджет округа (района)'!AC109</f>
        <v>0</v>
      </c>
      <c r="BG109" s="134">
        <f>'бюджет округа (района)'!AD109+'бюджеты поселений'!AD109</f>
        <v>0</v>
      </c>
      <c r="BH109" s="137">
        <f>'бюджет округа (района)'!AD109</f>
        <v>0</v>
      </c>
      <c r="BI109" s="137">
        <f t="shared" ref="BI109:BI112" si="406">BE109+BG109</f>
        <v>0</v>
      </c>
      <c r="BJ109" s="137">
        <f t="shared" ref="BJ109:BJ112" si="407">BF109+BH109</f>
        <v>0</v>
      </c>
      <c r="BK109" s="135">
        <f t="shared" ref="BK109:BK112" si="408">IF(M109=0,1,BI109/M109-1)</f>
        <v>1</v>
      </c>
      <c r="BL109" s="135">
        <f t="shared" ref="BL109:BL112" si="409">IF(N109=0,1,BJ109/N109-1)</f>
        <v>1</v>
      </c>
      <c r="BM109" s="134">
        <f>'бюджет округа (района)'!AG109+'бюджеты поселений'!AG109</f>
        <v>0</v>
      </c>
      <c r="BN109" s="137">
        <f>'бюджет округа (района)'!AG109</f>
        <v>0</v>
      </c>
      <c r="BO109" s="137">
        <f t="shared" ref="BO109:BO112" si="410">BI109+BM109</f>
        <v>0</v>
      </c>
      <c r="BP109" s="137">
        <f t="shared" ref="BP109:BP112" si="411">BJ109+BN109</f>
        <v>0</v>
      </c>
      <c r="BQ109" s="135">
        <f t="shared" ref="BQ109:BQ112" si="412">IF(Q109=0,1,BO109/Q109-1)</f>
        <v>1</v>
      </c>
      <c r="BR109" s="135">
        <f t="shared" ref="BR109:BR112" si="413">IF(R109=0,1,BP109/R109-1)</f>
        <v>1</v>
      </c>
      <c r="BS109" s="134">
        <f>'бюджет округа (района)'!AJ109+'бюджеты поселений'!AJ109</f>
        <v>0</v>
      </c>
      <c r="BT109" s="137">
        <f>'бюджет округа (района)'!AJ109</f>
        <v>0</v>
      </c>
      <c r="BU109" s="137">
        <f t="shared" ref="BU109:BU112" si="414">BO109+BS109</f>
        <v>0</v>
      </c>
      <c r="BV109" s="137">
        <f t="shared" ref="BV109:BV112" si="415">BP109+BT109</f>
        <v>0</v>
      </c>
      <c r="BW109" s="135">
        <f t="shared" ref="BW109:BW112" si="416">IF(U109=0,1,BU109/U109-1)</f>
        <v>1</v>
      </c>
      <c r="BX109" s="135">
        <f t="shared" ref="BX109:BX112" si="417">IF(V109=0,1,BV109/V109-1)</f>
        <v>1</v>
      </c>
      <c r="BY109" s="134">
        <f>'бюджет округа (района)'!AM109+'бюджеты поселений'!AM109</f>
        <v>0</v>
      </c>
      <c r="BZ109" s="137">
        <f>'бюджет округа (района)'!AM109</f>
        <v>0</v>
      </c>
      <c r="CA109" s="137">
        <f t="shared" ref="CA109:CA112" si="418">BU109+BY109</f>
        <v>0</v>
      </c>
      <c r="CB109" s="137">
        <f t="shared" ref="CB109:CB112" si="419">BV109+BZ109</f>
        <v>0</v>
      </c>
      <c r="CC109" s="135">
        <f t="shared" ref="CC109:CC112" si="420">IF(Y109=0,1,CA109/Y109-1)</f>
        <v>1</v>
      </c>
      <c r="CD109" s="135">
        <f t="shared" ref="CD109:CD112" si="421">IF(Z109=0,1,CB109/Z109-1)</f>
        <v>1</v>
      </c>
      <c r="CE109" s="134">
        <f>'бюджет округа (района)'!AP109+'бюджеты поселений'!AP109</f>
        <v>0</v>
      </c>
      <c r="CF109" s="137">
        <f>'бюджет округа (района)'!AP109</f>
        <v>0</v>
      </c>
      <c r="CG109" s="137">
        <f t="shared" ref="CG109:CG112" si="422">CA109+CE109</f>
        <v>0</v>
      </c>
      <c r="CH109" s="137">
        <f t="shared" ref="CH109:CH112" si="423">CB109+CF109</f>
        <v>0</v>
      </c>
      <c r="CI109" s="135">
        <f t="shared" ref="CI109:CI112" si="424">IF(AC109=0,1,CG109/AC109-1)</f>
        <v>1</v>
      </c>
      <c r="CJ109" s="135">
        <f t="shared" ref="CJ109:CJ112" si="425">IF(AD109=0,1,CH109/AD109-1)</f>
        <v>1</v>
      </c>
      <c r="CK109" s="134">
        <f>'бюджет округа (района)'!AS109+'бюджеты поселений'!AS109</f>
        <v>0</v>
      </c>
      <c r="CL109" s="137">
        <f>'бюджет округа (района)'!AS109</f>
        <v>0</v>
      </c>
      <c r="CM109" s="137">
        <f t="shared" ref="CM109:CM112" si="426">CG109+CK109</f>
        <v>0</v>
      </c>
      <c r="CN109" s="137">
        <f t="shared" ref="CN109:CN112" si="427">CH109+CL109</f>
        <v>0</v>
      </c>
      <c r="CO109" s="135">
        <f t="shared" ref="CO109:CO112" si="428">IF(AG109=0,1,CM109/AG109-1)</f>
        <v>1</v>
      </c>
      <c r="CP109" s="135">
        <f t="shared" ref="CP109:CP112" si="429">IF(AH109=0,1,CN109/AH109-1)</f>
        <v>1</v>
      </c>
      <c r="CQ109" s="134">
        <f>'бюджет округа (района)'!AV109+'бюджеты поселений'!AV109</f>
        <v>0</v>
      </c>
      <c r="CR109" s="137">
        <f>'бюджет округа (района)'!AV109</f>
        <v>0</v>
      </c>
      <c r="CS109" s="137">
        <f t="shared" ref="CS109:CS112" si="430">CM109+CQ109</f>
        <v>0</v>
      </c>
      <c r="CT109" s="137">
        <f t="shared" ref="CT109:CT112" si="431">CN109+CR109</f>
        <v>0</v>
      </c>
      <c r="CU109" s="135">
        <f t="shared" ref="CU109:CU112" si="432">IF(AK109=0,1,CS109/AK109-1)</f>
        <v>1</v>
      </c>
      <c r="CV109" s="135">
        <f t="shared" ref="CV109:CV112" si="433">IF(AL109=0,1,CT109/AL109-1)</f>
        <v>1</v>
      </c>
      <c r="CW109" s="134">
        <f>'бюджет округа (района)'!AY109+'бюджеты поселений'!AY109</f>
        <v>0</v>
      </c>
      <c r="CX109" s="137">
        <f>'бюджет округа (района)'!AY109</f>
        <v>0</v>
      </c>
      <c r="CY109" s="137">
        <f t="shared" ref="CY109:CY112" si="434">CS109+CW109</f>
        <v>0</v>
      </c>
      <c r="CZ109" s="137">
        <f t="shared" ref="CZ109:CZ112" si="435">CT109+CX109</f>
        <v>0</v>
      </c>
      <c r="DA109" s="135">
        <f t="shared" ref="DA109:DA112" si="436">IF(AO109=0,1,CY109/AO109-1)</f>
        <v>1</v>
      </c>
      <c r="DB109" s="135">
        <f t="shared" ref="DB109:DB112" si="437">IF(AP109=0,1,CZ109/AP109-1)</f>
        <v>1</v>
      </c>
      <c r="DC109" s="134">
        <f>'бюджет округа (района)'!BB109+'бюджеты поселений'!BB109</f>
        <v>0</v>
      </c>
      <c r="DD109" s="137">
        <f>'бюджет округа (района)'!BB109</f>
        <v>0</v>
      </c>
      <c r="DE109" s="137">
        <f t="shared" ref="DE109:DE112" si="438">CY109+DC109</f>
        <v>0</v>
      </c>
      <c r="DF109" s="137">
        <f t="shared" ref="DF109:DF112" si="439">CZ109+DD109</f>
        <v>0</v>
      </c>
      <c r="DG109" s="135">
        <f t="shared" ref="DG109:DG112" si="440">IF(AS109=0,1,DE109/AS109-1)</f>
        <v>1</v>
      </c>
      <c r="DH109" s="135">
        <f t="shared" ref="DH109:DH112" si="441">IF(AT109=0,1,DF109/AT109-1)</f>
        <v>1</v>
      </c>
      <c r="DI109" s="134">
        <f>'бюджет округа (района)'!BE109+'бюджеты поселений'!BE109</f>
        <v>0</v>
      </c>
      <c r="DJ109" s="137">
        <f>'бюджет округа (района)'!BE109</f>
        <v>0</v>
      </c>
      <c r="DK109" s="137">
        <f t="shared" ref="DK109:DK112" si="442">DE109+DI109</f>
        <v>0</v>
      </c>
      <c r="DL109" s="137">
        <f t="shared" ref="DL109:DL112" si="443">DF109+DJ109</f>
        <v>0</v>
      </c>
      <c r="DM109" s="135">
        <f t="shared" ref="DM109:DM112" si="444">IF(AW109=0,1,DK109/AW109-1)</f>
        <v>1</v>
      </c>
      <c r="DN109" s="135">
        <f t="shared" ref="DN109:DN112" si="445">IF(AX109=0,1,DL109/AX109-1)</f>
        <v>1</v>
      </c>
      <c r="DO109" s="134">
        <f>'бюджет округа (района)'!BH109+'бюджеты поселений'!BH109</f>
        <v>0</v>
      </c>
      <c r="DP109" s="137">
        <f>'бюджет округа (района)'!BH109</f>
        <v>0</v>
      </c>
      <c r="DQ109" s="134">
        <f>'бюджет округа (района)'!BI109+'бюджеты поселений'!BI109</f>
        <v>0</v>
      </c>
      <c r="DR109" s="137">
        <f>'бюджет округа (района)'!BI109</f>
        <v>0</v>
      </c>
      <c r="DS109" s="134">
        <f>'бюджет округа (района)'!BJ109+'бюджеты поселений'!BJ109</f>
        <v>0</v>
      </c>
      <c r="DT109" s="137">
        <f>'бюджет округа (района)'!BJ109</f>
        <v>0</v>
      </c>
      <c r="DU109" s="135">
        <f t="shared" ref="DU109:DU112" si="446">IF($BA$105=0,1,DS109/$BA$105-1)</f>
        <v>1</v>
      </c>
      <c r="DV109" s="135">
        <f t="shared" ref="DV109:DV112" si="447">IF($BB$105=0,1,DT109/$BB$105-1)</f>
        <v>1</v>
      </c>
      <c r="DW109" s="135">
        <f>IF($G109=0,1,DS109/$G109)</f>
        <v>1</v>
      </c>
      <c r="DX109" s="197">
        <f>IF($G109=0,1,DT109/$H109)</f>
        <v>1</v>
      </c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  <c r="GY109" s="105"/>
      <c r="GZ109" s="105"/>
      <c r="HA109" s="105"/>
      <c r="HB109" s="105"/>
      <c r="HC109" s="105"/>
      <c r="HD109" s="105"/>
      <c r="HE109" s="105"/>
      <c r="HF109" s="105"/>
      <c r="HG109" s="105"/>
      <c r="HH109" s="105"/>
      <c r="HI109" s="105"/>
      <c r="HJ109" s="105"/>
      <c r="HK109" s="105"/>
      <c r="HL109" s="105"/>
      <c r="HM109" s="105"/>
      <c r="HN109" s="105"/>
      <c r="HO109" s="105"/>
      <c r="HP109" s="105"/>
      <c r="HQ109" s="105"/>
      <c r="HR109" s="105"/>
      <c r="HS109" s="105"/>
      <c r="HT109" s="105"/>
      <c r="HU109" s="105"/>
      <c r="HV109" s="105"/>
      <c r="HW109" s="105"/>
      <c r="HX109" s="105"/>
      <c r="HY109" s="105"/>
      <c r="HZ109" s="105"/>
      <c r="IA109" s="105"/>
      <c r="IB109" s="105"/>
      <c r="IC109" s="105"/>
      <c r="ID109" s="105"/>
      <c r="IE109" s="105"/>
      <c r="IF109" s="105"/>
      <c r="IG109" s="105"/>
      <c r="IH109" s="105"/>
      <c r="II109" s="105"/>
      <c r="IJ109" s="105"/>
      <c r="IK109" s="105"/>
      <c r="IL109" s="105"/>
      <c r="IM109" s="105"/>
      <c r="IN109" s="105"/>
      <c r="IO109" s="105"/>
      <c r="IP109" s="105"/>
      <c r="IQ109" s="105"/>
      <c r="IR109" s="105"/>
      <c r="IS109" s="105"/>
      <c r="IT109" s="105"/>
      <c r="IU109" s="105"/>
      <c r="IV109" s="105"/>
      <c r="IW109" s="105"/>
      <c r="IX109" s="105"/>
      <c r="IY109" s="105"/>
      <c r="IZ109" s="105"/>
      <c r="JA109" s="105"/>
      <c r="JB109" s="105"/>
      <c r="JC109" s="105"/>
      <c r="JD109" s="105"/>
      <c r="JE109" s="105"/>
      <c r="JF109" s="105"/>
      <c r="JG109" s="105"/>
      <c r="JH109" s="105"/>
    </row>
    <row r="110" spans="1:268" s="106" customFormat="1" ht="18" hidden="1" customHeight="1">
      <c r="A110" s="265"/>
      <c r="B110" s="260"/>
      <c r="C110" s="134">
        <f>'бюджет округа (района)'!A110+'бюджеты поселений'!A110</f>
        <v>0</v>
      </c>
      <c r="D110" s="137">
        <f>'бюджет округа (района)'!A110</f>
        <v>0</v>
      </c>
      <c r="E110" s="134">
        <f>'бюджет округа (района)'!C110+'бюджеты поселений'!C110</f>
        <v>0</v>
      </c>
      <c r="F110" s="137">
        <f>'бюджет округа (района)'!C110</f>
        <v>0</v>
      </c>
      <c r="G110" s="134">
        <f t="shared" si="382"/>
        <v>0</v>
      </c>
      <c r="H110" s="137">
        <f t="shared" si="383"/>
        <v>0</v>
      </c>
      <c r="I110" s="134">
        <f>'бюджет округа (района)'!E110+'бюджеты поселений'!E110</f>
        <v>0</v>
      </c>
      <c r="J110" s="137">
        <f>'бюджет округа (района)'!E110</f>
        <v>0</v>
      </c>
      <c r="K110" s="134">
        <f>'бюджет округа (района)'!F110+'бюджеты поселений'!F110</f>
        <v>0</v>
      </c>
      <c r="L110" s="137">
        <f>'бюджет округа (района)'!F110</f>
        <v>0</v>
      </c>
      <c r="M110" s="137">
        <f t="shared" si="384"/>
        <v>0</v>
      </c>
      <c r="N110" s="137">
        <f t="shared" si="385"/>
        <v>0</v>
      </c>
      <c r="O110" s="134">
        <f>'бюджет округа (района)'!H110+'бюджеты поселений'!H110</f>
        <v>0</v>
      </c>
      <c r="P110" s="137">
        <f>'бюджет округа (района)'!H110</f>
        <v>0</v>
      </c>
      <c r="Q110" s="137">
        <f t="shared" si="386"/>
        <v>0</v>
      </c>
      <c r="R110" s="137">
        <f t="shared" si="387"/>
        <v>0</v>
      </c>
      <c r="S110" s="134">
        <f>'бюджет округа (района)'!J110+'бюджеты поселений'!J110</f>
        <v>0</v>
      </c>
      <c r="T110" s="137">
        <f>'бюджет округа (района)'!J110</f>
        <v>0</v>
      </c>
      <c r="U110" s="137">
        <f t="shared" si="388"/>
        <v>0</v>
      </c>
      <c r="V110" s="137">
        <f t="shared" si="389"/>
        <v>0</v>
      </c>
      <c r="W110" s="134">
        <f>'бюджет округа (района)'!L110+'бюджеты поселений'!L110</f>
        <v>0</v>
      </c>
      <c r="X110" s="137">
        <f>'бюджет округа (района)'!L110</f>
        <v>0</v>
      </c>
      <c r="Y110" s="137">
        <f t="shared" si="390"/>
        <v>0</v>
      </c>
      <c r="Z110" s="137">
        <f t="shared" si="391"/>
        <v>0</v>
      </c>
      <c r="AA110" s="134">
        <f>'бюджет округа (района)'!N110+'бюджеты поселений'!N110</f>
        <v>0</v>
      </c>
      <c r="AB110" s="137">
        <f>'бюджет округа (района)'!N110</f>
        <v>0</v>
      </c>
      <c r="AC110" s="137">
        <f t="shared" si="392"/>
        <v>0</v>
      </c>
      <c r="AD110" s="137">
        <f t="shared" si="393"/>
        <v>0</v>
      </c>
      <c r="AE110" s="134">
        <f>'бюджет округа (района)'!P110+'бюджеты поселений'!P110</f>
        <v>0</v>
      </c>
      <c r="AF110" s="137">
        <f>'бюджет округа (района)'!P110</f>
        <v>0</v>
      </c>
      <c r="AG110" s="137">
        <f t="shared" si="394"/>
        <v>0</v>
      </c>
      <c r="AH110" s="137">
        <f t="shared" si="395"/>
        <v>0</v>
      </c>
      <c r="AI110" s="134">
        <f>'бюджет округа (района)'!R110+'бюджеты поселений'!R110</f>
        <v>0</v>
      </c>
      <c r="AJ110" s="137">
        <f>'бюджет округа (района)'!R110</f>
        <v>0</v>
      </c>
      <c r="AK110" s="137">
        <f t="shared" si="396"/>
        <v>0</v>
      </c>
      <c r="AL110" s="137">
        <f t="shared" si="397"/>
        <v>0</v>
      </c>
      <c r="AM110" s="134">
        <f>'бюджет округа (района)'!T110+'бюджеты поселений'!T110</f>
        <v>0</v>
      </c>
      <c r="AN110" s="137">
        <f>'бюджет округа (района)'!T110</f>
        <v>0</v>
      </c>
      <c r="AO110" s="137">
        <f t="shared" si="398"/>
        <v>0</v>
      </c>
      <c r="AP110" s="137">
        <f t="shared" si="399"/>
        <v>0</v>
      </c>
      <c r="AQ110" s="134">
        <f>'бюджет округа (района)'!V110+'бюджеты поселений'!V110</f>
        <v>0</v>
      </c>
      <c r="AR110" s="137">
        <f>'бюджет округа (района)'!V110</f>
        <v>0</v>
      </c>
      <c r="AS110" s="137">
        <f t="shared" si="400"/>
        <v>0</v>
      </c>
      <c r="AT110" s="137">
        <f t="shared" si="401"/>
        <v>0</v>
      </c>
      <c r="AU110" s="134">
        <f>'бюджет округа (района)'!X110+'бюджеты поселений'!X110</f>
        <v>0</v>
      </c>
      <c r="AV110" s="137">
        <f>'бюджет округа (района)'!X110</f>
        <v>0</v>
      </c>
      <c r="AW110" s="137">
        <f t="shared" si="402"/>
        <v>0</v>
      </c>
      <c r="AX110" s="137">
        <f t="shared" si="403"/>
        <v>0</v>
      </c>
      <c r="AY110" s="134">
        <f>'бюджет округа (района)'!Z110+'бюджеты поселений'!Z110</f>
        <v>0</v>
      </c>
      <c r="AZ110" s="137">
        <f>'бюджет округа (района)'!Z110</f>
        <v>0</v>
      </c>
      <c r="BA110" s="134">
        <f>'бюджет округа (района)'!AA110+'бюджеты поселений'!AA110</f>
        <v>0</v>
      </c>
      <c r="BB110" s="137">
        <f>'бюджет округа (района)'!AA110</f>
        <v>0</v>
      </c>
      <c r="BC110" s="135">
        <f t="shared" si="404"/>
        <v>1</v>
      </c>
      <c r="BD110" s="135">
        <f t="shared" si="405"/>
        <v>1</v>
      </c>
      <c r="BE110" s="134">
        <f>'бюджет округа (района)'!AC110+'бюджеты поселений'!AC110</f>
        <v>0</v>
      </c>
      <c r="BF110" s="137">
        <f>'бюджет округа (района)'!AC110</f>
        <v>0</v>
      </c>
      <c r="BG110" s="134">
        <f>'бюджет округа (района)'!AD110+'бюджеты поселений'!AD110</f>
        <v>0</v>
      </c>
      <c r="BH110" s="137">
        <f>'бюджет округа (района)'!AD110</f>
        <v>0</v>
      </c>
      <c r="BI110" s="137">
        <f t="shared" si="406"/>
        <v>0</v>
      </c>
      <c r="BJ110" s="137">
        <f t="shared" si="407"/>
        <v>0</v>
      </c>
      <c r="BK110" s="135">
        <f t="shared" si="408"/>
        <v>1</v>
      </c>
      <c r="BL110" s="135">
        <f t="shared" si="409"/>
        <v>1</v>
      </c>
      <c r="BM110" s="134">
        <f>'бюджет округа (района)'!AG110+'бюджеты поселений'!AG110</f>
        <v>0</v>
      </c>
      <c r="BN110" s="137">
        <f>'бюджет округа (района)'!AG110</f>
        <v>0</v>
      </c>
      <c r="BO110" s="137">
        <f t="shared" si="410"/>
        <v>0</v>
      </c>
      <c r="BP110" s="137">
        <f t="shared" si="411"/>
        <v>0</v>
      </c>
      <c r="BQ110" s="135">
        <f t="shared" si="412"/>
        <v>1</v>
      </c>
      <c r="BR110" s="135">
        <f t="shared" si="413"/>
        <v>1</v>
      </c>
      <c r="BS110" s="134">
        <f>'бюджет округа (района)'!AJ110+'бюджеты поселений'!AJ110</f>
        <v>0</v>
      </c>
      <c r="BT110" s="137">
        <f>'бюджет округа (района)'!AJ110</f>
        <v>0</v>
      </c>
      <c r="BU110" s="137">
        <f t="shared" si="414"/>
        <v>0</v>
      </c>
      <c r="BV110" s="137">
        <f t="shared" si="415"/>
        <v>0</v>
      </c>
      <c r="BW110" s="135">
        <f t="shared" si="416"/>
        <v>1</v>
      </c>
      <c r="BX110" s="135">
        <f t="shared" si="417"/>
        <v>1</v>
      </c>
      <c r="BY110" s="134">
        <f>'бюджет округа (района)'!AM110+'бюджеты поселений'!AM110</f>
        <v>0</v>
      </c>
      <c r="BZ110" s="137">
        <f>'бюджет округа (района)'!AM110</f>
        <v>0</v>
      </c>
      <c r="CA110" s="137">
        <f t="shared" si="418"/>
        <v>0</v>
      </c>
      <c r="CB110" s="137">
        <f t="shared" si="419"/>
        <v>0</v>
      </c>
      <c r="CC110" s="135">
        <f t="shared" si="420"/>
        <v>1</v>
      </c>
      <c r="CD110" s="135">
        <f t="shared" si="421"/>
        <v>1</v>
      </c>
      <c r="CE110" s="134">
        <f>'бюджет округа (района)'!AP110+'бюджеты поселений'!AP110</f>
        <v>0</v>
      </c>
      <c r="CF110" s="137">
        <f>'бюджет округа (района)'!AP110</f>
        <v>0</v>
      </c>
      <c r="CG110" s="137">
        <f t="shared" si="422"/>
        <v>0</v>
      </c>
      <c r="CH110" s="137">
        <f t="shared" si="423"/>
        <v>0</v>
      </c>
      <c r="CI110" s="135">
        <f t="shared" si="424"/>
        <v>1</v>
      </c>
      <c r="CJ110" s="135">
        <f t="shared" si="425"/>
        <v>1</v>
      </c>
      <c r="CK110" s="134">
        <f>'бюджет округа (района)'!AS110+'бюджеты поселений'!AS110</f>
        <v>0</v>
      </c>
      <c r="CL110" s="137">
        <f>'бюджет округа (района)'!AS110</f>
        <v>0</v>
      </c>
      <c r="CM110" s="137">
        <f t="shared" si="426"/>
        <v>0</v>
      </c>
      <c r="CN110" s="137">
        <f t="shared" si="427"/>
        <v>0</v>
      </c>
      <c r="CO110" s="135">
        <f t="shared" si="428"/>
        <v>1</v>
      </c>
      <c r="CP110" s="135">
        <f t="shared" si="429"/>
        <v>1</v>
      </c>
      <c r="CQ110" s="134">
        <f>'бюджет округа (района)'!AV110+'бюджеты поселений'!AV110</f>
        <v>0</v>
      </c>
      <c r="CR110" s="137">
        <f>'бюджет округа (района)'!AV110</f>
        <v>0</v>
      </c>
      <c r="CS110" s="137">
        <f t="shared" si="430"/>
        <v>0</v>
      </c>
      <c r="CT110" s="137">
        <f t="shared" si="431"/>
        <v>0</v>
      </c>
      <c r="CU110" s="135">
        <f t="shared" si="432"/>
        <v>1</v>
      </c>
      <c r="CV110" s="135">
        <f t="shared" si="433"/>
        <v>1</v>
      </c>
      <c r="CW110" s="134">
        <f>'бюджет округа (района)'!AY110+'бюджеты поселений'!AY110</f>
        <v>0</v>
      </c>
      <c r="CX110" s="137">
        <f>'бюджет округа (района)'!AY110</f>
        <v>0</v>
      </c>
      <c r="CY110" s="137">
        <f t="shared" si="434"/>
        <v>0</v>
      </c>
      <c r="CZ110" s="137">
        <f t="shared" si="435"/>
        <v>0</v>
      </c>
      <c r="DA110" s="135">
        <f t="shared" si="436"/>
        <v>1</v>
      </c>
      <c r="DB110" s="135">
        <f t="shared" si="437"/>
        <v>1</v>
      </c>
      <c r="DC110" s="134">
        <f>'бюджет округа (района)'!BB110+'бюджеты поселений'!BB110</f>
        <v>0</v>
      </c>
      <c r="DD110" s="137">
        <f>'бюджет округа (района)'!BB110</f>
        <v>0</v>
      </c>
      <c r="DE110" s="137">
        <f t="shared" si="438"/>
        <v>0</v>
      </c>
      <c r="DF110" s="137">
        <f t="shared" si="439"/>
        <v>0</v>
      </c>
      <c r="DG110" s="135">
        <f t="shared" si="440"/>
        <v>1</v>
      </c>
      <c r="DH110" s="135">
        <f t="shared" si="441"/>
        <v>1</v>
      </c>
      <c r="DI110" s="134">
        <f>'бюджет округа (района)'!BE110+'бюджеты поселений'!BE110</f>
        <v>0</v>
      </c>
      <c r="DJ110" s="137">
        <f>'бюджет округа (района)'!BE110</f>
        <v>0</v>
      </c>
      <c r="DK110" s="137">
        <f t="shared" si="442"/>
        <v>0</v>
      </c>
      <c r="DL110" s="137">
        <f t="shared" si="443"/>
        <v>0</v>
      </c>
      <c r="DM110" s="135">
        <f t="shared" si="444"/>
        <v>1</v>
      </c>
      <c r="DN110" s="135">
        <f t="shared" si="445"/>
        <v>1</v>
      </c>
      <c r="DO110" s="134">
        <f>'бюджет округа (района)'!BH110+'бюджеты поселений'!BH110</f>
        <v>0</v>
      </c>
      <c r="DP110" s="137">
        <f>'бюджет округа (района)'!BH110</f>
        <v>0</v>
      </c>
      <c r="DQ110" s="134">
        <f>'бюджет округа (района)'!BI110+'бюджеты поселений'!BI110</f>
        <v>0</v>
      </c>
      <c r="DR110" s="137">
        <f>'бюджет округа (района)'!BI110</f>
        <v>0</v>
      </c>
      <c r="DS110" s="134">
        <f>'бюджет округа (района)'!BJ110+'бюджеты поселений'!BJ110</f>
        <v>0</v>
      </c>
      <c r="DT110" s="137">
        <f>'бюджет округа (района)'!BJ110</f>
        <v>0</v>
      </c>
      <c r="DU110" s="135">
        <f t="shared" si="446"/>
        <v>1</v>
      </c>
      <c r="DV110" s="135">
        <f t="shared" si="447"/>
        <v>1</v>
      </c>
      <c r="DW110" s="135">
        <f t="shared" ref="DW110:DW112" si="448">IF($G110=0,1,DS110/$G110-1)</f>
        <v>1</v>
      </c>
      <c r="DX110" s="197">
        <f t="shared" ref="DX110:DX112" si="449">IF($H110=0,1,DT110/$H110-1)</f>
        <v>1</v>
      </c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</row>
    <row r="111" spans="1:268" s="106" customFormat="1" ht="18" hidden="1" customHeight="1">
      <c r="A111" s="265"/>
      <c r="B111" s="260"/>
      <c r="C111" s="134">
        <f>'бюджет округа (района)'!A111+'бюджеты поселений'!A111</f>
        <v>0</v>
      </c>
      <c r="D111" s="137">
        <f>'бюджет округа (района)'!A111</f>
        <v>0</v>
      </c>
      <c r="E111" s="134">
        <f>'бюджет округа (района)'!C111+'бюджеты поселений'!C111</f>
        <v>0</v>
      </c>
      <c r="F111" s="137">
        <f>'бюджет округа (района)'!C111</f>
        <v>0</v>
      </c>
      <c r="G111" s="134">
        <f t="shared" si="382"/>
        <v>0</v>
      </c>
      <c r="H111" s="137">
        <f t="shared" si="383"/>
        <v>0</v>
      </c>
      <c r="I111" s="134">
        <f>'бюджет округа (района)'!E111+'бюджеты поселений'!E111</f>
        <v>0</v>
      </c>
      <c r="J111" s="137">
        <f>'бюджет округа (района)'!E111</f>
        <v>0</v>
      </c>
      <c r="K111" s="134">
        <f>'бюджет округа (района)'!F111+'бюджеты поселений'!F111</f>
        <v>0</v>
      </c>
      <c r="L111" s="137">
        <f>'бюджет округа (района)'!F111</f>
        <v>0</v>
      </c>
      <c r="M111" s="137">
        <f t="shared" si="384"/>
        <v>0</v>
      </c>
      <c r="N111" s="137">
        <f t="shared" si="385"/>
        <v>0</v>
      </c>
      <c r="O111" s="134">
        <f>'бюджет округа (района)'!H111+'бюджеты поселений'!H111</f>
        <v>0</v>
      </c>
      <c r="P111" s="137">
        <f>'бюджет округа (района)'!H111</f>
        <v>0</v>
      </c>
      <c r="Q111" s="137">
        <f t="shared" si="386"/>
        <v>0</v>
      </c>
      <c r="R111" s="137">
        <f t="shared" si="387"/>
        <v>0</v>
      </c>
      <c r="S111" s="134">
        <f>'бюджет округа (района)'!J111+'бюджеты поселений'!J111</f>
        <v>0</v>
      </c>
      <c r="T111" s="137">
        <f>'бюджет округа (района)'!J111</f>
        <v>0</v>
      </c>
      <c r="U111" s="137">
        <f t="shared" si="388"/>
        <v>0</v>
      </c>
      <c r="V111" s="137">
        <f t="shared" si="389"/>
        <v>0</v>
      </c>
      <c r="W111" s="134">
        <f>'бюджет округа (района)'!L111+'бюджеты поселений'!L111</f>
        <v>0</v>
      </c>
      <c r="X111" s="137">
        <f>'бюджет округа (района)'!L111</f>
        <v>0</v>
      </c>
      <c r="Y111" s="137">
        <f t="shared" si="390"/>
        <v>0</v>
      </c>
      <c r="Z111" s="137">
        <f t="shared" si="391"/>
        <v>0</v>
      </c>
      <c r="AA111" s="134">
        <f>'бюджет округа (района)'!N111+'бюджеты поселений'!N111</f>
        <v>0</v>
      </c>
      <c r="AB111" s="137">
        <f>'бюджет округа (района)'!N111</f>
        <v>0</v>
      </c>
      <c r="AC111" s="137">
        <f t="shared" si="392"/>
        <v>0</v>
      </c>
      <c r="AD111" s="137">
        <f t="shared" si="393"/>
        <v>0</v>
      </c>
      <c r="AE111" s="134">
        <f>'бюджет округа (района)'!P111+'бюджеты поселений'!P111</f>
        <v>0</v>
      </c>
      <c r="AF111" s="137">
        <f>'бюджет округа (района)'!P111</f>
        <v>0</v>
      </c>
      <c r="AG111" s="137">
        <f t="shared" si="394"/>
        <v>0</v>
      </c>
      <c r="AH111" s="137">
        <f t="shared" si="395"/>
        <v>0</v>
      </c>
      <c r="AI111" s="134">
        <f>'бюджет округа (района)'!R111+'бюджеты поселений'!R111</f>
        <v>0</v>
      </c>
      <c r="AJ111" s="137">
        <f>'бюджет округа (района)'!R111</f>
        <v>0</v>
      </c>
      <c r="AK111" s="137">
        <f t="shared" si="396"/>
        <v>0</v>
      </c>
      <c r="AL111" s="137">
        <f t="shared" si="397"/>
        <v>0</v>
      </c>
      <c r="AM111" s="134">
        <f>'бюджет округа (района)'!T111+'бюджеты поселений'!T111</f>
        <v>0</v>
      </c>
      <c r="AN111" s="137">
        <f>'бюджет округа (района)'!T111</f>
        <v>0</v>
      </c>
      <c r="AO111" s="137">
        <f t="shared" si="398"/>
        <v>0</v>
      </c>
      <c r="AP111" s="137">
        <f t="shared" si="399"/>
        <v>0</v>
      </c>
      <c r="AQ111" s="134">
        <f>'бюджет округа (района)'!V111+'бюджеты поселений'!V111</f>
        <v>0</v>
      </c>
      <c r="AR111" s="137">
        <f>'бюджет округа (района)'!V111</f>
        <v>0</v>
      </c>
      <c r="AS111" s="137">
        <f t="shared" si="400"/>
        <v>0</v>
      </c>
      <c r="AT111" s="137">
        <f t="shared" si="401"/>
        <v>0</v>
      </c>
      <c r="AU111" s="134">
        <f>'бюджет округа (района)'!X111+'бюджеты поселений'!X111</f>
        <v>0</v>
      </c>
      <c r="AV111" s="137">
        <f>'бюджет округа (района)'!X111</f>
        <v>0</v>
      </c>
      <c r="AW111" s="137">
        <f t="shared" si="402"/>
        <v>0</v>
      </c>
      <c r="AX111" s="137">
        <f t="shared" si="403"/>
        <v>0</v>
      </c>
      <c r="AY111" s="134">
        <f>'бюджет округа (района)'!Z111+'бюджеты поселений'!Z111</f>
        <v>0</v>
      </c>
      <c r="AZ111" s="137">
        <f>'бюджет округа (района)'!Z111</f>
        <v>0</v>
      </c>
      <c r="BA111" s="134">
        <f>'бюджет округа (района)'!AA111+'бюджеты поселений'!AA111</f>
        <v>0</v>
      </c>
      <c r="BB111" s="137">
        <f>'бюджет округа (района)'!AA111</f>
        <v>0</v>
      </c>
      <c r="BC111" s="135">
        <f t="shared" si="404"/>
        <v>1</v>
      </c>
      <c r="BD111" s="135">
        <f t="shared" si="405"/>
        <v>1</v>
      </c>
      <c r="BE111" s="134">
        <f>'бюджет округа (района)'!AC111+'бюджеты поселений'!AC111</f>
        <v>0</v>
      </c>
      <c r="BF111" s="137">
        <f>'бюджет округа (района)'!AC111</f>
        <v>0</v>
      </c>
      <c r="BG111" s="134">
        <f>'бюджет округа (района)'!AD111+'бюджеты поселений'!AD111</f>
        <v>0</v>
      </c>
      <c r="BH111" s="137">
        <f>'бюджет округа (района)'!AD111</f>
        <v>0</v>
      </c>
      <c r="BI111" s="137">
        <f t="shared" si="406"/>
        <v>0</v>
      </c>
      <c r="BJ111" s="137">
        <f t="shared" si="407"/>
        <v>0</v>
      </c>
      <c r="BK111" s="135">
        <f t="shared" si="408"/>
        <v>1</v>
      </c>
      <c r="BL111" s="135">
        <f t="shared" si="409"/>
        <v>1</v>
      </c>
      <c r="BM111" s="134">
        <f>'бюджет округа (района)'!AG111+'бюджеты поселений'!AG111</f>
        <v>0</v>
      </c>
      <c r="BN111" s="137">
        <f>'бюджет округа (района)'!AG111</f>
        <v>0</v>
      </c>
      <c r="BO111" s="137">
        <f t="shared" si="410"/>
        <v>0</v>
      </c>
      <c r="BP111" s="137">
        <f t="shared" si="411"/>
        <v>0</v>
      </c>
      <c r="BQ111" s="135">
        <f t="shared" si="412"/>
        <v>1</v>
      </c>
      <c r="BR111" s="135">
        <f t="shared" si="413"/>
        <v>1</v>
      </c>
      <c r="BS111" s="134">
        <f>'бюджет округа (района)'!AJ111+'бюджеты поселений'!AJ111</f>
        <v>0</v>
      </c>
      <c r="BT111" s="137">
        <f>'бюджет округа (района)'!AJ111</f>
        <v>0</v>
      </c>
      <c r="BU111" s="137">
        <f t="shared" si="414"/>
        <v>0</v>
      </c>
      <c r="BV111" s="137">
        <f t="shared" si="415"/>
        <v>0</v>
      </c>
      <c r="BW111" s="135">
        <f t="shared" si="416"/>
        <v>1</v>
      </c>
      <c r="BX111" s="135">
        <f t="shared" si="417"/>
        <v>1</v>
      </c>
      <c r="BY111" s="134">
        <f>'бюджет округа (района)'!AM111+'бюджеты поселений'!AM111</f>
        <v>0</v>
      </c>
      <c r="BZ111" s="137">
        <f>'бюджет округа (района)'!AM111</f>
        <v>0</v>
      </c>
      <c r="CA111" s="137">
        <f t="shared" si="418"/>
        <v>0</v>
      </c>
      <c r="CB111" s="137">
        <f t="shared" si="419"/>
        <v>0</v>
      </c>
      <c r="CC111" s="135">
        <f t="shared" si="420"/>
        <v>1</v>
      </c>
      <c r="CD111" s="135">
        <f t="shared" si="421"/>
        <v>1</v>
      </c>
      <c r="CE111" s="134">
        <f>'бюджет округа (района)'!AP111+'бюджеты поселений'!AP111</f>
        <v>0</v>
      </c>
      <c r="CF111" s="137">
        <f>'бюджет округа (района)'!AP111</f>
        <v>0</v>
      </c>
      <c r="CG111" s="137">
        <f t="shared" si="422"/>
        <v>0</v>
      </c>
      <c r="CH111" s="137">
        <f t="shared" si="423"/>
        <v>0</v>
      </c>
      <c r="CI111" s="135">
        <f t="shared" si="424"/>
        <v>1</v>
      </c>
      <c r="CJ111" s="135">
        <f t="shared" si="425"/>
        <v>1</v>
      </c>
      <c r="CK111" s="134">
        <f>'бюджет округа (района)'!AS111+'бюджеты поселений'!AS111</f>
        <v>0</v>
      </c>
      <c r="CL111" s="137">
        <f>'бюджет округа (района)'!AS111</f>
        <v>0</v>
      </c>
      <c r="CM111" s="137">
        <f t="shared" si="426"/>
        <v>0</v>
      </c>
      <c r="CN111" s="137">
        <f t="shared" si="427"/>
        <v>0</v>
      </c>
      <c r="CO111" s="135">
        <f t="shared" si="428"/>
        <v>1</v>
      </c>
      <c r="CP111" s="135">
        <f t="shared" si="429"/>
        <v>1</v>
      </c>
      <c r="CQ111" s="134">
        <f>'бюджет округа (района)'!AV111+'бюджеты поселений'!AV111</f>
        <v>0</v>
      </c>
      <c r="CR111" s="137">
        <f>'бюджет округа (района)'!AV111</f>
        <v>0</v>
      </c>
      <c r="CS111" s="137">
        <f t="shared" si="430"/>
        <v>0</v>
      </c>
      <c r="CT111" s="137">
        <f t="shared" si="431"/>
        <v>0</v>
      </c>
      <c r="CU111" s="135">
        <f t="shared" si="432"/>
        <v>1</v>
      </c>
      <c r="CV111" s="135">
        <f t="shared" si="433"/>
        <v>1</v>
      </c>
      <c r="CW111" s="134">
        <f>'бюджет округа (района)'!AY111+'бюджеты поселений'!AY111</f>
        <v>0</v>
      </c>
      <c r="CX111" s="137">
        <f>'бюджет округа (района)'!AY111</f>
        <v>0</v>
      </c>
      <c r="CY111" s="137">
        <f t="shared" si="434"/>
        <v>0</v>
      </c>
      <c r="CZ111" s="137">
        <f t="shared" si="435"/>
        <v>0</v>
      </c>
      <c r="DA111" s="135">
        <f t="shared" si="436"/>
        <v>1</v>
      </c>
      <c r="DB111" s="135">
        <f t="shared" si="437"/>
        <v>1</v>
      </c>
      <c r="DC111" s="134">
        <f>'бюджет округа (района)'!BB111+'бюджеты поселений'!BB111</f>
        <v>0</v>
      </c>
      <c r="DD111" s="137">
        <f>'бюджет округа (района)'!BB111</f>
        <v>0</v>
      </c>
      <c r="DE111" s="137">
        <f t="shared" si="438"/>
        <v>0</v>
      </c>
      <c r="DF111" s="137">
        <f t="shared" si="439"/>
        <v>0</v>
      </c>
      <c r="DG111" s="135">
        <f t="shared" si="440"/>
        <v>1</v>
      </c>
      <c r="DH111" s="135">
        <f t="shared" si="441"/>
        <v>1</v>
      </c>
      <c r="DI111" s="134">
        <f>'бюджет округа (района)'!BE111+'бюджеты поселений'!BE111</f>
        <v>0</v>
      </c>
      <c r="DJ111" s="137">
        <f>'бюджет округа (района)'!BE111</f>
        <v>0</v>
      </c>
      <c r="DK111" s="137">
        <f t="shared" si="442"/>
        <v>0</v>
      </c>
      <c r="DL111" s="137">
        <f t="shared" si="443"/>
        <v>0</v>
      </c>
      <c r="DM111" s="135">
        <f t="shared" si="444"/>
        <v>1</v>
      </c>
      <c r="DN111" s="135">
        <f t="shared" si="445"/>
        <v>1</v>
      </c>
      <c r="DO111" s="134">
        <f>'бюджет округа (района)'!BH111+'бюджеты поселений'!BH111</f>
        <v>0</v>
      </c>
      <c r="DP111" s="137">
        <f>'бюджет округа (района)'!BH111</f>
        <v>0</v>
      </c>
      <c r="DQ111" s="134">
        <f>'бюджет округа (района)'!BI111+'бюджеты поселений'!BI111</f>
        <v>0</v>
      </c>
      <c r="DR111" s="137">
        <f>'бюджет округа (района)'!BI111</f>
        <v>0</v>
      </c>
      <c r="DS111" s="134">
        <f>'бюджет округа (района)'!BJ111+'бюджеты поселений'!BJ111</f>
        <v>0</v>
      </c>
      <c r="DT111" s="137">
        <f>'бюджет округа (района)'!BJ111</f>
        <v>0</v>
      </c>
      <c r="DU111" s="135">
        <f t="shared" si="446"/>
        <v>1</v>
      </c>
      <c r="DV111" s="135">
        <f t="shared" si="447"/>
        <v>1</v>
      </c>
      <c r="DW111" s="135">
        <f t="shared" si="448"/>
        <v>1</v>
      </c>
      <c r="DX111" s="197">
        <f t="shared" si="449"/>
        <v>1</v>
      </c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  <c r="GY111" s="105"/>
      <c r="GZ111" s="105"/>
      <c r="HA111" s="105"/>
      <c r="HB111" s="105"/>
      <c r="HC111" s="105"/>
      <c r="HD111" s="105"/>
      <c r="HE111" s="105"/>
      <c r="HF111" s="105"/>
      <c r="HG111" s="105"/>
      <c r="HH111" s="105"/>
      <c r="HI111" s="105"/>
      <c r="HJ111" s="105"/>
      <c r="HK111" s="105"/>
      <c r="HL111" s="105"/>
      <c r="HM111" s="105"/>
      <c r="HN111" s="105"/>
      <c r="HO111" s="105"/>
      <c r="HP111" s="105"/>
      <c r="HQ111" s="105"/>
      <c r="HR111" s="105"/>
      <c r="HS111" s="105"/>
      <c r="HT111" s="105"/>
      <c r="HU111" s="105"/>
      <c r="HV111" s="105"/>
      <c r="HW111" s="105"/>
      <c r="HX111" s="105"/>
      <c r="HY111" s="105"/>
      <c r="HZ111" s="105"/>
      <c r="IA111" s="105"/>
      <c r="IB111" s="105"/>
      <c r="IC111" s="105"/>
      <c r="ID111" s="105"/>
      <c r="IE111" s="105"/>
      <c r="IF111" s="105"/>
      <c r="IG111" s="105"/>
      <c r="IH111" s="105"/>
      <c r="II111" s="105"/>
      <c r="IJ111" s="105"/>
      <c r="IK111" s="105"/>
      <c r="IL111" s="105"/>
      <c r="IM111" s="105"/>
      <c r="IN111" s="105"/>
      <c r="IO111" s="105"/>
      <c r="IP111" s="105"/>
      <c r="IQ111" s="105"/>
      <c r="IR111" s="105"/>
      <c r="IS111" s="105"/>
      <c r="IT111" s="105"/>
      <c r="IU111" s="105"/>
      <c r="IV111" s="105"/>
      <c r="IW111" s="105"/>
      <c r="IX111" s="105"/>
      <c r="IY111" s="105"/>
      <c r="IZ111" s="105"/>
      <c r="JA111" s="105"/>
      <c r="JB111" s="105"/>
      <c r="JC111" s="105"/>
      <c r="JD111" s="105"/>
      <c r="JE111" s="105"/>
      <c r="JF111" s="105"/>
      <c r="JG111" s="105"/>
      <c r="JH111" s="105"/>
    </row>
    <row r="112" spans="1:268" s="106" customFormat="1" ht="18" hidden="1" customHeight="1">
      <c r="A112" s="349"/>
      <c r="B112" s="293"/>
      <c r="C112" s="134">
        <f>'бюджет округа (района)'!A112+'бюджеты поселений'!A112</f>
        <v>0</v>
      </c>
      <c r="D112" s="137">
        <f>'бюджет округа (района)'!A112</f>
        <v>0</v>
      </c>
      <c r="E112" s="134">
        <f>'бюджет округа (района)'!C112+'бюджеты поселений'!C112</f>
        <v>0</v>
      </c>
      <c r="F112" s="137">
        <f>'бюджет округа (района)'!C112</f>
        <v>0</v>
      </c>
      <c r="G112" s="134">
        <f t="shared" si="382"/>
        <v>0</v>
      </c>
      <c r="H112" s="137">
        <f t="shared" si="383"/>
        <v>0</v>
      </c>
      <c r="I112" s="134">
        <f>'бюджет округа (района)'!E112+'бюджеты поселений'!E112</f>
        <v>0</v>
      </c>
      <c r="J112" s="137">
        <f>'бюджет округа (района)'!E112</f>
        <v>0</v>
      </c>
      <c r="K112" s="134">
        <f>'бюджет округа (района)'!F112+'бюджеты поселений'!F112</f>
        <v>0</v>
      </c>
      <c r="L112" s="137">
        <f>'бюджет округа (района)'!F112</f>
        <v>0</v>
      </c>
      <c r="M112" s="137">
        <f t="shared" si="384"/>
        <v>0</v>
      </c>
      <c r="N112" s="137">
        <f t="shared" si="385"/>
        <v>0</v>
      </c>
      <c r="O112" s="134">
        <f>'бюджет округа (района)'!H112+'бюджеты поселений'!H112</f>
        <v>0</v>
      </c>
      <c r="P112" s="137">
        <f>'бюджет округа (района)'!H112</f>
        <v>0</v>
      </c>
      <c r="Q112" s="137">
        <f t="shared" si="386"/>
        <v>0</v>
      </c>
      <c r="R112" s="137">
        <f t="shared" si="387"/>
        <v>0</v>
      </c>
      <c r="S112" s="134">
        <f>'бюджет округа (района)'!J112+'бюджеты поселений'!J112</f>
        <v>0</v>
      </c>
      <c r="T112" s="137">
        <f>'бюджет округа (района)'!J112</f>
        <v>0</v>
      </c>
      <c r="U112" s="137">
        <f t="shared" si="388"/>
        <v>0</v>
      </c>
      <c r="V112" s="137">
        <f t="shared" si="389"/>
        <v>0</v>
      </c>
      <c r="W112" s="134">
        <f>'бюджет округа (района)'!L112+'бюджеты поселений'!L112</f>
        <v>0</v>
      </c>
      <c r="X112" s="137">
        <f>'бюджет округа (района)'!L112</f>
        <v>0</v>
      </c>
      <c r="Y112" s="137">
        <f t="shared" si="390"/>
        <v>0</v>
      </c>
      <c r="Z112" s="137">
        <f t="shared" si="391"/>
        <v>0</v>
      </c>
      <c r="AA112" s="134">
        <f>'бюджет округа (района)'!N112+'бюджеты поселений'!N112</f>
        <v>0</v>
      </c>
      <c r="AB112" s="137">
        <f>'бюджет округа (района)'!N112</f>
        <v>0</v>
      </c>
      <c r="AC112" s="137">
        <f t="shared" si="392"/>
        <v>0</v>
      </c>
      <c r="AD112" s="137">
        <f t="shared" si="393"/>
        <v>0</v>
      </c>
      <c r="AE112" s="134">
        <f>'бюджет округа (района)'!P112+'бюджеты поселений'!P112</f>
        <v>0</v>
      </c>
      <c r="AF112" s="137">
        <f>'бюджет округа (района)'!P112</f>
        <v>0</v>
      </c>
      <c r="AG112" s="137">
        <f t="shared" si="394"/>
        <v>0</v>
      </c>
      <c r="AH112" s="137">
        <f t="shared" si="395"/>
        <v>0</v>
      </c>
      <c r="AI112" s="134">
        <f>'бюджет округа (района)'!R112+'бюджеты поселений'!R112</f>
        <v>0</v>
      </c>
      <c r="AJ112" s="137">
        <f>'бюджет округа (района)'!R112</f>
        <v>0</v>
      </c>
      <c r="AK112" s="137">
        <f t="shared" si="396"/>
        <v>0</v>
      </c>
      <c r="AL112" s="137">
        <f t="shared" si="397"/>
        <v>0</v>
      </c>
      <c r="AM112" s="134">
        <f>'бюджет округа (района)'!T112+'бюджеты поселений'!T112</f>
        <v>0</v>
      </c>
      <c r="AN112" s="137">
        <f>'бюджет округа (района)'!T112</f>
        <v>0</v>
      </c>
      <c r="AO112" s="137">
        <f t="shared" si="398"/>
        <v>0</v>
      </c>
      <c r="AP112" s="137">
        <f t="shared" si="399"/>
        <v>0</v>
      </c>
      <c r="AQ112" s="134">
        <f>'бюджет округа (района)'!V112+'бюджеты поселений'!V112</f>
        <v>0</v>
      </c>
      <c r="AR112" s="137">
        <f>'бюджет округа (района)'!V112</f>
        <v>0</v>
      </c>
      <c r="AS112" s="137">
        <f t="shared" si="400"/>
        <v>0</v>
      </c>
      <c r="AT112" s="137">
        <f t="shared" si="401"/>
        <v>0</v>
      </c>
      <c r="AU112" s="134">
        <f>'бюджет округа (района)'!X112+'бюджеты поселений'!X112</f>
        <v>0</v>
      </c>
      <c r="AV112" s="137">
        <f>'бюджет округа (района)'!X112</f>
        <v>0</v>
      </c>
      <c r="AW112" s="137">
        <f t="shared" si="402"/>
        <v>0</v>
      </c>
      <c r="AX112" s="137">
        <f t="shared" si="403"/>
        <v>0</v>
      </c>
      <c r="AY112" s="134">
        <f>'бюджет округа (района)'!Z112+'бюджеты поселений'!Z112</f>
        <v>0</v>
      </c>
      <c r="AZ112" s="137">
        <f>'бюджет округа (района)'!Z112</f>
        <v>0</v>
      </c>
      <c r="BA112" s="134">
        <f>'бюджет округа (района)'!AA112+'бюджеты поселений'!AA112</f>
        <v>0</v>
      </c>
      <c r="BB112" s="137">
        <f>'бюджет округа (района)'!AA112</f>
        <v>0</v>
      </c>
      <c r="BC112" s="135">
        <f t="shared" si="404"/>
        <v>1</v>
      </c>
      <c r="BD112" s="135">
        <f t="shared" si="405"/>
        <v>1</v>
      </c>
      <c r="BE112" s="134">
        <f>'бюджет округа (района)'!AC112+'бюджеты поселений'!AC112</f>
        <v>0</v>
      </c>
      <c r="BF112" s="137">
        <f>'бюджет округа (района)'!AC112</f>
        <v>0</v>
      </c>
      <c r="BG112" s="134">
        <f>'бюджет округа (района)'!AD112+'бюджеты поселений'!AD112</f>
        <v>0</v>
      </c>
      <c r="BH112" s="137">
        <f>'бюджет округа (района)'!AD112</f>
        <v>0</v>
      </c>
      <c r="BI112" s="137">
        <f t="shared" si="406"/>
        <v>0</v>
      </c>
      <c r="BJ112" s="137">
        <f t="shared" si="407"/>
        <v>0</v>
      </c>
      <c r="BK112" s="135">
        <f t="shared" si="408"/>
        <v>1</v>
      </c>
      <c r="BL112" s="135">
        <f t="shared" si="409"/>
        <v>1</v>
      </c>
      <c r="BM112" s="134">
        <f>'бюджет округа (района)'!AG112+'бюджеты поселений'!AG112</f>
        <v>0</v>
      </c>
      <c r="BN112" s="137">
        <f>'бюджет округа (района)'!AG112</f>
        <v>0</v>
      </c>
      <c r="BO112" s="137">
        <f t="shared" si="410"/>
        <v>0</v>
      </c>
      <c r="BP112" s="137">
        <f t="shared" si="411"/>
        <v>0</v>
      </c>
      <c r="BQ112" s="135">
        <f t="shared" si="412"/>
        <v>1</v>
      </c>
      <c r="BR112" s="135">
        <f t="shared" si="413"/>
        <v>1</v>
      </c>
      <c r="BS112" s="134">
        <f>'бюджет округа (района)'!AJ112+'бюджеты поселений'!AJ112</f>
        <v>0</v>
      </c>
      <c r="BT112" s="137">
        <f>'бюджет округа (района)'!AJ112</f>
        <v>0</v>
      </c>
      <c r="BU112" s="137">
        <f t="shared" si="414"/>
        <v>0</v>
      </c>
      <c r="BV112" s="137">
        <f t="shared" si="415"/>
        <v>0</v>
      </c>
      <c r="BW112" s="135">
        <f t="shared" si="416"/>
        <v>1</v>
      </c>
      <c r="BX112" s="135">
        <f t="shared" si="417"/>
        <v>1</v>
      </c>
      <c r="BY112" s="134">
        <f>'бюджет округа (района)'!AM112+'бюджеты поселений'!AM112</f>
        <v>0</v>
      </c>
      <c r="BZ112" s="137">
        <f>'бюджет округа (района)'!AM112</f>
        <v>0</v>
      </c>
      <c r="CA112" s="137">
        <f t="shared" si="418"/>
        <v>0</v>
      </c>
      <c r="CB112" s="137">
        <f t="shared" si="419"/>
        <v>0</v>
      </c>
      <c r="CC112" s="135">
        <f t="shared" si="420"/>
        <v>1</v>
      </c>
      <c r="CD112" s="135">
        <f t="shared" si="421"/>
        <v>1</v>
      </c>
      <c r="CE112" s="134">
        <f>'бюджет округа (района)'!AP112+'бюджеты поселений'!AP112</f>
        <v>0</v>
      </c>
      <c r="CF112" s="137">
        <f>'бюджет округа (района)'!AP112</f>
        <v>0</v>
      </c>
      <c r="CG112" s="137">
        <f t="shared" si="422"/>
        <v>0</v>
      </c>
      <c r="CH112" s="137">
        <f t="shared" si="423"/>
        <v>0</v>
      </c>
      <c r="CI112" s="135">
        <f t="shared" si="424"/>
        <v>1</v>
      </c>
      <c r="CJ112" s="135">
        <f t="shared" si="425"/>
        <v>1</v>
      </c>
      <c r="CK112" s="134">
        <f>'бюджет округа (района)'!AS112+'бюджеты поселений'!AS112</f>
        <v>0</v>
      </c>
      <c r="CL112" s="137">
        <f>'бюджет округа (района)'!AS112</f>
        <v>0</v>
      </c>
      <c r="CM112" s="137">
        <f t="shared" si="426"/>
        <v>0</v>
      </c>
      <c r="CN112" s="137">
        <f t="shared" si="427"/>
        <v>0</v>
      </c>
      <c r="CO112" s="135">
        <f t="shared" si="428"/>
        <v>1</v>
      </c>
      <c r="CP112" s="135">
        <f t="shared" si="429"/>
        <v>1</v>
      </c>
      <c r="CQ112" s="134">
        <f>'бюджет округа (района)'!AV112+'бюджеты поселений'!AV112</f>
        <v>0</v>
      </c>
      <c r="CR112" s="137">
        <f>'бюджет округа (района)'!AV112</f>
        <v>0</v>
      </c>
      <c r="CS112" s="137">
        <f t="shared" si="430"/>
        <v>0</v>
      </c>
      <c r="CT112" s="137">
        <f t="shared" si="431"/>
        <v>0</v>
      </c>
      <c r="CU112" s="135">
        <f t="shared" si="432"/>
        <v>1</v>
      </c>
      <c r="CV112" s="135">
        <f t="shared" si="433"/>
        <v>1</v>
      </c>
      <c r="CW112" s="134">
        <f>'бюджет округа (района)'!AY112+'бюджеты поселений'!AY112</f>
        <v>0</v>
      </c>
      <c r="CX112" s="137">
        <f>'бюджет округа (района)'!AY112</f>
        <v>0</v>
      </c>
      <c r="CY112" s="137">
        <f t="shared" si="434"/>
        <v>0</v>
      </c>
      <c r="CZ112" s="137">
        <f t="shared" si="435"/>
        <v>0</v>
      </c>
      <c r="DA112" s="135">
        <f t="shared" si="436"/>
        <v>1</v>
      </c>
      <c r="DB112" s="135">
        <f t="shared" si="437"/>
        <v>1</v>
      </c>
      <c r="DC112" s="134">
        <f>'бюджет округа (района)'!BB112+'бюджеты поселений'!BB112</f>
        <v>0</v>
      </c>
      <c r="DD112" s="137">
        <f>'бюджет округа (района)'!BB112</f>
        <v>0</v>
      </c>
      <c r="DE112" s="137">
        <f t="shared" si="438"/>
        <v>0</v>
      </c>
      <c r="DF112" s="137">
        <f t="shared" si="439"/>
        <v>0</v>
      </c>
      <c r="DG112" s="135">
        <f t="shared" si="440"/>
        <v>1</v>
      </c>
      <c r="DH112" s="135">
        <f t="shared" si="441"/>
        <v>1</v>
      </c>
      <c r="DI112" s="134">
        <f>'бюджет округа (района)'!BE112+'бюджеты поселений'!BE112</f>
        <v>0</v>
      </c>
      <c r="DJ112" s="137">
        <f>'бюджет округа (района)'!BE112</f>
        <v>0</v>
      </c>
      <c r="DK112" s="137">
        <f t="shared" si="442"/>
        <v>0</v>
      </c>
      <c r="DL112" s="137">
        <f t="shared" si="443"/>
        <v>0</v>
      </c>
      <c r="DM112" s="135">
        <f t="shared" si="444"/>
        <v>1</v>
      </c>
      <c r="DN112" s="135">
        <f t="shared" si="445"/>
        <v>1</v>
      </c>
      <c r="DO112" s="134">
        <f>'бюджет округа (района)'!BH112+'бюджеты поселений'!BH112</f>
        <v>0</v>
      </c>
      <c r="DP112" s="137">
        <f>'бюджет округа (района)'!BH112</f>
        <v>0</v>
      </c>
      <c r="DQ112" s="134">
        <f>'бюджет округа (района)'!BI112+'бюджеты поселений'!BI112</f>
        <v>0</v>
      </c>
      <c r="DR112" s="137">
        <f>'бюджет округа (района)'!BI112</f>
        <v>0</v>
      </c>
      <c r="DS112" s="134">
        <f>'бюджет округа (района)'!BJ112+'бюджеты поселений'!BJ112</f>
        <v>0</v>
      </c>
      <c r="DT112" s="137">
        <f>'бюджет округа (района)'!BJ112</f>
        <v>0</v>
      </c>
      <c r="DU112" s="135">
        <f t="shared" si="446"/>
        <v>1</v>
      </c>
      <c r="DV112" s="135">
        <f t="shared" si="447"/>
        <v>1</v>
      </c>
      <c r="DW112" s="135">
        <f t="shared" si="448"/>
        <v>1</v>
      </c>
      <c r="DX112" s="197">
        <f t="shared" si="449"/>
        <v>1</v>
      </c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  <c r="GY112" s="105"/>
      <c r="GZ112" s="105"/>
      <c r="HA112" s="105"/>
      <c r="HB112" s="105"/>
      <c r="HC112" s="105"/>
      <c r="HD112" s="105"/>
      <c r="HE112" s="105"/>
      <c r="HF112" s="105"/>
      <c r="HG112" s="105"/>
      <c r="HH112" s="105"/>
      <c r="HI112" s="105"/>
      <c r="HJ112" s="105"/>
      <c r="HK112" s="105"/>
      <c r="HL112" s="105"/>
      <c r="HM112" s="105"/>
      <c r="HN112" s="105"/>
      <c r="HO112" s="105"/>
      <c r="HP112" s="105"/>
      <c r="HQ112" s="105"/>
      <c r="HR112" s="105"/>
      <c r="HS112" s="105"/>
      <c r="HT112" s="105"/>
      <c r="HU112" s="105"/>
      <c r="HV112" s="105"/>
      <c r="HW112" s="105"/>
      <c r="HX112" s="105"/>
      <c r="HY112" s="105"/>
      <c r="HZ112" s="105"/>
      <c r="IA112" s="105"/>
      <c r="IB112" s="105"/>
      <c r="IC112" s="105"/>
      <c r="ID112" s="105"/>
      <c r="IE112" s="105"/>
      <c r="IF112" s="105"/>
      <c r="IG112" s="105"/>
      <c r="IH112" s="105"/>
      <c r="II112" s="105"/>
      <c r="IJ112" s="105"/>
      <c r="IK112" s="105"/>
      <c r="IL112" s="105"/>
      <c r="IM112" s="105"/>
      <c r="IN112" s="105"/>
      <c r="IO112" s="105"/>
      <c r="IP112" s="105"/>
      <c r="IQ112" s="105"/>
      <c r="IR112" s="105"/>
      <c r="IS112" s="105"/>
      <c r="IT112" s="105"/>
      <c r="IU112" s="105"/>
      <c r="IV112" s="105"/>
      <c r="IW112" s="105"/>
      <c r="IX112" s="105"/>
      <c r="IY112" s="105"/>
      <c r="IZ112" s="105"/>
      <c r="JA112" s="105"/>
      <c r="JB112" s="105"/>
      <c r="JC112" s="105"/>
      <c r="JD112" s="105"/>
      <c r="JE112" s="105"/>
      <c r="JF112" s="105"/>
      <c r="JG112" s="105"/>
      <c r="JH112" s="105"/>
    </row>
    <row r="113" spans="1:268" s="160" customFormat="1" ht="53.25" customHeight="1">
      <c r="A113" s="346"/>
      <c r="B113" s="295"/>
      <c r="C113" s="289" t="s">
        <v>211</v>
      </c>
      <c r="D113" s="289"/>
      <c r="E113" s="289" t="s">
        <v>213</v>
      </c>
      <c r="F113" s="289"/>
      <c r="G113" s="289" t="s">
        <v>247</v>
      </c>
      <c r="H113" s="289"/>
      <c r="I113" s="288" t="s">
        <v>69</v>
      </c>
      <c r="J113" s="288"/>
      <c r="K113" s="288" t="s">
        <v>70</v>
      </c>
      <c r="L113" s="288"/>
      <c r="M113" s="285" t="s">
        <v>151</v>
      </c>
      <c r="N113" s="285"/>
      <c r="O113" s="288" t="s">
        <v>14</v>
      </c>
      <c r="P113" s="288"/>
      <c r="Q113" s="285" t="s">
        <v>151</v>
      </c>
      <c r="R113" s="285"/>
      <c r="S113" s="288" t="s">
        <v>137</v>
      </c>
      <c r="T113" s="288"/>
      <c r="U113" s="285" t="s">
        <v>151</v>
      </c>
      <c r="V113" s="285"/>
      <c r="W113" s="288" t="s">
        <v>138</v>
      </c>
      <c r="X113" s="288"/>
      <c r="Y113" s="285" t="s">
        <v>151</v>
      </c>
      <c r="Z113" s="285"/>
      <c r="AA113" s="288" t="s">
        <v>83</v>
      </c>
      <c r="AB113" s="288"/>
      <c r="AC113" s="285" t="s">
        <v>151</v>
      </c>
      <c r="AD113" s="285"/>
      <c r="AE113" s="288" t="s">
        <v>84</v>
      </c>
      <c r="AF113" s="288"/>
      <c r="AG113" s="285" t="s">
        <v>151</v>
      </c>
      <c r="AH113" s="285"/>
      <c r="AI113" s="288" t="s">
        <v>85</v>
      </c>
      <c r="AJ113" s="288"/>
      <c r="AK113" s="285" t="s">
        <v>151</v>
      </c>
      <c r="AL113" s="285"/>
      <c r="AM113" s="288" t="s">
        <v>86</v>
      </c>
      <c r="AN113" s="288"/>
      <c r="AO113" s="285" t="s">
        <v>151</v>
      </c>
      <c r="AP113" s="285"/>
      <c r="AQ113" s="288" t="s">
        <v>87</v>
      </c>
      <c r="AR113" s="288"/>
      <c r="AS113" s="285" t="s">
        <v>151</v>
      </c>
      <c r="AT113" s="285"/>
      <c r="AU113" s="288" t="s">
        <v>88</v>
      </c>
      <c r="AV113" s="288"/>
      <c r="AW113" s="285" t="s">
        <v>151</v>
      </c>
      <c r="AX113" s="285"/>
      <c r="AY113" s="289" t="str">
        <f>G113</f>
        <v>на 01.01.2023 года</v>
      </c>
      <c r="AZ113" s="289"/>
      <c r="BA113" s="289" t="s">
        <v>254</v>
      </c>
      <c r="BB113" s="289"/>
      <c r="BC113" s="285" t="str">
        <f>BC7</f>
        <v>Темп роста (снижения) к исполнено за отчетный год, %</v>
      </c>
      <c r="BD113" s="285"/>
      <c r="BE113" s="288" t="s">
        <v>69</v>
      </c>
      <c r="BF113" s="288"/>
      <c r="BG113" s="288" t="s">
        <v>70</v>
      </c>
      <c r="BH113" s="288"/>
      <c r="BI113" s="285" t="s">
        <v>152</v>
      </c>
      <c r="BJ113" s="285"/>
      <c r="BK113" s="285" t="str">
        <f>BK8</f>
        <v>Темп роста (снижения) к исполнено за отчетный год, %</v>
      </c>
      <c r="BL113" s="285"/>
      <c r="BM113" s="288" t="s">
        <v>14</v>
      </c>
      <c r="BN113" s="288"/>
      <c r="BO113" s="285" t="s">
        <v>152</v>
      </c>
      <c r="BP113" s="285"/>
      <c r="BQ113" s="285" t="str">
        <f>BQ8</f>
        <v>Темп роста (снижения) к исполнено за отчетный год, %</v>
      </c>
      <c r="BR113" s="285"/>
      <c r="BS113" s="288" t="s">
        <v>81</v>
      </c>
      <c r="BT113" s="288"/>
      <c r="BU113" s="285" t="s">
        <v>152</v>
      </c>
      <c r="BV113" s="285"/>
      <c r="BW113" s="285" t="str">
        <f>BW8</f>
        <v>Темп роста (снижения) к исполнено за отчетный год, %</v>
      </c>
      <c r="BX113" s="285"/>
      <c r="BY113" s="288" t="s">
        <v>82</v>
      </c>
      <c r="BZ113" s="288"/>
      <c r="CA113" s="285" t="s">
        <v>152</v>
      </c>
      <c r="CB113" s="285"/>
      <c r="CC113" s="285" t="str">
        <f>CC8</f>
        <v>Темп роста (снижения) к исполнено за отчетный год, %</v>
      </c>
      <c r="CD113" s="285"/>
      <c r="CE113" s="288" t="s">
        <v>83</v>
      </c>
      <c r="CF113" s="288"/>
      <c r="CG113" s="285" t="s">
        <v>152</v>
      </c>
      <c r="CH113" s="285"/>
      <c r="CI113" s="285" t="str">
        <f>CI8</f>
        <v>Темп роста (снижения) к исполнено за отчетный год, %</v>
      </c>
      <c r="CJ113" s="285"/>
      <c r="CK113" s="288" t="s">
        <v>84</v>
      </c>
      <c r="CL113" s="288"/>
      <c r="CM113" s="285" t="s">
        <v>152</v>
      </c>
      <c r="CN113" s="285"/>
      <c r="CO113" s="285" t="str">
        <f>CO8</f>
        <v>Темп роста (снижения) к исполнено за отчетный год, %</v>
      </c>
      <c r="CP113" s="285"/>
      <c r="CQ113" s="288" t="s">
        <v>85</v>
      </c>
      <c r="CR113" s="288"/>
      <c r="CS113" s="285" t="s">
        <v>152</v>
      </c>
      <c r="CT113" s="285"/>
      <c r="CU113" s="285" t="str">
        <f>CU8</f>
        <v>Темп роста (снижения) к исполнено за отчетный год, %</v>
      </c>
      <c r="CV113" s="285"/>
      <c r="CW113" s="288" t="s">
        <v>86</v>
      </c>
      <c r="CX113" s="288"/>
      <c r="CY113" s="285" t="s">
        <v>152</v>
      </c>
      <c r="CZ113" s="285"/>
      <c r="DA113" s="285" t="str">
        <f>DA8</f>
        <v>Темп роста (снижения) к исполнено за отчетный год, %</v>
      </c>
      <c r="DB113" s="285"/>
      <c r="DC113" s="288" t="s">
        <v>87</v>
      </c>
      <c r="DD113" s="288"/>
      <c r="DE113" s="285" t="s">
        <v>152</v>
      </c>
      <c r="DF113" s="285"/>
      <c r="DG113" s="285" t="str">
        <f>DG8</f>
        <v>Темп роста (снижения) к исполнено за отчетный год, %</v>
      </c>
      <c r="DH113" s="285"/>
      <c r="DI113" s="288" t="s">
        <v>88</v>
      </c>
      <c r="DJ113" s="288"/>
      <c r="DK113" s="285" t="s">
        <v>152</v>
      </c>
      <c r="DL113" s="285"/>
      <c r="DM113" s="285" t="s">
        <v>177</v>
      </c>
      <c r="DN113" s="285"/>
      <c r="DO113" s="285" t="str">
        <f>BA113</f>
        <v>на 01.04.2023 года</v>
      </c>
      <c r="DP113" s="285"/>
      <c r="DQ113" s="285" t="str">
        <f>DQ8</f>
        <v>Ожидаемый прогноз на __________ (указывается месяц, в котором поступило обращение)</v>
      </c>
      <c r="DR113" s="285"/>
      <c r="DS113" s="289" t="s">
        <v>251</v>
      </c>
      <c r="DT113" s="289"/>
      <c r="DU113" s="285" t="s">
        <v>176</v>
      </c>
      <c r="DV113" s="285"/>
      <c r="DW113" s="289" t="s">
        <v>213</v>
      </c>
      <c r="DX113" s="372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</row>
    <row r="114" spans="1:268" s="18" customFormat="1" ht="16.5">
      <c r="A114" s="350" t="s">
        <v>153</v>
      </c>
      <c r="B114" s="287"/>
      <c r="C114" s="17">
        <f>C115+C116+C117</f>
        <v>60183</v>
      </c>
      <c r="D114" s="17">
        <f t="shared" ref="D114" si="450">D115+D116+D117</f>
        <v>53200</v>
      </c>
      <c r="E114" s="17">
        <f>E115+E116+E117</f>
        <v>60200</v>
      </c>
      <c r="F114" s="17">
        <f t="shared" ref="F114:H114" si="451">F115+F116+F117</f>
        <v>55000</v>
      </c>
      <c r="G114" s="17">
        <f t="shared" si="451"/>
        <v>68577</v>
      </c>
      <c r="H114" s="17">
        <f t="shared" si="451"/>
        <v>68577</v>
      </c>
      <c r="I114" s="17">
        <f>'бюджет округа (района)'!E114+'бюджеты поселений'!E114</f>
        <v>0</v>
      </c>
      <c r="J114" s="17">
        <f>'бюджет округа (района)'!E114</f>
        <v>0</v>
      </c>
      <c r="K114" s="17">
        <f>'бюджет округа (района)'!F114+'бюджеты поселений'!F114</f>
        <v>0</v>
      </c>
      <c r="L114" s="17">
        <f>'бюджет округа (района)'!F114</f>
        <v>0</v>
      </c>
      <c r="M114" s="17">
        <f>K114-$E114</f>
        <v>-60200</v>
      </c>
      <c r="N114" s="17">
        <f>L114-$F114</f>
        <v>-55000</v>
      </c>
      <c r="O114" s="17">
        <f>'бюджет округа (района)'!H114+'бюджеты поселений'!H114</f>
        <v>0</v>
      </c>
      <c r="P114" s="17">
        <f>'бюджет округа (района)'!H114</f>
        <v>0</v>
      </c>
      <c r="Q114" s="17">
        <f>O114-$E114</f>
        <v>-60200</v>
      </c>
      <c r="R114" s="17">
        <f>P114-$F114</f>
        <v>-55000</v>
      </c>
      <c r="S114" s="17">
        <f>'бюджет округа (района)'!J114+'бюджеты поселений'!J114</f>
        <v>0</v>
      </c>
      <c r="T114" s="17">
        <f>'бюджет округа (района)'!J114</f>
        <v>0</v>
      </c>
      <c r="U114" s="17">
        <f>S114-$E114</f>
        <v>-60200</v>
      </c>
      <c r="V114" s="17">
        <f>T114-$F114</f>
        <v>-55000</v>
      </c>
      <c r="W114" s="17">
        <f>'бюджет округа (района)'!L114+'бюджеты поселений'!L114</f>
        <v>0</v>
      </c>
      <c r="X114" s="17">
        <f>'бюджет округа (района)'!L114</f>
        <v>0</v>
      </c>
      <c r="Y114" s="17">
        <f>W114-$E114</f>
        <v>-60200</v>
      </c>
      <c r="Z114" s="17">
        <f>X114-$F114</f>
        <v>-55000</v>
      </c>
      <c r="AA114" s="17">
        <f>'бюджет округа (района)'!N114+'бюджеты поселений'!N114</f>
        <v>0</v>
      </c>
      <c r="AB114" s="17">
        <f>'бюджет округа (района)'!N114</f>
        <v>0</v>
      </c>
      <c r="AC114" s="17">
        <f>AA114-$E114</f>
        <v>-60200</v>
      </c>
      <c r="AD114" s="17">
        <f>AB114-$F114</f>
        <v>-55000</v>
      </c>
      <c r="AE114" s="17">
        <f>'бюджет округа (района)'!P114+'бюджеты поселений'!P114</f>
        <v>0</v>
      </c>
      <c r="AF114" s="17">
        <f>'бюджет округа (района)'!P114</f>
        <v>0</v>
      </c>
      <c r="AG114" s="17">
        <f>AE114-$E114</f>
        <v>-60200</v>
      </c>
      <c r="AH114" s="17">
        <f>AF114-$F114</f>
        <v>-55000</v>
      </c>
      <c r="AI114" s="17">
        <f>'бюджет округа (района)'!R114+'бюджеты поселений'!R114</f>
        <v>0</v>
      </c>
      <c r="AJ114" s="17">
        <f>'бюджет округа (района)'!R114</f>
        <v>0</v>
      </c>
      <c r="AK114" s="17">
        <f>AI114-$E114</f>
        <v>-60200</v>
      </c>
      <c r="AL114" s="17">
        <f>AJ114-$F114</f>
        <v>-55000</v>
      </c>
      <c r="AM114" s="17">
        <f>'бюджет округа (района)'!T114+'бюджеты поселений'!T114</f>
        <v>0</v>
      </c>
      <c r="AN114" s="17">
        <f>'бюджет округа (района)'!T114</f>
        <v>0</v>
      </c>
      <c r="AO114" s="17">
        <f>AM114-$E114</f>
        <v>-60200</v>
      </c>
      <c r="AP114" s="17">
        <f>AN114-$F114</f>
        <v>-55000</v>
      </c>
      <c r="AQ114" s="17">
        <f>'бюджет округа (района)'!V114+'бюджеты поселений'!V114</f>
        <v>0</v>
      </c>
      <c r="AR114" s="17">
        <f>'бюджет округа (района)'!V114</f>
        <v>0</v>
      </c>
      <c r="AS114" s="17">
        <f>AQ114-$E114</f>
        <v>-60200</v>
      </c>
      <c r="AT114" s="17">
        <f>AR114-$F114</f>
        <v>-55000</v>
      </c>
      <c r="AU114" s="17">
        <f>'бюджет округа (района)'!X114+'бюджеты поселений'!X114</f>
        <v>0</v>
      </c>
      <c r="AV114" s="17">
        <f>'бюджет округа (района)'!X114</f>
        <v>0</v>
      </c>
      <c r="AW114" s="17">
        <f>G114-E114</f>
        <v>8377</v>
      </c>
      <c r="AX114" s="17">
        <f>H114-F114</f>
        <v>13577</v>
      </c>
      <c r="AY114" s="17">
        <f>'бюджет округа (района)'!Z114+'бюджеты поселений'!Z114</f>
        <v>0</v>
      </c>
      <c r="AZ114" s="17">
        <f>'бюджет округа (района)'!Z114</f>
        <v>0</v>
      </c>
      <c r="BA114" s="17">
        <f t="shared" ref="BA114" si="452">BA115+BA116+BA117</f>
        <v>66834</v>
      </c>
      <c r="BB114" s="17">
        <f t="shared" ref="BB114" si="453">BB115+BB116+BB117</f>
        <v>0</v>
      </c>
      <c r="BC114" s="131">
        <f t="shared" ref="BC114" si="454">IF(G114=0,1,BA114/G114-1)</f>
        <v>-2.5416684894352337E-2</v>
      </c>
      <c r="BD114" s="131">
        <f t="shared" ref="BD114" si="455">IF(H114=0,1,BB114/H114-1)</f>
        <v>-1</v>
      </c>
      <c r="BE114" s="17">
        <f>'бюджет округа (района)'!AC114+'бюджеты поселений'!AC114</f>
        <v>0</v>
      </c>
      <c r="BF114" s="17">
        <f>'бюджет округа (района)'!AC114</f>
        <v>0</v>
      </c>
      <c r="BG114" s="17">
        <f>'бюджет округа (района)'!AD114+'бюджеты поселений'!AD114</f>
        <v>0</v>
      </c>
      <c r="BH114" s="17">
        <f>'бюджет округа (района)'!AD114</f>
        <v>0</v>
      </c>
      <c r="BI114" s="17">
        <f>BG114-$G114</f>
        <v>-68577</v>
      </c>
      <c r="BJ114" s="17">
        <f>BH114-$H114</f>
        <v>-68577</v>
      </c>
      <c r="BK114" s="131">
        <f t="shared" ref="BK114" si="456">IF(M114=0,1,BI114/M114-1)</f>
        <v>0.13915282392026573</v>
      </c>
      <c r="BL114" s="131">
        <f t="shared" ref="BL114" si="457">IF(N114=0,1,BJ114/N114-1)</f>
        <v>0.24685454545454544</v>
      </c>
      <c r="BM114" s="17">
        <f>'бюджет округа (района)'!AG114+'бюджеты поселений'!AG114</f>
        <v>0</v>
      </c>
      <c r="BN114" s="17">
        <f>'бюджет округа (района)'!AG114</f>
        <v>0</v>
      </c>
      <c r="BO114" s="17">
        <f>BM114-$G114</f>
        <v>-68577</v>
      </c>
      <c r="BP114" s="17">
        <f>BN114-$H114</f>
        <v>-68577</v>
      </c>
      <c r="BQ114" s="131">
        <f t="shared" ref="BQ114" si="458">IF(Q114=0,1,BO114/Q114-1)</f>
        <v>0.13915282392026573</v>
      </c>
      <c r="BR114" s="131">
        <f t="shared" ref="BR114" si="459">IF(R114=0,1,BP114/R114-1)</f>
        <v>0.24685454545454544</v>
      </c>
      <c r="BS114" s="17">
        <f>'бюджет округа (района)'!AJ114+'бюджеты поселений'!AJ114</f>
        <v>0</v>
      </c>
      <c r="BT114" s="17">
        <f>'бюджет округа (района)'!AJ114</f>
        <v>0</v>
      </c>
      <c r="BU114" s="17">
        <f>BS114-$G114</f>
        <v>-68577</v>
      </c>
      <c r="BV114" s="17">
        <f>BT114-$H114</f>
        <v>-68577</v>
      </c>
      <c r="BW114" s="131">
        <f t="shared" ref="BW114" si="460">IF(U114=0,1,BU114/U114-1)</f>
        <v>0.13915282392026573</v>
      </c>
      <c r="BX114" s="131">
        <f t="shared" ref="BX114" si="461">IF(V114=0,1,BV114/V114-1)</f>
        <v>0.24685454545454544</v>
      </c>
      <c r="BY114" s="17">
        <f>'бюджет округа (района)'!AM114+'бюджеты поселений'!AM114</f>
        <v>0</v>
      </c>
      <c r="BZ114" s="17">
        <f>'бюджет округа (района)'!AM114</f>
        <v>0</v>
      </c>
      <c r="CA114" s="17">
        <f>BY114-$G114</f>
        <v>-68577</v>
      </c>
      <c r="CB114" s="17">
        <f>BZ114-$H114</f>
        <v>-68577</v>
      </c>
      <c r="CC114" s="131">
        <f t="shared" ref="CC114" si="462">IF(Y114=0,1,CA114/Y114-1)</f>
        <v>0.13915282392026573</v>
      </c>
      <c r="CD114" s="131">
        <f t="shared" ref="CD114" si="463">IF(Z114=0,1,CB114/Z114-1)</f>
        <v>0.24685454545454544</v>
      </c>
      <c r="CE114" s="17">
        <f>'бюджет округа (района)'!AP114+'бюджеты поселений'!AP114</f>
        <v>0</v>
      </c>
      <c r="CF114" s="17">
        <f>'бюджет округа (района)'!AP114</f>
        <v>0</v>
      </c>
      <c r="CG114" s="17">
        <f>CE114-$G114</f>
        <v>-68577</v>
      </c>
      <c r="CH114" s="17">
        <f>CF114-$H114</f>
        <v>-68577</v>
      </c>
      <c r="CI114" s="131">
        <f t="shared" ref="CI114" si="464">IF(AC114=0,1,CG114/AC114-1)</f>
        <v>0.13915282392026573</v>
      </c>
      <c r="CJ114" s="131">
        <f t="shared" ref="CJ114" si="465">IF(AD114=0,1,CH114/AD114-1)</f>
        <v>0.24685454545454544</v>
      </c>
      <c r="CK114" s="17">
        <f>'бюджет округа (района)'!AS114+'бюджеты поселений'!AS114</f>
        <v>0</v>
      </c>
      <c r="CL114" s="17">
        <f>'бюджет округа (района)'!AS114</f>
        <v>0</v>
      </c>
      <c r="CM114" s="17">
        <f>CK114-$G114</f>
        <v>-68577</v>
      </c>
      <c r="CN114" s="17">
        <f>CL114-$H114</f>
        <v>-68577</v>
      </c>
      <c r="CO114" s="131">
        <f t="shared" ref="CO114" si="466">IF(AG114=0,1,CM114/AG114-1)</f>
        <v>0.13915282392026573</v>
      </c>
      <c r="CP114" s="131">
        <f t="shared" ref="CP114" si="467">IF(AH114=0,1,CN114/AH114-1)</f>
        <v>0.24685454545454544</v>
      </c>
      <c r="CQ114" s="17">
        <f>'бюджет округа (района)'!AV114+'бюджеты поселений'!AV114</f>
        <v>0</v>
      </c>
      <c r="CR114" s="17">
        <f>'бюджет округа (района)'!AV114</f>
        <v>0</v>
      </c>
      <c r="CS114" s="17">
        <f>CQ114-$G114</f>
        <v>-68577</v>
      </c>
      <c r="CT114" s="17">
        <f>CR114-$H114</f>
        <v>-68577</v>
      </c>
      <c r="CU114" s="131">
        <f t="shared" ref="CU114" si="468">IF(AK114=0,1,CS114/AK114-1)</f>
        <v>0.13915282392026573</v>
      </c>
      <c r="CV114" s="131">
        <f t="shared" ref="CV114" si="469">IF(AL114=0,1,CT114/AL114-1)</f>
        <v>0.24685454545454544</v>
      </c>
      <c r="CW114" s="17">
        <f>'бюджет округа (района)'!AY114+'бюджеты поселений'!AY114</f>
        <v>0</v>
      </c>
      <c r="CX114" s="17">
        <f>'бюджет округа (района)'!AY114</f>
        <v>0</v>
      </c>
      <c r="CY114" s="17">
        <f>CW114-$G114</f>
        <v>-68577</v>
      </c>
      <c r="CZ114" s="17">
        <f>CX114-$H114</f>
        <v>-68577</v>
      </c>
      <c r="DA114" s="131">
        <f t="shared" ref="DA114" si="470">IF(AO114=0,1,CY114/AO114-1)</f>
        <v>0.13915282392026573</v>
      </c>
      <c r="DB114" s="131">
        <f t="shared" ref="DB114" si="471">IF(AP114=0,1,CZ114/AP114-1)</f>
        <v>0.24685454545454544</v>
      </c>
      <c r="DC114" s="17">
        <f>'бюджет округа (района)'!BB114+'бюджеты поселений'!BB114</f>
        <v>0</v>
      </c>
      <c r="DD114" s="17">
        <f>'бюджет округа (района)'!BB114</f>
        <v>0</v>
      </c>
      <c r="DE114" s="17">
        <f>DC114-$G114</f>
        <v>-68577</v>
      </c>
      <c r="DF114" s="17">
        <f>DD114-$H114</f>
        <v>-68577</v>
      </c>
      <c r="DG114" s="131">
        <f t="shared" ref="DG114" si="472">IF(AS114=0,1,DE114/AS114-1)</f>
        <v>0.13915282392026573</v>
      </c>
      <c r="DH114" s="131">
        <f t="shared" ref="DH114" si="473">IF(AT114=0,1,DF114/AT114-1)</f>
        <v>0.24685454545454544</v>
      </c>
      <c r="DI114" s="17">
        <f>'бюджет округа (района)'!BE114+'бюджеты поселений'!BE114</f>
        <v>0</v>
      </c>
      <c r="DJ114" s="17">
        <f>'бюджет округа (района)'!BE114</f>
        <v>0</v>
      </c>
      <c r="DK114" s="17">
        <f>BA114-G114</f>
        <v>-1743</v>
      </c>
      <c r="DL114" s="17">
        <f>BB114-H114</f>
        <v>-68577</v>
      </c>
      <c r="DM114" s="131">
        <f>IF(G114=0,1,BA114/G114-1)</f>
        <v>-2.5416684894352337E-2</v>
      </c>
      <c r="DN114" s="131">
        <f>IF(H114=0,1,BB114/H114-1)</f>
        <v>-1</v>
      </c>
      <c r="DO114" s="17">
        <f>'бюджет округа (района)'!BH114+'бюджеты поселений'!BH114</f>
        <v>0</v>
      </c>
      <c r="DP114" s="17">
        <f>'бюджет округа (района)'!BH114</f>
        <v>0</v>
      </c>
      <c r="DQ114" s="17">
        <f>'бюджет округа (района)'!BI114+'бюджеты поселений'!BI114</f>
        <v>0</v>
      </c>
      <c r="DR114" s="17">
        <f>'бюджет округа (района)'!BI114</f>
        <v>0</v>
      </c>
      <c r="DS114" s="17">
        <f t="shared" ref="DS114" si="474">DS115+DS116+DS117</f>
        <v>80286</v>
      </c>
      <c r="DT114" s="17">
        <f t="shared" ref="DT114" si="475">DT115+DT116+DT117</f>
        <v>0</v>
      </c>
      <c r="DU114" s="131">
        <f>IF(BA114=0,1,DS114/BA114-1)</f>
        <v>0.20127480025136912</v>
      </c>
      <c r="DV114" s="131">
        <f>IF(BB114=0,1,DT114/BB114-1)</f>
        <v>1</v>
      </c>
      <c r="DW114" s="131" t="s">
        <v>51</v>
      </c>
      <c r="DX114" s="196" t="s">
        <v>51</v>
      </c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  <c r="IW114" s="22"/>
      <c r="IX114" s="22"/>
      <c r="IY114" s="22"/>
      <c r="IZ114" s="22"/>
      <c r="JA114" s="22"/>
      <c r="JB114" s="22"/>
      <c r="JC114" s="22"/>
      <c r="JD114" s="22"/>
      <c r="JE114" s="22"/>
      <c r="JF114" s="22"/>
      <c r="JG114" s="22"/>
      <c r="JH114" s="22"/>
    </row>
    <row r="115" spans="1:268" s="64" customFormat="1" ht="16.5">
      <c r="A115" s="266" t="s">
        <v>154</v>
      </c>
      <c r="B115" s="261"/>
      <c r="C115" s="239">
        <v>9983</v>
      </c>
      <c r="D115" s="239">
        <v>8200</v>
      </c>
      <c r="E115" s="239">
        <v>5407</v>
      </c>
      <c r="F115" s="239">
        <v>5407</v>
      </c>
      <c r="G115" s="239">
        <v>23577</v>
      </c>
      <c r="H115" s="239">
        <v>23577</v>
      </c>
      <c r="I115" s="239"/>
      <c r="J115" s="239"/>
      <c r="K115" s="239"/>
      <c r="L115" s="239"/>
      <c r="M115" s="239">
        <f t="shared" ref="M115:M117" si="476">K115-$E115</f>
        <v>-5407</v>
      </c>
      <c r="N115" s="239">
        <f t="shared" ref="N115:N117" si="477">L115-$F115</f>
        <v>-5407</v>
      </c>
      <c r="O115" s="239"/>
      <c r="P115" s="239"/>
      <c r="Q115" s="239">
        <f>O115-$E115</f>
        <v>-5407</v>
      </c>
      <c r="R115" s="239">
        <f t="shared" ref="R115:R117" si="478">P115-$F115</f>
        <v>-5407</v>
      </c>
      <c r="S115" s="239"/>
      <c r="T115" s="239"/>
      <c r="U115" s="239">
        <f>S115-$E115</f>
        <v>-5407</v>
      </c>
      <c r="V115" s="239">
        <f t="shared" ref="V115:V117" si="479">T115-$F115</f>
        <v>-5407</v>
      </c>
      <c r="W115" s="239"/>
      <c r="X115" s="239"/>
      <c r="Y115" s="239">
        <f>W115-$E115</f>
        <v>-5407</v>
      </c>
      <c r="Z115" s="239">
        <f t="shared" ref="Z115:Z117" si="480">X115-$F115</f>
        <v>-5407</v>
      </c>
      <c r="AA115" s="239"/>
      <c r="AB115" s="239"/>
      <c r="AC115" s="239">
        <f>AA115-$E115</f>
        <v>-5407</v>
      </c>
      <c r="AD115" s="239">
        <f t="shared" ref="AD115:AD117" si="481">AB115-$F115</f>
        <v>-5407</v>
      </c>
      <c r="AE115" s="239"/>
      <c r="AF115" s="239"/>
      <c r="AG115" s="239">
        <f>AE115-$E115</f>
        <v>-5407</v>
      </c>
      <c r="AH115" s="239">
        <f t="shared" ref="AH115:AH117" si="482">AF115-$F115</f>
        <v>-5407</v>
      </c>
      <c r="AI115" s="239"/>
      <c r="AJ115" s="239"/>
      <c r="AK115" s="239">
        <f>AI115-$E115</f>
        <v>-5407</v>
      </c>
      <c r="AL115" s="239">
        <f t="shared" ref="AL115:AL117" si="483">AJ115-$F115</f>
        <v>-5407</v>
      </c>
      <c r="AM115" s="239"/>
      <c r="AN115" s="239"/>
      <c r="AO115" s="239">
        <f>AM115-$E115</f>
        <v>-5407</v>
      </c>
      <c r="AP115" s="239">
        <f t="shared" ref="AP115:AP117" si="484">AN115-$F115</f>
        <v>-5407</v>
      </c>
      <c r="AQ115" s="239"/>
      <c r="AR115" s="239"/>
      <c r="AS115" s="239">
        <f>AQ115-$E115</f>
        <v>-5407</v>
      </c>
      <c r="AT115" s="239">
        <f t="shared" ref="AT115:AT117" si="485">AR115-$F115</f>
        <v>-5407</v>
      </c>
      <c r="AU115" s="239"/>
      <c r="AV115" s="239"/>
      <c r="AW115" s="239">
        <f>G115-E115</f>
        <v>18170</v>
      </c>
      <c r="AX115" s="239">
        <f t="shared" ref="AX115:AX118" si="486">H115-F115</f>
        <v>18170</v>
      </c>
      <c r="AY115" s="239"/>
      <c r="AZ115" s="239"/>
      <c r="BA115" s="239">
        <v>21834</v>
      </c>
      <c r="BB115" s="239">
        <v>0</v>
      </c>
      <c r="BC115" s="135"/>
      <c r="BD115" s="135"/>
      <c r="BE115" s="239"/>
      <c r="BF115" s="239"/>
      <c r="BG115" s="239"/>
      <c r="BH115" s="239"/>
      <c r="BI115" s="239">
        <f>BG115-$G115</f>
        <v>-23577</v>
      </c>
      <c r="BJ115" s="239">
        <f t="shared" ref="BJ115:BJ117" si="487">BH115-$H115</f>
        <v>-23577</v>
      </c>
      <c r="BK115" s="135">
        <f t="shared" ref="BK115:BK117" si="488">IF(M115=0,1,BI115/M115-1)</f>
        <v>3.3604586646939154</v>
      </c>
      <c r="BL115" s="135">
        <f t="shared" ref="BL115:BL117" si="489">IF(N115=0,1,BJ115/N115-1)</f>
        <v>3.3604586646939154</v>
      </c>
      <c r="BM115" s="239"/>
      <c r="BN115" s="239"/>
      <c r="BO115" s="239">
        <f>BM115-$G115</f>
        <v>-23577</v>
      </c>
      <c r="BP115" s="239">
        <f t="shared" ref="BP115:BP117" si="490">BN115-$H115</f>
        <v>-23577</v>
      </c>
      <c r="BQ115" s="135">
        <f t="shared" ref="BQ115:BQ117" si="491">IF(S115=0,1,BO115/S115-1)</f>
        <v>1</v>
      </c>
      <c r="BR115" s="135">
        <f t="shared" ref="BR115:BR117" si="492">IF(T115=0,1,BP115/T115-1)</f>
        <v>1</v>
      </c>
      <c r="BS115" s="239"/>
      <c r="BT115" s="239"/>
      <c r="BU115" s="239">
        <f>BS115-$G115</f>
        <v>-23577</v>
      </c>
      <c r="BV115" s="239">
        <f t="shared" ref="BV115:BV117" si="493">BT115-$H115</f>
        <v>-23577</v>
      </c>
      <c r="BW115" s="135">
        <f t="shared" ref="BW115:BW117" si="494">IF(Y115=0,1,BU115/Y115-1)</f>
        <v>3.3604586646939154</v>
      </c>
      <c r="BX115" s="135">
        <f t="shared" ref="BX115:BX117" si="495">IF(Z115=0,1,BV115/Z115-1)</f>
        <v>3.3604586646939154</v>
      </c>
      <c r="BY115" s="239"/>
      <c r="BZ115" s="239"/>
      <c r="CA115" s="239">
        <f>BY115-$G115</f>
        <v>-23577</v>
      </c>
      <c r="CB115" s="239">
        <f t="shared" ref="CB115:CB117" si="496">BZ115-$H115</f>
        <v>-23577</v>
      </c>
      <c r="CC115" s="135">
        <f t="shared" ref="CC115:CC117" si="497">IF(AE115=0,1,CA115/AE115-1)</f>
        <v>1</v>
      </c>
      <c r="CD115" s="135">
        <f t="shared" ref="CD115:CD117" si="498">IF(AF115=0,1,CB115/AF115-1)</f>
        <v>1</v>
      </c>
      <c r="CE115" s="239"/>
      <c r="CF115" s="239"/>
      <c r="CG115" s="239">
        <f>CE115-$G115</f>
        <v>-23577</v>
      </c>
      <c r="CH115" s="239">
        <f t="shared" ref="CH115:CH117" si="499">CF115-$H115</f>
        <v>-23577</v>
      </c>
      <c r="CI115" s="135">
        <f t="shared" ref="CI115:CI117" si="500">IF(AK115=0,1,CG115/AK115-1)</f>
        <v>3.3604586646939154</v>
      </c>
      <c r="CJ115" s="135">
        <f t="shared" ref="CJ115:CJ117" si="501">IF(AL115=0,1,CH115/AL115-1)</f>
        <v>3.3604586646939154</v>
      </c>
      <c r="CK115" s="239"/>
      <c r="CL115" s="239"/>
      <c r="CM115" s="239">
        <f>CK115-$G115</f>
        <v>-23577</v>
      </c>
      <c r="CN115" s="239">
        <f t="shared" ref="CN115:CN117" si="502">CL115-$H115</f>
        <v>-23577</v>
      </c>
      <c r="CO115" s="135">
        <f t="shared" ref="CO115:CO117" si="503">IF(AQ115=0,1,CM115/AQ115-1)</f>
        <v>1</v>
      </c>
      <c r="CP115" s="135">
        <f t="shared" ref="CP115:CP117" si="504">IF(AR115=0,1,CN115/AR115-1)</f>
        <v>1</v>
      </c>
      <c r="CQ115" s="239"/>
      <c r="CR115" s="239"/>
      <c r="CS115" s="239">
        <f>CQ115-$G115</f>
        <v>-23577</v>
      </c>
      <c r="CT115" s="239">
        <f t="shared" ref="CT115:CT117" si="505">CR115-$H115</f>
        <v>-23577</v>
      </c>
      <c r="CU115" s="135">
        <f t="shared" ref="CU115:CU117" si="506">IF(AW115=0,1,CS115/AW115-1)</f>
        <v>-2.297578425976885</v>
      </c>
      <c r="CV115" s="135">
        <f t="shared" ref="CV115:CV117" si="507">IF(AX115=0,1,CT115/AX115-1)</f>
        <v>-2.297578425976885</v>
      </c>
      <c r="CW115" s="239"/>
      <c r="CX115" s="239"/>
      <c r="CY115" s="239">
        <f>CW115-$G115</f>
        <v>-23577</v>
      </c>
      <c r="CZ115" s="239">
        <f t="shared" ref="CZ115:CZ117" si="508">CX115-$H115</f>
        <v>-23577</v>
      </c>
      <c r="DA115" s="135">
        <f t="shared" ref="DA115:DA117" si="509">IF(BC115=0,1,CY115/BC115-1)</f>
        <v>1</v>
      </c>
      <c r="DB115" s="135">
        <f t="shared" ref="DB115:DB117" si="510">IF(BD115=0,1,CZ115/BD115-1)</f>
        <v>1</v>
      </c>
      <c r="DC115" s="239"/>
      <c r="DD115" s="239"/>
      <c r="DE115" s="239">
        <f>DC115-$G115</f>
        <v>-23577</v>
      </c>
      <c r="DF115" s="239">
        <f t="shared" ref="DF115:DF117" si="511">DD115-$H115</f>
        <v>-23577</v>
      </c>
      <c r="DG115" s="135">
        <f t="shared" ref="DG115:DG117" si="512">IF(BI115=0,1,DE115/BI115-1)</f>
        <v>0</v>
      </c>
      <c r="DH115" s="135">
        <f t="shared" ref="DH115:DH117" si="513">IF(BJ115=0,1,DF115/BJ115-1)</f>
        <v>0</v>
      </c>
      <c r="DI115" s="239"/>
      <c r="DJ115" s="239"/>
      <c r="DK115" s="239">
        <f>BA115-G115</f>
        <v>-1743</v>
      </c>
      <c r="DL115" s="239">
        <f t="shared" ref="DL115:DL118" si="514">BB115-H115</f>
        <v>-23577</v>
      </c>
      <c r="DM115" s="135">
        <f>IF(G115=0,1,BA115/G115)</f>
        <v>0.92607201934088301</v>
      </c>
      <c r="DN115" s="135">
        <f>IF(H115=0,1,BB115/H115)</f>
        <v>0</v>
      </c>
      <c r="DO115" s="239"/>
      <c r="DP115" s="239"/>
      <c r="DQ115" s="239"/>
      <c r="DR115" s="239"/>
      <c r="DS115" s="239">
        <v>16607</v>
      </c>
      <c r="DT115" s="239">
        <v>0</v>
      </c>
      <c r="DU115" s="135">
        <f t="shared" ref="DU115:DV118" si="515">IF(BA115=0,1,DS115/BA115)</f>
        <v>0.76060272968764309</v>
      </c>
      <c r="DV115" s="135">
        <f t="shared" si="515"/>
        <v>1</v>
      </c>
      <c r="DW115" s="135" t="s">
        <v>51</v>
      </c>
      <c r="DX115" s="197" t="s">
        <v>51</v>
      </c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  <c r="GY115" s="63"/>
      <c r="GZ115" s="63"/>
      <c r="HA115" s="63"/>
      <c r="HB115" s="63"/>
      <c r="HC115" s="63"/>
      <c r="HD115" s="63"/>
      <c r="HE115" s="63"/>
      <c r="HF115" s="63"/>
      <c r="HG115" s="63"/>
      <c r="HH115" s="63"/>
      <c r="HI115" s="63"/>
      <c r="HJ115" s="63"/>
      <c r="HK115" s="63"/>
      <c r="HL115" s="63"/>
      <c r="HM115" s="63"/>
      <c r="HN115" s="63"/>
      <c r="HO115" s="63"/>
      <c r="HP115" s="63"/>
      <c r="HQ115" s="63"/>
      <c r="HR115" s="63"/>
      <c r="HS115" s="63"/>
      <c r="HT115" s="63"/>
      <c r="HU115" s="63"/>
      <c r="HV115" s="63"/>
      <c r="HW115" s="63"/>
      <c r="HX115" s="63"/>
      <c r="HY115" s="63"/>
      <c r="HZ115" s="63"/>
      <c r="IA115" s="63"/>
      <c r="IB115" s="63"/>
      <c r="IC115" s="63"/>
      <c r="ID115" s="63"/>
      <c r="IE115" s="63"/>
      <c r="IF115" s="63"/>
      <c r="IG115" s="63"/>
      <c r="IH115" s="63"/>
      <c r="II115" s="63"/>
      <c r="IJ115" s="63"/>
      <c r="IK115" s="63"/>
      <c r="IL115" s="63"/>
      <c r="IM115" s="63"/>
      <c r="IN115" s="63"/>
      <c r="IO115" s="63"/>
      <c r="IP115" s="63"/>
      <c r="IQ115" s="63"/>
      <c r="IR115" s="63"/>
      <c r="IS115" s="63"/>
      <c r="IT115" s="63"/>
      <c r="IU115" s="63"/>
      <c r="IV115" s="63"/>
      <c r="IW115" s="63"/>
      <c r="IX115" s="63"/>
      <c r="IY115" s="63"/>
      <c r="IZ115" s="63"/>
      <c r="JA115" s="63"/>
      <c r="JB115" s="63"/>
      <c r="JC115" s="63"/>
      <c r="JD115" s="63"/>
      <c r="JE115" s="63"/>
      <c r="JF115" s="63"/>
      <c r="JG115" s="63"/>
      <c r="JH115" s="63"/>
    </row>
    <row r="116" spans="1:268" s="64" customFormat="1" ht="33">
      <c r="A116" s="266" t="s">
        <v>155</v>
      </c>
      <c r="B116" s="261"/>
      <c r="C116" s="239">
        <v>50200</v>
      </c>
      <c r="D116" s="239">
        <v>45000</v>
      </c>
      <c r="E116" s="239">
        <v>54793</v>
      </c>
      <c r="F116" s="239">
        <v>49593</v>
      </c>
      <c r="G116" s="239">
        <v>45000</v>
      </c>
      <c r="H116" s="239">
        <v>45000</v>
      </c>
      <c r="I116" s="239"/>
      <c r="J116" s="239"/>
      <c r="K116" s="239"/>
      <c r="L116" s="239"/>
      <c r="M116" s="239">
        <f>K116-$E116</f>
        <v>-54793</v>
      </c>
      <c r="N116" s="239">
        <f t="shared" si="477"/>
        <v>-49593</v>
      </c>
      <c r="O116" s="239"/>
      <c r="P116" s="239"/>
      <c r="Q116" s="239">
        <f>O116-$E116</f>
        <v>-54793</v>
      </c>
      <c r="R116" s="239">
        <f t="shared" si="478"/>
        <v>-49593</v>
      </c>
      <c r="S116" s="239"/>
      <c r="T116" s="239"/>
      <c r="U116" s="239">
        <f>S116-$E116</f>
        <v>-54793</v>
      </c>
      <c r="V116" s="239">
        <f t="shared" si="479"/>
        <v>-49593</v>
      </c>
      <c r="W116" s="239"/>
      <c r="X116" s="239"/>
      <c r="Y116" s="239">
        <f>W116-$E116</f>
        <v>-54793</v>
      </c>
      <c r="Z116" s="239">
        <f t="shared" si="480"/>
        <v>-49593</v>
      </c>
      <c r="AA116" s="239"/>
      <c r="AB116" s="239"/>
      <c r="AC116" s="239">
        <f>AA116-$E116</f>
        <v>-54793</v>
      </c>
      <c r="AD116" s="239">
        <f t="shared" si="481"/>
        <v>-49593</v>
      </c>
      <c r="AE116" s="239"/>
      <c r="AF116" s="239"/>
      <c r="AG116" s="239">
        <f>AE116-$E116</f>
        <v>-54793</v>
      </c>
      <c r="AH116" s="239">
        <f t="shared" si="482"/>
        <v>-49593</v>
      </c>
      <c r="AI116" s="239"/>
      <c r="AJ116" s="239"/>
      <c r="AK116" s="239">
        <f>AI116-$E116</f>
        <v>-54793</v>
      </c>
      <c r="AL116" s="239">
        <f t="shared" si="483"/>
        <v>-49593</v>
      </c>
      <c r="AM116" s="239"/>
      <c r="AN116" s="239"/>
      <c r="AO116" s="239">
        <f>AM116-$E116</f>
        <v>-54793</v>
      </c>
      <c r="AP116" s="239">
        <f t="shared" si="484"/>
        <v>-49593</v>
      </c>
      <c r="AQ116" s="239"/>
      <c r="AR116" s="239"/>
      <c r="AS116" s="239">
        <f>AQ116-$E116</f>
        <v>-54793</v>
      </c>
      <c r="AT116" s="239">
        <f t="shared" si="485"/>
        <v>-49593</v>
      </c>
      <c r="AU116" s="239"/>
      <c r="AV116" s="239"/>
      <c r="AW116" s="239">
        <f t="shared" ref="AW116:AW118" si="516">G116-E116</f>
        <v>-9793</v>
      </c>
      <c r="AX116" s="239">
        <f t="shared" si="486"/>
        <v>-4593</v>
      </c>
      <c r="AY116" s="239"/>
      <c r="AZ116" s="239"/>
      <c r="BA116" s="239">
        <v>45000</v>
      </c>
      <c r="BB116" s="239">
        <v>0</v>
      </c>
      <c r="BC116" s="135"/>
      <c r="BD116" s="135"/>
      <c r="BE116" s="239"/>
      <c r="BF116" s="239"/>
      <c r="BG116" s="239"/>
      <c r="BH116" s="239"/>
      <c r="BI116" s="239">
        <f t="shared" ref="BI116:BI117" si="517">BG116-$G116</f>
        <v>-45000</v>
      </c>
      <c r="BJ116" s="239">
        <f t="shared" si="487"/>
        <v>-45000</v>
      </c>
      <c r="BK116" s="135">
        <f t="shared" si="488"/>
        <v>-0.17872720968006861</v>
      </c>
      <c r="BL116" s="135">
        <f t="shared" si="489"/>
        <v>-9.2613876958441699E-2</v>
      </c>
      <c r="BM116" s="239"/>
      <c r="BN116" s="239"/>
      <c r="BO116" s="239">
        <f t="shared" ref="BO116:BO117" si="518">BM116-$G116</f>
        <v>-45000</v>
      </c>
      <c r="BP116" s="239">
        <f t="shared" si="490"/>
        <v>-45000</v>
      </c>
      <c r="BQ116" s="135">
        <f t="shared" si="491"/>
        <v>1</v>
      </c>
      <c r="BR116" s="135">
        <f t="shared" si="492"/>
        <v>1</v>
      </c>
      <c r="BS116" s="239"/>
      <c r="BT116" s="239"/>
      <c r="BU116" s="239">
        <f t="shared" ref="BU116:BU117" si="519">BS116-$G116</f>
        <v>-45000</v>
      </c>
      <c r="BV116" s="239">
        <f t="shared" si="493"/>
        <v>-45000</v>
      </c>
      <c r="BW116" s="135">
        <f t="shared" si="494"/>
        <v>-0.17872720968006861</v>
      </c>
      <c r="BX116" s="135">
        <f t="shared" si="495"/>
        <v>-9.2613876958441699E-2</v>
      </c>
      <c r="BY116" s="239"/>
      <c r="BZ116" s="239"/>
      <c r="CA116" s="239">
        <f t="shared" ref="CA116:CA117" si="520">BY116-$G116</f>
        <v>-45000</v>
      </c>
      <c r="CB116" s="239">
        <f t="shared" si="496"/>
        <v>-45000</v>
      </c>
      <c r="CC116" s="135">
        <f t="shared" si="497"/>
        <v>1</v>
      </c>
      <c r="CD116" s="135">
        <f t="shared" si="498"/>
        <v>1</v>
      </c>
      <c r="CE116" s="239"/>
      <c r="CF116" s="239"/>
      <c r="CG116" s="239">
        <f t="shared" ref="CG116:CG117" si="521">CE116-$G116</f>
        <v>-45000</v>
      </c>
      <c r="CH116" s="239">
        <f t="shared" si="499"/>
        <v>-45000</v>
      </c>
      <c r="CI116" s="135">
        <f t="shared" si="500"/>
        <v>-0.17872720968006861</v>
      </c>
      <c r="CJ116" s="135">
        <f t="shared" si="501"/>
        <v>-9.2613876958441699E-2</v>
      </c>
      <c r="CK116" s="239"/>
      <c r="CL116" s="239"/>
      <c r="CM116" s="239">
        <f t="shared" ref="CM116:CM117" si="522">CK116-$G116</f>
        <v>-45000</v>
      </c>
      <c r="CN116" s="239">
        <f t="shared" si="502"/>
        <v>-45000</v>
      </c>
      <c r="CO116" s="135">
        <f t="shared" si="503"/>
        <v>1</v>
      </c>
      <c r="CP116" s="135">
        <f t="shared" si="504"/>
        <v>1</v>
      </c>
      <c r="CQ116" s="239"/>
      <c r="CR116" s="239"/>
      <c r="CS116" s="239">
        <f t="shared" ref="CS116:CS117" si="523">CQ116-$G116</f>
        <v>-45000</v>
      </c>
      <c r="CT116" s="239">
        <f t="shared" si="505"/>
        <v>-45000</v>
      </c>
      <c r="CU116" s="135">
        <f t="shared" si="506"/>
        <v>3.5951189625242517</v>
      </c>
      <c r="CV116" s="135">
        <f t="shared" si="507"/>
        <v>8.7975179621162631</v>
      </c>
      <c r="CW116" s="239"/>
      <c r="CX116" s="239"/>
      <c r="CY116" s="239">
        <f t="shared" ref="CY116:CY117" si="524">CW116-$G116</f>
        <v>-45000</v>
      </c>
      <c r="CZ116" s="239">
        <f t="shared" si="508"/>
        <v>-45000</v>
      </c>
      <c r="DA116" s="135">
        <f t="shared" si="509"/>
        <v>1</v>
      </c>
      <c r="DB116" s="135">
        <f t="shared" si="510"/>
        <v>1</v>
      </c>
      <c r="DC116" s="239"/>
      <c r="DD116" s="239"/>
      <c r="DE116" s="239">
        <f t="shared" ref="DE116:DE117" si="525">DC116-$G116</f>
        <v>-45000</v>
      </c>
      <c r="DF116" s="239">
        <f t="shared" si="511"/>
        <v>-45000</v>
      </c>
      <c r="DG116" s="135">
        <f t="shared" si="512"/>
        <v>0</v>
      </c>
      <c r="DH116" s="135">
        <f t="shared" si="513"/>
        <v>0</v>
      </c>
      <c r="DI116" s="239"/>
      <c r="DJ116" s="239"/>
      <c r="DK116" s="239">
        <f t="shared" ref="DK116:DK118" si="526">BA116-G116</f>
        <v>0</v>
      </c>
      <c r="DL116" s="239">
        <f t="shared" si="514"/>
        <v>-45000</v>
      </c>
      <c r="DM116" s="135">
        <f t="shared" ref="DM116:DM118" si="527">IF(G116=0,1,BA116/G116)</f>
        <v>1</v>
      </c>
      <c r="DN116" s="135">
        <f t="shared" ref="DN116:DN118" si="528">IF(H116=0,1,BB116/H116)</f>
        <v>0</v>
      </c>
      <c r="DO116" s="239"/>
      <c r="DP116" s="239"/>
      <c r="DQ116" s="239"/>
      <c r="DR116" s="239"/>
      <c r="DS116" s="239">
        <v>63679</v>
      </c>
      <c r="DT116" s="239">
        <v>0</v>
      </c>
      <c r="DU116" s="135">
        <f t="shared" si="515"/>
        <v>1.4150888888888888</v>
      </c>
      <c r="DV116" s="135">
        <f t="shared" si="515"/>
        <v>1</v>
      </c>
      <c r="DW116" s="135" t="s">
        <v>51</v>
      </c>
      <c r="DX116" s="197" t="s">
        <v>51</v>
      </c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  <c r="GY116" s="63"/>
      <c r="GZ116" s="63"/>
      <c r="HA116" s="63"/>
      <c r="HB116" s="63"/>
      <c r="HC116" s="63"/>
      <c r="HD116" s="63"/>
      <c r="HE116" s="63"/>
      <c r="HF116" s="63"/>
      <c r="HG116" s="63"/>
      <c r="HH116" s="63"/>
      <c r="HI116" s="63"/>
      <c r="HJ116" s="63"/>
      <c r="HK116" s="63"/>
      <c r="HL116" s="63"/>
      <c r="HM116" s="63"/>
      <c r="HN116" s="63"/>
      <c r="HO116" s="63"/>
      <c r="HP116" s="63"/>
      <c r="HQ116" s="63"/>
      <c r="HR116" s="63"/>
      <c r="HS116" s="63"/>
      <c r="HT116" s="63"/>
      <c r="HU116" s="63"/>
      <c r="HV116" s="63"/>
      <c r="HW116" s="63"/>
      <c r="HX116" s="63"/>
      <c r="HY116" s="63"/>
      <c r="HZ116" s="63"/>
      <c r="IA116" s="63"/>
      <c r="IB116" s="63"/>
      <c r="IC116" s="63"/>
      <c r="ID116" s="63"/>
      <c r="IE116" s="63"/>
      <c r="IF116" s="63"/>
      <c r="IG116" s="63"/>
      <c r="IH116" s="63"/>
      <c r="II116" s="63"/>
      <c r="IJ116" s="63"/>
      <c r="IK116" s="63"/>
      <c r="IL116" s="63"/>
      <c r="IM116" s="63"/>
      <c r="IN116" s="63"/>
      <c r="IO116" s="63"/>
      <c r="IP116" s="63"/>
      <c r="IQ116" s="63"/>
      <c r="IR116" s="63"/>
      <c r="IS116" s="63"/>
      <c r="IT116" s="63"/>
      <c r="IU116" s="63"/>
      <c r="IV116" s="63"/>
      <c r="IW116" s="63"/>
      <c r="IX116" s="63"/>
      <c r="IY116" s="63"/>
      <c r="IZ116" s="63"/>
      <c r="JA116" s="63"/>
      <c r="JB116" s="63"/>
      <c r="JC116" s="63"/>
      <c r="JD116" s="63"/>
      <c r="JE116" s="63"/>
      <c r="JF116" s="63"/>
      <c r="JG116" s="63"/>
      <c r="JH116" s="63"/>
    </row>
    <row r="117" spans="1:268" s="64" customFormat="1" ht="16.5">
      <c r="A117" s="266" t="s">
        <v>156</v>
      </c>
      <c r="B117" s="261"/>
      <c r="C117" s="239">
        <v>0</v>
      </c>
      <c r="D117" s="239">
        <v>0</v>
      </c>
      <c r="E117" s="239">
        <v>0</v>
      </c>
      <c r="F117" s="239">
        <v>0</v>
      </c>
      <c r="G117" s="239">
        <v>0</v>
      </c>
      <c r="H117" s="239">
        <v>0</v>
      </c>
      <c r="I117" s="239"/>
      <c r="J117" s="239"/>
      <c r="K117" s="239"/>
      <c r="L117" s="239"/>
      <c r="M117" s="239">
        <f t="shared" si="476"/>
        <v>0</v>
      </c>
      <c r="N117" s="239">
        <f t="shared" si="477"/>
        <v>0</v>
      </c>
      <c r="O117" s="239"/>
      <c r="P117" s="239"/>
      <c r="Q117" s="239">
        <f t="shared" ref="Q117" si="529">O117-$E117</f>
        <v>0</v>
      </c>
      <c r="R117" s="239">
        <f t="shared" si="478"/>
        <v>0</v>
      </c>
      <c r="S117" s="239"/>
      <c r="T117" s="239"/>
      <c r="U117" s="239">
        <f t="shared" ref="U117" si="530">S117-$E117</f>
        <v>0</v>
      </c>
      <c r="V117" s="239">
        <f t="shared" si="479"/>
        <v>0</v>
      </c>
      <c r="W117" s="239"/>
      <c r="X117" s="239"/>
      <c r="Y117" s="239">
        <f t="shared" ref="Y117" si="531">W117-$E117</f>
        <v>0</v>
      </c>
      <c r="Z117" s="239">
        <f t="shared" si="480"/>
        <v>0</v>
      </c>
      <c r="AA117" s="239"/>
      <c r="AB117" s="239"/>
      <c r="AC117" s="239">
        <f t="shared" ref="AC117" si="532">AA117-$E117</f>
        <v>0</v>
      </c>
      <c r="AD117" s="239">
        <f t="shared" si="481"/>
        <v>0</v>
      </c>
      <c r="AE117" s="239"/>
      <c r="AF117" s="239"/>
      <c r="AG117" s="239">
        <f t="shared" ref="AG117" si="533">AE117-$E117</f>
        <v>0</v>
      </c>
      <c r="AH117" s="239">
        <f t="shared" si="482"/>
        <v>0</v>
      </c>
      <c r="AI117" s="239"/>
      <c r="AJ117" s="239"/>
      <c r="AK117" s="239">
        <f t="shared" ref="AK117" si="534">AI117-$E117</f>
        <v>0</v>
      </c>
      <c r="AL117" s="239">
        <f t="shared" si="483"/>
        <v>0</v>
      </c>
      <c r="AM117" s="239"/>
      <c r="AN117" s="239"/>
      <c r="AO117" s="239">
        <f t="shared" ref="AO117" si="535">AM117-$E117</f>
        <v>0</v>
      </c>
      <c r="AP117" s="239">
        <f t="shared" si="484"/>
        <v>0</v>
      </c>
      <c r="AQ117" s="239"/>
      <c r="AR117" s="239"/>
      <c r="AS117" s="239">
        <f t="shared" ref="AS117" si="536">AQ117-$E117</f>
        <v>0</v>
      </c>
      <c r="AT117" s="239">
        <f t="shared" si="485"/>
        <v>0</v>
      </c>
      <c r="AU117" s="239"/>
      <c r="AV117" s="239"/>
      <c r="AW117" s="239">
        <f t="shared" si="516"/>
        <v>0</v>
      </c>
      <c r="AX117" s="239">
        <f t="shared" si="486"/>
        <v>0</v>
      </c>
      <c r="AY117" s="239"/>
      <c r="AZ117" s="239"/>
      <c r="BA117" s="239">
        <v>0</v>
      </c>
      <c r="BB117" s="239">
        <v>0</v>
      </c>
      <c r="BC117" s="135"/>
      <c r="BD117" s="135"/>
      <c r="BE117" s="239"/>
      <c r="BF117" s="239"/>
      <c r="BG117" s="239"/>
      <c r="BH117" s="239"/>
      <c r="BI117" s="239">
        <f t="shared" si="517"/>
        <v>0</v>
      </c>
      <c r="BJ117" s="239">
        <f t="shared" si="487"/>
        <v>0</v>
      </c>
      <c r="BK117" s="135">
        <f t="shared" si="488"/>
        <v>1</v>
      </c>
      <c r="BL117" s="135">
        <f t="shared" si="489"/>
        <v>1</v>
      </c>
      <c r="BM117" s="239"/>
      <c r="BN117" s="239"/>
      <c r="BO117" s="239">
        <f t="shared" si="518"/>
        <v>0</v>
      </c>
      <c r="BP117" s="239">
        <f t="shared" si="490"/>
        <v>0</v>
      </c>
      <c r="BQ117" s="135">
        <f t="shared" si="491"/>
        <v>1</v>
      </c>
      <c r="BR117" s="135">
        <f t="shared" si="492"/>
        <v>1</v>
      </c>
      <c r="BS117" s="239"/>
      <c r="BT117" s="239"/>
      <c r="BU117" s="239">
        <f t="shared" si="519"/>
        <v>0</v>
      </c>
      <c r="BV117" s="239">
        <f t="shared" si="493"/>
        <v>0</v>
      </c>
      <c r="BW117" s="135">
        <f t="shared" si="494"/>
        <v>1</v>
      </c>
      <c r="BX117" s="135">
        <f t="shared" si="495"/>
        <v>1</v>
      </c>
      <c r="BY117" s="239"/>
      <c r="BZ117" s="239"/>
      <c r="CA117" s="239">
        <f t="shared" si="520"/>
        <v>0</v>
      </c>
      <c r="CB117" s="239">
        <f t="shared" si="496"/>
        <v>0</v>
      </c>
      <c r="CC117" s="135">
        <f t="shared" si="497"/>
        <v>1</v>
      </c>
      <c r="CD117" s="135">
        <f t="shared" si="498"/>
        <v>1</v>
      </c>
      <c r="CE117" s="239"/>
      <c r="CF117" s="239"/>
      <c r="CG117" s="239">
        <f t="shared" si="521"/>
        <v>0</v>
      </c>
      <c r="CH117" s="239">
        <f t="shared" si="499"/>
        <v>0</v>
      </c>
      <c r="CI117" s="135">
        <f t="shared" si="500"/>
        <v>1</v>
      </c>
      <c r="CJ117" s="135">
        <f t="shared" si="501"/>
        <v>1</v>
      </c>
      <c r="CK117" s="239"/>
      <c r="CL117" s="239"/>
      <c r="CM117" s="239">
        <f t="shared" si="522"/>
        <v>0</v>
      </c>
      <c r="CN117" s="239">
        <f t="shared" si="502"/>
        <v>0</v>
      </c>
      <c r="CO117" s="135">
        <f t="shared" si="503"/>
        <v>1</v>
      </c>
      <c r="CP117" s="135">
        <f t="shared" si="504"/>
        <v>1</v>
      </c>
      <c r="CQ117" s="239"/>
      <c r="CR117" s="239"/>
      <c r="CS117" s="239">
        <f t="shared" si="523"/>
        <v>0</v>
      </c>
      <c r="CT117" s="239">
        <f t="shared" si="505"/>
        <v>0</v>
      </c>
      <c r="CU117" s="135">
        <f t="shared" si="506"/>
        <v>1</v>
      </c>
      <c r="CV117" s="135">
        <f t="shared" si="507"/>
        <v>1</v>
      </c>
      <c r="CW117" s="239"/>
      <c r="CX117" s="239"/>
      <c r="CY117" s="239">
        <f t="shared" si="524"/>
        <v>0</v>
      </c>
      <c r="CZ117" s="239">
        <f t="shared" si="508"/>
        <v>0</v>
      </c>
      <c r="DA117" s="135">
        <f t="shared" si="509"/>
        <v>1</v>
      </c>
      <c r="DB117" s="135">
        <f t="shared" si="510"/>
        <v>1</v>
      </c>
      <c r="DC117" s="239"/>
      <c r="DD117" s="239"/>
      <c r="DE117" s="239">
        <f t="shared" si="525"/>
        <v>0</v>
      </c>
      <c r="DF117" s="239">
        <f t="shared" si="511"/>
        <v>0</v>
      </c>
      <c r="DG117" s="135">
        <f t="shared" si="512"/>
        <v>1</v>
      </c>
      <c r="DH117" s="135">
        <f t="shared" si="513"/>
        <v>1</v>
      </c>
      <c r="DI117" s="239"/>
      <c r="DJ117" s="239"/>
      <c r="DK117" s="239">
        <f t="shared" si="526"/>
        <v>0</v>
      </c>
      <c r="DL117" s="239">
        <f t="shared" si="514"/>
        <v>0</v>
      </c>
      <c r="DM117" s="135">
        <f t="shared" si="527"/>
        <v>1</v>
      </c>
      <c r="DN117" s="135">
        <f t="shared" si="528"/>
        <v>1</v>
      </c>
      <c r="DO117" s="239"/>
      <c r="DP117" s="239"/>
      <c r="DQ117" s="239"/>
      <c r="DR117" s="239"/>
      <c r="DS117" s="239">
        <v>0</v>
      </c>
      <c r="DT117" s="239">
        <v>0</v>
      </c>
      <c r="DU117" s="135">
        <f t="shared" si="515"/>
        <v>1</v>
      </c>
      <c r="DV117" s="135">
        <f t="shared" si="515"/>
        <v>1</v>
      </c>
      <c r="DW117" s="135" t="s">
        <v>51</v>
      </c>
      <c r="DX117" s="197" t="s">
        <v>51</v>
      </c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  <c r="GY117" s="63"/>
      <c r="GZ117" s="63"/>
      <c r="HA117" s="63"/>
      <c r="HB117" s="63"/>
      <c r="HC117" s="63"/>
      <c r="HD117" s="63"/>
      <c r="HE117" s="63"/>
      <c r="HF117" s="63"/>
      <c r="HG117" s="63"/>
      <c r="HH117" s="63"/>
      <c r="HI117" s="63"/>
      <c r="HJ117" s="63"/>
      <c r="HK117" s="63"/>
      <c r="HL117" s="63"/>
      <c r="HM117" s="63"/>
      <c r="HN117" s="63"/>
      <c r="HO117" s="63"/>
      <c r="HP117" s="63"/>
      <c r="HQ117" s="63"/>
      <c r="HR117" s="63"/>
      <c r="HS117" s="63"/>
      <c r="HT117" s="63"/>
      <c r="HU117" s="63"/>
      <c r="HV117" s="63"/>
      <c r="HW117" s="63"/>
      <c r="HX117" s="63"/>
      <c r="HY117" s="63"/>
      <c r="HZ117" s="63"/>
      <c r="IA117" s="63"/>
      <c r="IB117" s="63"/>
      <c r="IC117" s="63"/>
      <c r="ID117" s="63"/>
      <c r="IE117" s="63"/>
      <c r="IF117" s="63"/>
      <c r="IG117" s="63"/>
      <c r="IH117" s="63"/>
      <c r="II117" s="63"/>
      <c r="IJ117" s="63"/>
      <c r="IK117" s="63"/>
      <c r="IL117" s="63"/>
      <c r="IM117" s="63"/>
      <c r="IN117" s="63"/>
      <c r="IO117" s="63"/>
      <c r="IP117" s="63"/>
      <c r="IQ117" s="63"/>
      <c r="IR117" s="63"/>
      <c r="IS117" s="63"/>
      <c r="IT117" s="63"/>
      <c r="IU117" s="63"/>
      <c r="IV117" s="63"/>
      <c r="IW117" s="63"/>
      <c r="IX117" s="63"/>
      <c r="IY117" s="63"/>
      <c r="IZ117" s="63"/>
      <c r="JA117" s="63"/>
      <c r="JB117" s="63"/>
      <c r="JC117" s="63"/>
      <c r="JD117" s="63"/>
      <c r="JE117" s="63"/>
      <c r="JF117" s="63"/>
      <c r="JG117" s="63"/>
      <c r="JH117" s="63"/>
    </row>
    <row r="118" spans="1:268" s="150" customFormat="1" ht="33" customHeight="1">
      <c r="A118" s="351" t="s">
        <v>73</v>
      </c>
      <c r="B118" s="284"/>
      <c r="C118" s="204">
        <f t="shared" ref="C118:F118" si="537">SUM(C114/C12 * 100)</f>
        <v>34.121602467427905</v>
      </c>
      <c r="D118" s="204">
        <f t="shared" si="537"/>
        <v>42.382333258978363</v>
      </c>
      <c r="E118" s="204">
        <f t="shared" si="537"/>
        <v>33.340533116232187</v>
      </c>
      <c r="F118" s="204">
        <f t="shared" si="537"/>
        <v>42.435979538142234</v>
      </c>
      <c r="G118" s="204">
        <f t="shared" ref="G118:H118" si="538">SUM(G114/G12 * 100)</f>
        <v>37.076264313750933</v>
      </c>
      <c r="H118" s="204">
        <f t="shared" si="538"/>
        <v>51.47882354707464</v>
      </c>
      <c r="I118" s="204">
        <v>0</v>
      </c>
      <c r="J118" s="204">
        <v>0</v>
      </c>
      <c r="K118" s="204" t="e">
        <f>K114/(K12-K14)</f>
        <v>#DIV/0!</v>
      </c>
      <c r="L118" s="204" t="e">
        <f>L114/(L12-L14)</f>
        <v>#DIV/0!</v>
      </c>
      <c r="M118" s="204" t="s">
        <v>51</v>
      </c>
      <c r="N118" s="204" t="s">
        <v>51</v>
      </c>
      <c r="O118" s="204" t="e">
        <f>O114/(O12-O14)</f>
        <v>#DIV/0!</v>
      </c>
      <c r="P118" s="204" t="e">
        <f>P114/(P12-P14)</f>
        <v>#DIV/0!</v>
      </c>
      <c r="Q118" s="204" t="s">
        <v>51</v>
      </c>
      <c r="R118" s="204" t="s">
        <v>51</v>
      </c>
      <c r="S118" s="204" t="e">
        <f>S114/(S12-S14)</f>
        <v>#DIV/0!</v>
      </c>
      <c r="T118" s="204" t="e">
        <f>T114/(T12-T14)</f>
        <v>#DIV/0!</v>
      </c>
      <c r="U118" s="204" t="s">
        <v>51</v>
      </c>
      <c r="V118" s="204" t="s">
        <v>51</v>
      </c>
      <c r="W118" s="204" t="e">
        <f>W114/(W12-W14)</f>
        <v>#DIV/0!</v>
      </c>
      <c r="X118" s="204" t="e">
        <f>X114/(X12-X14)</f>
        <v>#DIV/0!</v>
      </c>
      <c r="Y118" s="204" t="s">
        <v>51</v>
      </c>
      <c r="Z118" s="204" t="s">
        <v>51</v>
      </c>
      <c r="AA118" s="204" t="e">
        <f>AA114/(AA12-AA14)</f>
        <v>#DIV/0!</v>
      </c>
      <c r="AB118" s="204" t="e">
        <f>AB114/(AB12-AB14)</f>
        <v>#DIV/0!</v>
      </c>
      <c r="AC118" s="204" t="s">
        <v>51</v>
      </c>
      <c r="AD118" s="204" t="s">
        <v>51</v>
      </c>
      <c r="AE118" s="204" t="e">
        <f>AE114/(AE12-AE14)</f>
        <v>#DIV/0!</v>
      </c>
      <c r="AF118" s="204" t="e">
        <f>AF114/(AF12-AF14)</f>
        <v>#DIV/0!</v>
      </c>
      <c r="AG118" s="204" t="s">
        <v>51</v>
      </c>
      <c r="AH118" s="204" t="s">
        <v>51</v>
      </c>
      <c r="AI118" s="204" t="e">
        <f>AI114/(AI12-AI14)</f>
        <v>#DIV/0!</v>
      </c>
      <c r="AJ118" s="204" t="e">
        <f>AJ114/(AJ12-AJ14)</f>
        <v>#DIV/0!</v>
      </c>
      <c r="AK118" s="204" t="s">
        <v>51</v>
      </c>
      <c r="AL118" s="204" t="s">
        <v>51</v>
      </c>
      <c r="AM118" s="204" t="e">
        <f>AM114/(AM12-AM14)</f>
        <v>#DIV/0!</v>
      </c>
      <c r="AN118" s="204" t="e">
        <f>AN114/(AN12-AN14)</f>
        <v>#DIV/0!</v>
      </c>
      <c r="AO118" s="204" t="s">
        <v>51</v>
      </c>
      <c r="AP118" s="204" t="s">
        <v>51</v>
      </c>
      <c r="AQ118" s="204" t="e">
        <f>AQ114/(AQ12-AQ14)</f>
        <v>#DIV/0!</v>
      </c>
      <c r="AR118" s="204" t="e">
        <f>AR114/(AR12-AR14)</f>
        <v>#DIV/0!</v>
      </c>
      <c r="AS118" s="204" t="s">
        <v>51</v>
      </c>
      <c r="AT118" s="204" t="s">
        <v>51</v>
      </c>
      <c r="AU118" s="204" t="e">
        <f>AU114/(AU12-AU14)</f>
        <v>#DIV/0!</v>
      </c>
      <c r="AV118" s="204" t="e">
        <f>AV114/(AV12-AV14)</f>
        <v>#DIV/0!</v>
      </c>
      <c r="AW118" s="269">
        <f t="shared" si="516"/>
        <v>3.7357311975187457</v>
      </c>
      <c r="AX118" s="269">
        <f t="shared" si="486"/>
        <v>9.0428440089324056</v>
      </c>
      <c r="AY118" s="204">
        <v>0</v>
      </c>
      <c r="AZ118" s="204">
        <v>0</v>
      </c>
      <c r="BA118" s="204">
        <f>SUM(BA114/BA12 * 100)</f>
        <v>36.355625183589538</v>
      </c>
      <c r="BB118" s="204" t="e">
        <f>SUM(BB114/BB12 * 100)</f>
        <v>#DIV/0!</v>
      </c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  <c r="DG118" s="204"/>
      <c r="DH118" s="204"/>
      <c r="DI118" s="204"/>
      <c r="DJ118" s="204"/>
      <c r="DK118" s="204">
        <f t="shared" si="526"/>
        <v>-0.7206391301613948</v>
      </c>
      <c r="DL118" s="204" t="e">
        <f t="shared" si="514"/>
        <v>#DIV/0!</v>
      </c>
      <c r="DM118" s="135">
        <f t="shared" si="527"/>
        <v>0.98056332957217263</v>
      </c>
      <c r="DN118" s="135" t="e">
        <f t="shared" si="528"/>
        <v>#DIV/0!</v>
      </c>
      <c r="DO118" s="204"/>
      <c r="DP118" s="204"/>
      <c r="DQ118" s="204"/>
      <c r="DR118" s="204"/>
      <c r="DS118" s="204">
        <f>SUM(DS114/DS12 * 100)</f>
        <v>48.502386274391348</v>
      </c>
      <c r="DT118" s="204" t="e">
        <f>SUM(DT114/DT12 * 100)</f>
        <v>#DIV/0!</v>
      </c>
      <c r="DU118" s="135">
        <f t="shared" si="515"/>
        <v>1.3341095368175571</v>
      </c>
      <c r="DV118" s="135" t="e">
        <f t="shared" si="515"/>
        <v>#DIV/0!</v>
      </c>
      <c r="DW118" s="204" t="s">
        <v>51</v>
      </c>
      <c r="DX118" s="205" t="s">
        <v>51</v>
      </c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  <c r="GY118" s="149"/>
      <c r="GZ118" s="149"/>
      <c r="HA118" s="149"/>
      <c r="HB118" s="149"/>
      <c r="HC118" s="149"/>
      <c r="HD118" s="149"/>
      <c r="HE118" s="149"/>
      <c r="HF118" s="149"/>
      <c r="HG118" s="149"/>
      <c r="HH118" s="149"/>
      <c r="HI118" s="149"/>
      <c r="HJ118" s="149"/>
      <c r="HK118" s="149"/>
      <c r="HL118" s="149"/>
      <c r="HM118" s="149"/>
      <c r="HN118" s="149"/>
      <c r="HO118" s="149"/>
      <c r="HP118" s="149"/>
      <c r="HQ118" s="149"/>
      <c r="HR118" s="149"/>
      <c r="HS118" s="149"/>
      <c r="HT118" s="149"/>
      <c r="HU118" s="149"/>
      <c r="HV118" s="149"/>
      <c r="HW118" s="149"/>
      <c r="HX118" s="149"/>
      <c r="HY118" s="149"/>
      <c r="HZ118" s="149"/>
      <c r="IA118" s="149"/>
      <c r="IB118" s="149"/>
      <c r="IC118" s="149"/>
      <c r="ID118" s="149"/>
      <c r="IE118" s="149"/>
      <c r="IF118" s="149"/>
      <c r="IG118" s="149"/>
      <c r="IH118" s="149"/>
      <c r="II118" s="149"/>
      <c r="IJ118" s="149"/>
      <c r="IK118" s="149"/>
      <c r="IL118" s="149"/>
      <c r="IM118" s="149"/>
      <c r="IN118" s="149"/>
      <c r="IO118" s="149"/>
      <c r="IP118" s="149"/>
      <c r="IQ118" s="149"/>
      <c r="IR118" s="149"/>
      <c r="IS118" s="149"/>
      <c r="IT118" s="149"/>
      <c r="IU118" s="149"/>
      <c r="IV118" s="149"/>
      <c r="IW118" s="149"/>
      <c r="IX118" s="149"/>
      <c r="IY118" s="149"/>
      <c r="IZ118" s="149"/>
      <c r="JA118" s="149"/>
      <c r="JB118" s="149"/>
      <c r="JC118" s="149"/>
      <c r="JD118" s="149"/>
      <c r="JE118" s="149"/>
      <c r="JF118" s="149"/>
      <c r="JG118" s="149"/>
      <c r="JH118" s="149"/>
    </row>
    <row r="119" spans="1:268" s="194" customFormat="1" ht="49.5" customHeight="1">
      <c r="A119" s="341" t="s">
        <v>235</v>
      </c>
      <c r="B119" s="280"/>
      <c r="C119" s="131" t="s">
        <v>51</v>
      </c>
      <c r="D119" s="131" t="s">
        <v>51</v>
      </c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31" t="s">
        <v>51</v>
      </c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 t="s">
        <v>51</v>
      </c>
      <c r="AZ119" s="131" t="s">
        <v>51</v>
      </c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31" t="s">
        <v>51</v>
      </c>
      <c r="BK119" s="131" t="s">
        <v>51</v>
      </c>
      <c r="BL119" s="131" t="s">
        <v>51</v>
      </c>
      <c r="BM119" s="131" t="s">
        <v>51</v>
      </c>
      <c r="BN119" s="131" t="s">
        <v>51</v>
      </c>
      <c r="BO119" s="131" t="s">
        <v>51</v>
      </c>
      <c r="BP119" s="131" t="s">
        <v>51</v>
      </c>
      <c r="BQ119" s="131" t="s">
        <v>51</v>
      </c>
      <c r="BR119" s="131" t="s">
        <v>51</v>
      </c>
      <c r="BS119" s="131" t="s">
        <v>51</v>
      </c>
      <c r="BT119" s="131" t="s">
        <v>51</v>
      </c>
      <c r="BU119" s="131" t="s">
        <v>51</v>
      </c>
      <c r="BV119" s="131" t="s">
        <v>51</v>
      </c>
      <c r="BW119" s="131" t="s">
        <v>51</v>
      </c>
      <c r="BX119" s="131" t="s">
        <v>51</v>
      </c>
      <c r="BY119" s="131" t="s">
        <v>51</v>
      </c>
      <c r="BZ119" s="131" t="s">
        <v>51</v>
      </c>
      <c r="CA119" s="131" t="s">
        <v>51</v>
      </c>
      <c r="CB119" s="131" t="s">
        <v>51</v>
      </c>
      <c r="CC119" s="131" t="s">
        <v>51</v>
      </c>
      <c r="CD119" s="131" t="s">
        <v>51</v>
      </c>
      <c r="CE119" s="131" t="s">
        <v>51</v>
      </c>
      <c r="CF119" s="131" t="s">
        <v>51</v>
      </c>
      <c r="CG119" s="131" t="s">
        <v>51</v>
      </c>
      <c r="CH119" s="131" t="s">
        <v>51</v>
      </c>
      <c r="CI119" s="131" t="s">
        <v>51</v>
      </c>
      <c r="CJ119" s="131" t="s">
        <v>51</v>
      </c>
      <c r="CK119" s="131" t="s">
        <v>51</v>
      </c>
      <c r="CL119" s="131" t="s">
        <v>51</v>
      </c>
      <c r="CM119" s="131" t="s">
        <v>51</v>
      </c>
      <c r="CN119" s="131" t="s">
        <v>51</v>
      </c>
      <c r="CO119" s="131" t="s">
        <v>51</v>
      </c>
      <c r="CP119" s="131" t="s">
        <v>51</v>
      </c>
      <c r="CQ119" s="131" t="s">
        <v>51</v>
      </c>
      <c r="CR119" s="131" t="s">
        <v>51</v>
      </c>
      <c r="CS119" s="131" t="s">
        <v>51</v>
      </c>
      <c r="CT119" s="131" t="s">
        <v>51</v>
      </c>
      <c r="CU119" s="131" t="s">
        <v>51</v>
      </c>
      <c r="CV119" s="131" t="s">
        <v>51</v>
      </c>
      <c r="CW119" s="131" t="s">
        <v>51</v>
      </c>
      <c r="CX119" s="131" t="s">
        <v>51</v>
      </c>
      <c r="CY119" s="131" t="s">
        <v>51</v>
      </c>
      <c r="CZ119" s="131" t="s">
        <v>51</v>
      </c>
      <c r="DA119" s="131" t="s">
        <v>51</v>
      </c>
      <c r="DB119" s="131" t="s">
        <v>51</v>
      </c>
      <c r="DC119" s="131" t="s">
        <v>51</v>
      </c>
      <c r="DD119" s="131" t="s">
        <v>51</v>
      </c>
      <c r="DE119" s="131" t="s">
        <v>51</v>
      </c>
      <c r="DF119" s="131" t="s">
        <v>51</v>
      </c>
      <c r="DG119" s="131" t="s">
        <v>51</v>
      </c>
      <c r="DH119" s="131" t="s">
        <v>51</v>
      </c>
      <c r="DI119" s="131" t="s">
        <v>51</v>
      </c>
      <c r="DJ119" s="131" t="s">
        <v>51</v>
      </c>
      <c r="DK119" s="131" t="s">
        <v>51</v>
      </c>
      <c r="DL119" s="131" t="s">
        <v>51</v>
      </c>
      <c r="DM119" s="131" t="s">
        <v>51</v>
      </c>
      <c r="DN119" s="131" t="s">
        <v>51</v>
      </c>
      <c r="DO119" s="131" t="s">
        <v>51</v>
      </c>
      <c r="DP119" s="131" t="s">
        <v>51</v>
      </c>
      <c r="DQ119" s="131" t="s">
        <v>51</v>
      </c>
      <c r="DR119" s="131" t="s">
        <v>51</v>
      </c>
      <c r="DS119" s="268">
        <v>91293</v>
      </c>
      <c r="DT119" s="131" t="s">
        <v>51</v>
      </c>
      <c r="DU119" s="131" t="s">
        <v>51</v>
      </c>
      <c r="DV119" s="131" t="s">
        <v>51</v>
      </c>
      <c r="DW119" s="131" t="s">
        <v>51</v>
      </c>
      <c r="DX119" s="196" t="s">
        <v>51</v>
      </c>
      <c r="DY119" s="193"/>
      <c r="DZ119" s="193"/>
      <c r="EA119" s="193"/>
      <c r="EB119" s="193"/>
      <c r="EC119" s="193"/>
      <c r="ED119" s="193"/>
      <c r="EE119" s="193"/>
      <c r="EF119" s="193"/>
      <c r="EG119" s="193"/>
      <c r="EH119" s="193"/>
      <c r="EI119" s="193"/>
      <c r="EJ119" s="193"/>
      <c r="EK119" s="193"/>
      <c r="EL119" s="193"/>
      <c r="EM119" s="193"/>
      <c r="EN119" s="193"/>
      <c r="EO119" s="193"/>
      <c r="EP119" s="193"/>
      <c r="EQ119" s="193"/>
      <c r="ER119" s="193"/>
      <c r="ES119" s="193"/>
      <c r="ET119" s="193"/>
      <c r="EU119" s="193"/>
      <c r="EV119" s="193"/>
      <c r="EW119" s="193"/>
      <c r="EX119" s="193"/>
      <c r="EY119" s="193"/>
      <c r="EZ119" s="193"/>
      <c r="FA119" s="193"/>
      <c r="FB119" s="193"/>
      <c r="FC119" s="193"/>
      <c r="FD119" s="193"/>
      <c r="FE119" s="193"/>
      <c r="FF119" s="193"/>
      <c r="FG119" s="193"/>
      <c r="FH119" s="193"/>
      <c r="FI119" s="193"/>
      <c r="FJ119" s="193"/>
      <c r="FK119" s="193"/>
      <c r="FL119" s="193"/>
      <c r="FM119" s="193"/>
      <c r="FN119" s="193"/>
      <c r="FO119" s="193"/>
      <c r="FP119" s="193"/>
      <c r="FQ119" s="193"/>
      <c r="FR119" s="193"/>
      <c r="FS119" s="193"/>
      <c r="FT119" s="193"/>
      <c r="FU119" s="193"/>
      <c r="FV119" s="193"/>
      <c r="FW119" s="193"/>
      <c r="FX119" s="193"/>
      <c r="FY119" s="193"/>
      <c r="FZ119" s="193"/>
      <c r="GA119" s="193"/>
      <c r="GB119" s="193"/>
      <c r="GC119" s="193"/>
      <c r="GD119" s="193"/>
      <c r="GE119" s="193"/>
      <c r="GF119" s="193"/>
      <c r="GG119" s="193"/>
      <c r="GH119" s="193"/>
      <c r="GI119" s="193"/>
      <c r="GJ119" s="193"/>
      <c r="GK119" s="193"/>
      <c r="GL119" s="193"/>
      <c r="GM119" s="193"/>
      <c r="GN119" s="193"/>
      <c r="GO119" s="193"/>
      <c r="GP119" s="193"/>
      <c r="GQ119" s="193"/>
      <c r="GR119" s="193"/>
      <c r="GS119" s="193"/>
      <c r="GT119" s="193"/>
      <c r="GU119" s="193"/>
      <c r="GV119" s="193"/>
      <c r="GW119" s="193"/>
      <c r="GX119" s="193"/>
      <c r="GY119" s="193"/>
      <c r="GZ119" s="193"/>
      <c r="HA119" s="193"/>
      <c r="HB119" s="193"/>
      <c r="HC119" s="193"/>
      <c r="HD119" s="193"/>
      <c r="HE119" s="193"/>
      <c r="HF119" s="193"/>
      <c r="HG119" s="193"/>
      <c r="HH119" s="193"/>
      <c r="HI119" s="193"/>
      <c r="HJ119" s="193"/>
      <c r="HK119" s="193"/>
      <c r="HL119" s="193"/>
      <c r="HM119" s="193"/>
      <c r="HN119" s="193"/>
      <c r="HO119" s="193"/>
      <c r="HP119" s="193"/>
      <c r="HQ119" s="193"/>
      <c r="HR119" s="193"/>
      <c r="HS119" s="193"/>
      <c r="HT119" s="193"/>
      <c r="HU119" s="193"/>
      <c r="HV119" s="193"/>
      <c r="HW119" s="193"/>
      <c r="HX119" s="193"/>
      <c r="HY119" s="193"/>
      <c r="HZ119" s="193"/>
      <c r="IA119" s="193"/>
      <c r="IB119" s="193"/>
      <c r="IC119" s="193"/>
      <c r="ID119" s="193"/>
      <c r="IE119" s="193"/>
      <c r="IF119" s="193"/>
      <c r="IG119" s="193"/>
      <c r="IH119" s="193"/>
      <c r="II119" s="193"/>
      <c r="IJ119" s="193"/>
      <c r="IK119" s="193"/>
      <c r="IL119" s="193"/>
      <c r="IM119" s="193"/>
      <c r="IN119" s="193"/>
      <c r="IO119" s="193"/>
      <c r="IP119" s="193"/>
      <c r="IQ119" s="193"/>
      <c r="IR119" s="193"/>
      <c r="IS119" s="193"/>
      <c r="IT119" s="193"/>
      <c r="IU119" s="193"/>
      <c r="IV119" s="193"/>
      <c r="IW119" s="193"/>
      <c r="IX119" s="193"/>
      <c r="IY119" s="193"/>
      <c r="IZ119" s="193"/>
      <c r="JA119" s="193"/>
      <c r="JB119" s="193"/>
      <c r="JC119" s="193"/>
      <c r="JD119" s="193"/>
      <c r="JE119" s="193"/>
      <c r="JF119" s="193"/>
      <c r="JG119" s="193"/>
      <c r="JH119" s="193"/>
    </row>
    <row r="120" spans="1:268" s="85" customFormat="1" ht="70.5" customHeight="1">
      <c r="A120" s="341" t="s">
        <v>178</v>
      </c>
      <c r="B120" s="280"/>
      <c r="C120" s="267">
        <v>0</v>
      </c>
      <c r="D120" s="267">
        <v>0</v>
      </c>
      <c r="E120" s="267">
        <v>0</v>
      </c>
      <c r="F120" s="267">
        <v>0</v>
      </c>
      <c r="G120" s="267">
        <v>0</v>
      </c>
      <c r="H120" s="267">
        <v>0</v>
      </c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7"/>
      <c r="AP120" s="267"/>
      <c r="AQ120" s="267"/>
      <c r="AR120" s="267"/>
      <c r="AS120" s="267"/>
      <c r="AT120" s="267"/>
      <c r="AU120" s="267"/>
      <c r="AV120" s="267"/>
      <c r="AW120" s="274">
        <v>847</v>
      </c>
      <c r="AX120" s="274">
        <v>262</v>
      </c>
      <c r="AY120" s="274">
        <f>'бюджет округа (района)'!Z120+'бюджеты поселений'!Z120</f>
        <v>0</v>
      </c>
      <c r="AZ120" s="274">
        <f>'бюджет округа (района)'!Z120</f>
        <v>0</v>
      </c>
      <c r="BA120" s="274">
        <v>0</v>
      </c>
      <c r="BB120" s="274">
        <v>0</v>
      </c>
      <c r="BC120" s="131" t="s">
        <v>51</v>
      </c>
      <c r="BD120" s="131" t="s">
        <v>51</v>
      </c>
      <c r="BE120" s="274">
        <f>'бюджет округа (района)'!AC120+'бюджеты поселений'!AC120</f>
        <v>0</v>
      </c>
      <c r="BF120" s="274">
        <f>'бюджет округа (района)'!AC120</f>
        <v>0</v>
      </c>
      <c r="BG120" s="274">
        <f>'бюджет округа (района)'!AD120+'бюджеты поселений'!AD120</f>
        <v>0</v>
      </c>
      <c r="BH120" s="274">
        <f>'бюджет округа (района)'!AD120</f>
        <v>0</v>
      </c>
      <c r="BI120" s="274">
        <f t="shared" ref="BI120:BI130" si="539">BG120-$G120</f>
        <v>0</v>
      </c>
      <c r="BJ120" s="274">
        <f t="shared" ref="BJ120:BJ130" si="540">BH120-$H120</f>
        <v>0</v>
      </c>
      <c r="BK120" s="131" t="s">
        <v>51</v>
      </c>
      <c r="BL120" s="131" t="s">
        <v>51</v>
      </c>
      <c r="BM120" s="274">
        <f>'бюджет округа (района)'!AG120+'бюджеты поселений'!AG120</f>
        <v>0</v>
      </c>
      <c r="BN120" s="274">
        <f>'бюджет округа (района)'!AG120</f>
        <v>0</v>
      </c>
      <c r="BO120" s="274">
        <f t="shared" ref="BO120:BO130" si="541">BM120-$G120</f>
        <v>0</v>
      </c>
      <c r="BP120" s="274">
        <f t="shared" ref="BP120" si="542">BN120-$H120</f>
        <v>0</v>
      </c>
      <c r="BQ120" s="131" t="s">
        <v>51</v>
      </c>
      <c r="BR120" s="131" t="s">
        <v>51</v>
      </c>
      <c r="BS120" s="274">
        <f>'бюджет округа (района)'!AJ120+'бюджеты поселений'!AJ120</f>
        <v>0</v>
      </c>
      <c r="BT120" s="274">
        <f>'бюджет округа (района)'!AJ120</f>
        <v>0</v>
      </c>
      <c r="BU120" s="274">
        <f t="shared" ref="BU120:BU130" si="543">BS120-$G120</f>
        <v>0</v>
      </c>
      <c r="BV120" s="274">
        <f t="shared" ref="BV120" si="544">BT120-$H120</f>
        <v>0</v>
      </c>
      <c r="BW120" s="131" t="s">
        <v>51</v>
      </c>
      <c r="BX120" s="131" t="s">
        <v>51</v>
      </c>
      <c r="BY120" s="274">
        <f>'бюджет округа (района)'!AM120+'бюджеты поселений'!AM120</f>
        <v>0</v>
      </c>
      <c r="BZ120" s="274">
        <f>'бюджет округа (района)'!AM120</f>
        <v>0</v>
      </c>
      <c r="CA120" s="274">
        <f t="shared" ref="CA120:CA130" si="545">BY120-$G120</f>
        <v>0</v>
      </c>
      <c r="CB120" s="274">
        <f t="shared" ref="CB120" si="546">BZ120-$H120</f>
        <v>0</v>
      </c>
      <c r="CC120" s="131" t="s">
        <v>51</v>
      </c>
      <c r="CD120" s="131" t="s">
        <v>51</v>
      </c>
      <c r="CE120" s="274">
        <f>'бюджет округа (района)'!AP120+'бюджеты поселений'!AP120</f>
        <v>0</v>
      </c>
      <c r="CF120" s="274">
        <f>'бюджет округа (района)'!AP120</f>
        <v>0</v>
      </c>
      <c r="CG120" s="274">
        <f t="shared" ref="CG120:CG130" si="547">CE120-$G120</f>
        <v>0</v>
      </c>
      <c r="CH120" s="274">
        <f t="shared" ref="CH120" si="548">CF120-$H120</f>
        <v>0</v>
      </c>
      <c r="CI120" s="131" t="s">
        <v>51</v>
      </c>
      <c r="CJ120" s="131" t="s">
        <v>51</v>
      </c>
      <c r="CK120" s="274">
        <f>'бюджет округа (района)'!AS120+'бюджеты поселений'!AS120</f>
        <v>0</v>
      </c>
      <c r="CL120" s="274">
        <f>'бюджет округа (района)'!AS120</f>
        <v>0</v>
      </c>
      <c r="CM120" s="274">
        <f t="shared" ref="CM120:CM130" si="549">CK120-$G120</f>
        <v>0</v>
      </c>
      <c r="CN120" s="274">
        <f t="shared" ref="CN120" si="550">CL120-$H120</f>
        <v>0</v>
      </c>
      <c r="CO120" s="131" t="s">
        <v>51</v>
      </c>
      <c r="CP120" s="131" t="s">
        <v>51</v>
      </c>
      <c r="CQ120" s="274">
        <f>'бюджет округа (района)'!AV120+'бюджеты поселений'!AV120</f>
        <v>0</v>
      </c>
      <c r="CR120" s="274">
        <f>'бюджет округа (района)'!AV120</f>
        <v>0</v>
      </c>
      <c r="CS120" s="274">
        <f t="shared" ref="CS120:CS130" si="551">CQ120-$G120</f>
        <v>0</v>
      </c>
      <c r="CT120" s="274">
        <f t="shared" ref="CT120" si="552">CR120-$H120</f>
        <v>0</v>
      </c>
      <c r="CU120" s="131" t="s">
        <v>51</v>
      </c>
      <c r="CV120" s="131" t="s">
        <v>51</v>
      </c>
      <c r="CW120" s="274">
        <f>'бюджет округа (района)'!AY120+'бюджеты поселений'!AY120</f>
        <v>0</v>
      </c>
      <c r="CX120" s="274">
        <f>'бюджет округа (района)'!AY120</f>
        <v>0</v>
      </c>
      <c r="CY120" s="274">
        <f t="shared" ref="CY120:CY130" si="553">CW120-$G120</f>
        <v>0</v>
      </c>
      <c r="CZ120" s="274">
        <f t="shared" ref="CZ120" si="554">CX120-$H120</f>
        <v>0</v>
      </c>
      <c r="DA120" s="131" t="s">
        <v>51</v>
      </c>
      <c r="DB120" s="131" t="s">
        <v>51</v>
      </c>
      <c r="DC120" s="274">
        <f>'бюджет округа (района)'!BB120+'бюджеты поселений'!BB120</f>
        <v>0</v>
      </c>
      <c r="DD120" s="274">
        <f>'бюджет округа (района)'!BB120</f>
        <v>0</v>
      </c>
      <c r="DE120" s="274">
        <f t="shared" ref="DE120:DE130" si="555">DC120-$G120</f>
        <v>0</v>
      </c>
      <c r="DF120" s="274">
        <f t="shared" ref="DF120" si="556">DD120-$H120</f>
        <v>0</v>
      </c>
      <c r="DG120" s="131" t="s">
        <v>51</v>
      </c>
      <c r="DH120" s="131" t="s">
        <v>51</v>
      </c>
      <c r="DI120" s="274">
        <f>'бюджет округа (района)'!BE120+'бюджеты поселений'!BE120</f>
        <v>0</v>
      </c>
      <c r="DJ120" s="274">
        <f>'бюджет округа (района)'!BE120</f>
        <v>0</v>
      </c>
      <c r="DK120" s="131" t="s">
        <v>51</v>
      </c>
      <c r="DL120" s="131" t="s">
        <v>51</v>
      </c>
      <c r="DM120" s="237">
        <f t="shared" ref="DM120" si="557">IF(G120=0,1,BA120/G120)</f>
        <v>1</v>
      </c>
      <c r="DN120" s="131">
        <f t="shared" ref="DN120" si="558">IF(H120=0,1,BB120/H120)</f>
        <v>1</v>
      </c>
      <c r="DO120" s="274">
        <f>'бюджет округа (района)'!BH120+'бюджеты поселений'!BH120</f>
        <v>0</v>
      </c>
      <c r="DP120" s="274">
        <f>'бюджет округа (района)'!BH120</f>
        <v>0</v>
      </c>
      <c r="DQ120" s="274">
        <f>'бюджет округа (района)'!BI120+'бюджеты поселений'!BI120</f>
        <v>0</v>
      </c>
      <c r="DR120" s="274">
        <f>'бюджет округа (района)'!BI120</f>
        <v>0</v>
      </c>
      <c r="DS120" s="274">
        <v>0</v>
      </c>
      <c r="DT120" s="274">
        <v>0</v>
      </c>
      <c r="DU120" s="131">
        <f>IF(BA120=0,1,DS120/BA120-1)</f>
        <v>1</v>
      </c>
      <c r="DV120" s="131">
        <f>IF(BB120=0,1,DT120/BB120-1)</f>
        <v>1</v>
      </c>
      <c r="DW120" s="131" t="s">
        <v>51</v>
      </c>
      <c r="DX120" s="196" t="s">
        <v>51</v>
      </c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  <c r="EK120" s="86"/>
      <c r="EL120" s="86"/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6"/>
      <c r="EY120" s="86"/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6"/>
      <c r="FL120" s="86"/>
      <c r="FM120" s="86"/>
      <c r="FN120" s="86"/>
      <c r="FO120" s="86"/>
      <c r="FP120" s="86"/>
      <c r="FQ120" s="86"/>
      <c r="FR120" s="86"/>
      <c r="FS120" s="86"/>
      <c r="FT120" s="86"/>
      <c r="FU120" s="86"/>
      <c r="FV120" s="86"/>
      <c r="FW120" s="86"/>
      <c r="FX120" s="86"/>
      <c r="FY120" s="86"/>
      <c r="FZ120" s="86"/>
      <c r="GA120" s="86"/>
      <c r="GB120" s="86"/>
      <c r="GC120" s="86"/>
      <c r="GD120" s="86"/>
      <c r="GE120" s="86"/>
      <c r="GF120" s="86"/>
      <c r="GG120" s="86"/>
      <c r="GH120" s="86"/>
      <c r="GI120" s="86"/>
      <c r="GJ120" s="86"/>
      <c r="GK120" s="86"/>
      <c r="GL120" s="86"/>
      <c r="GM120" s="86"/>
      <c r="GN120" s="86"/>
      <c r="GO120" s="86"/>
      <c r="GP120" s="86"/>
      <c r="GQ120" s="86"/>
      <c r="GR120" s="86"/>
      <c r="GS120" s="86"/>
      <c r="GT120" s="86"/>
      <c r="GU120" s="86"/>
      <c r="GV120" s="86"/>
      <c r="GW120" s="86"/>
      <c r="GX120" s="86"/>
      <c r="GY120" s="86"/>
      <c r="GZ120" s="86"/>
      <c r="HA120" s="86"/>
      <c r="HB120" s="86"/>
      <c r="HC120" s="86"/>
      <c r="HD120" s="86"/>
      <c r="HE120" s="86"/>
      <c r="HF120" s="86"/>
      <c r="HG120" s="86"/>
      <c r="HH120" s="86"/>
      <c r="HI120" s="86"/>
      <c r="HJ120" s="86"/>
      <c r="HK120" s="86"/>
      <c r="HL120" s="86"/>
      <c r="HM120" s="86"/>
      <c r="HN120" s="86"/>
      <c r="HO120" s="86"/>
      <c r="HP120" s="86"/>
      <c r="HQ120" s="86"/>
      <c r="HR120" s="86"/>
      <c r="HS120" s="86"/>
      <c r="HT120" s="86"/>
      <c r="HU120" s="86"/>
      <c r="HV120" s="86"/>
      <c r="HW120" s="86"/>
      <c r="HX120" s="86"/>
      <c r="HY120" s="86"/>
      <c r="HZ120" s="86"/>
      <c r="IA120" s="86"/>
      <c r="IB120" s="86"/>
      <c r="IC120" s="86"/>
      <c r="ID120" s="86"/>
      <c r="IE120" s="86"/>
      <c r="IF120" s="86"/>
      <c r="IG120" s="86"/>
      <c r="IH120" s="86"/>
      <c r="II120" s="86"/>
      <c r="IJ120" s="86"/>
      <c r="IK120" s="86"/>
      <c r="IL120" s="86"/>
      <c r="IM120" s="86"/>
      <c r="IN120" s="86"/>
      <c r="IO120" s="86"/>
      <c r="IP120" s="86"/>
      <c r="IQ120" s="86"/>
      <c r="IR120" s="86"/>
      <c r="IS120" s="86"/>
      <c r="IT120" s="86"/>
      <c r="IU120" s="86"/>
      <c r="IV120" s="86"/>
      <c r="IW120" s="86"/>
      <c r="IX120" s="86"/>
      <c r="IY120" s="86"/>
      <c r="IZ120" s="86"/>
      <c r="JA120" s="86"/>
      <c r="JB120" s="86"/>
      <c r="JC120" s="86"/>
      <c r="JD120" s="86"/>
      <c r="JE120" s="86"/>
      <c r="JF120" s="86"/>
      <c r="JG120" s="86"/>
      <c r="JH120" s="86"/>
    </row>
    <row r="121" spans="1:268" s="66" customFormat="1" ht="16.5">
      <c r="A121" s="345" t="s">
        <v>75</v>
      </c>
      <c r="B121" s="278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>
        <f t="shared" ref="AW121" si="559">G121-E121</f>
        <v>0</v>
      </c>
      <c r="AX121" s="161">
        <f t="shared" ref="AX121:AX122" si="560">H121-F121</f>
        <v>0</v>
      </c>
      <c r="AY121" s="161">
        <f>'бюджет округа (района)'!Z121+'бюджеты поселений'!Z121</f>
        <v>0</v>
      </c>
      <c r="AZ121" s="161">
        <f>'бюджет округа (района)'!Z121</f>
        <v>0</v>
      </c>
      <c r="BA121" s="161">
        <f t="shared" ref="BA121" si="561">K121-I121</f>
        <v>0</v>
      </c>
      <c r="BB121" s="161">
        <f t="shared" ref="BB121:BB122" si="562">L121-J121</f>
        <v>0</v>
      </c>
      <c r="BC121" s="162" t="s">
        <v>51</v>
      </c>
      <c r="BD121" s="162" t="s">
        <v>51</v>
      </c>
      <c r="BE121" s="161">
        <f>'бюджет округа (района)'!AC121+'бюджеты поселений'!AC121</f>
        <v>0</v>
      </c>
      <c r="BF121" s="161">
        <f>'бюджет округа (района)'!AC121</f>
        <v>0</v>
      </c>
      <c r="BG121" s="161">
        <f>'бюджет округа (района)'!AD121+'бюджеты поселений'!AD121</f>
        <v>0</v>
      </c>
      <c r="BH121" s="161">
        <f>'бюджет округа (района)'!AD121</f>
        <v>0</v>
      </c>
      <c r="BI121" s="161">
        <f t="shared" si="539"/>
        <v>0</v>
      </c>
      <c r="BJ121" s="161">
        <f>BH121-$H121</f>
        <v>0</v>
      </c>
      <c r="BK121" s="162" t="s">
        <v>51</v>
      </c>
      <c r="BL121" s="162" t="s">
        <v>51</v>
      </c>
      <c r="BM121" s="161">
        <f>'бюджет округа (района)'!AG121+'бюджеты поселений'!AG121</f>
        <v>0</v>
      </c>
      <c r="BN121" s="161">
        <f>'бюджет округа (района)'!AG121</f>
        <v>0</v>
      </c>
      <c r="BO121" s="161">
        <f t="shared" si="541"/>
        <v>0</v>
      </c>
      <c r="BP121" s="161">
        <f>BN121-$H121</f>
        <v>0</v>
      </c>
      <c r="BQ121" s="162" t="s">
        <v>51</v>
      </c>
      <c r="BR121" s="162" t="s">
        <v>51</v>
      </c>
      <c r="BS121" s="161">
        <f>'бюджет округа (района)'!AJ121+'бюджеты поселений'!AJ121</f>
        <v>0</v>
      </c>
      <c r="BT121" s="161">
        <f>'бюджет округа (района)'!AJ121</f>
        <v>0</v>
      </c>
      <c r="BU121" s="161">
        <f t="shared" si="543"/>
        <v>0</v>
      </c>
      <c r="BV121" s="161">
        <f>BT121-$H121</f>
        <v>0</v>
      </c>
      <c r="BW121" s="162" t="s">
        <v>51</v>
      </c>
      <c r="BX121" s="162" t="s">
        <v>51</v>
      </c>
      <c r="BY121" s="161">
        <f>'бюджет округа (района)'!AM121+'бюджеты поселений'!AM121</f>
        <v>0</v>
      </c>
      <c r="BZ121" s="161">
        <f>'бюджет округа (района)'!AM121</f>
        <v>0</v>
      </c>
      <c r="CA121" s="161">
        <f t="shared" si="545"/>
        <v>0</v>
      </c>
      <c r="CB121" s="161">
        <f>BZ121-$H121</f>
        <v>0</v>
      </c>
      <c r="CC121" s="162" t="s">
        <v>51</v>
      </c>
      <c r="CD121" s="162" t="s">
        <v>51</v>
      </c>
      <c r="CE121" s="161">
        <f>'бюджет округа (района)'!AP121+'бюджеты поселений'!AP121</f>
        <v>0</v>
      </c>
      <c r="CF121" s="161">
        <f>'бюджет округа (района)'!AP121</f>
        <v>0</v>
      </c>
      <c r="CG121" s="161">
        <f t="shared" si="547"/>
        <v>0</v>
      </c>
      <c r="CH121" s="161">
        <f>CF121-$H121</f>
        <v>0</v>
      </c>
      <c r="CI121" s="162" t="s">
        <v>51</v>
      </c>
      <c r="CJ121" s="162" t="s">
        <v>51</v>
      </c>
      <c r="CK121" s="161">
        <f>'бюджет округа (района)'!AS121+'бюджеты поселений'!AS121</f>
        <v>0</v>
      </c>
      <c r="CL121" s="161">
        <f>'бюджет округа (района)'!AS121</f>
        <v>0</v>
      </c>
      <c r="CM121" s="161">
        <f t="shared" si="549"/>
        <v>0</v>
      </c>
      <c r="CN121" s="161">
        <f>CL121-$H121</f>
        <v>0</v>
      </c>
      <c r="CO121" s="162" t="s">
        <v>51</v>
      </c>
      <c r="CP121" s="162" t="s">
        <v>51</v>
      </c>
      <c r="CQ121" s="161">
        <f>'бюджет округа (района)'!AV121+'бюджеты поселений'!AV121</f>
        <v>0</v>
      </c>
      <c r="CR121" s="161">
        <f>'бюджет округа (района)'!AV121</f>
        <v>0</v>
      </c>
      <c r="CS121" s="161">
        <f t="shared" si="551"/>
        <v>0</v>
      </c>
      <c r="CT121" s="161">
        <f>CR121-$H121</f>
        <v>0</v>
      </c>
      <c r="CU121" s="162" t="s">
        <v>51</v>
      </c>
      <c r="CV121" s="162" t="s">
        <v>51</v>
      </c>
      <c r="CW121" s="161">
        <f>'бюджет округа (района)'!AY121+'бюджеты поселений'!AY121</f>
        <v>0</v>
      </c>
      <c r="CX121" s="161">
        <f>'бюджет округа (района)'!AY121</f>
        <v>0</v>
      </c>
      <c r="CY121" s="161">
        <f t="shared" si="553"/>
        <v>0</v>
      </c>
      <c r="CZ121" s="161">
        <f>CX121-$H121</f>
        <v>0</v>
      </c>
      <c r="DA121" s="162" t="s">
        <v>51</v>
      </c>
      <c r="DB121" s="162" t="s">
        <v>51</v>
      </c>
      <c r="DC121" s="161">
        <f>'бюджет округа (района)'!BB121+'бюджеты поселений'!BB121</f>
        <v>0</v>
      </c>
      <c r="DD121" s="161">
        <f>'бюджет округа (района)'!BB121</f>
        <v>0</v>
      </c>
      <c r="DE121" s="161">
        <f t="shared" si="555"/>
        <v>0</v>
      </c>
      <c r="DF121" s="161">
        <f>DD121-$H121</f>
        <v>0</v>
      </c>
      <c r="DG121" s="162" t="s">
        <v>51</v>
      </c>
      <c r="DH121" s="162" t="s">
        <v>51</v>
      </c>
      <c r="DI121" s="161">
        <f>'бюджет округа (района)'!BE121+'бюджеты поселений'!BE121</f>
        <v>0</v>
      </c>
      <c r="DJ121" s="161">
        <f>'бюджет округа (района)'!BE121</f>
        <v>0</v>
      </c>
      <c r="DK121" s="162" t="s">
        <v>51</v>
      </c>
      <c r="DL121" s="162" t="s">
        <v>51</v>
      </c>
      <c r="DM121" s="238">
        <f t="shared" ref="DM121:DM127" si="563">IF(G121=0,1,BA121/G121)</f>
        <v>1</v>
      </c>
      <c r="DN121" s="162">
        <f t="shared" ref="DN121:DN127" si="564">IF(H121=0,1,BB121/H121)</f>
        <v>1</v>
      </c>
      <c r="DO121" s="161">
        <f>'бюджет округа (района)'!BH121+'бюджеты поселений'!BH121</f>
        <v>0</v>
      </c>
      <c r="DP121" s="161">
        <f>'бюджет округа (района)'!BH121</f>
        <v>0</v>
      </c>
      <c r="DQ121" s="161">
        <f>'бюджет округа (района)'!BI121+'бюджеты поселений'!BI121</f>
        <v>0</v>
      </c>
      <c r="DR121" s="161">
        <f>'бюджет округа (района)'!BI121</f>
        <v>0</v>
      </c>
      <c r="DS121" s="161">
        <v>0</v>
      </c>
      <c r="DT121" s="161">
        <v>0</v>
      </c>
      <c r="DU121" s="162">
        <f>IF(BA121=0,1,DS121/BA121-1)</f>
        <v>1</v>
      </c>
      <c r="DV121" s="162">
        <f t="shared" ref="DV121:DV122" si="565">IF(BB121=0,1,DT121/BB121-1)</f>
        <v>1</v>
      </c>
      <c r="DW121" s="162" t="s">
        <v>51</v>
      </c>
      <c r="DX121" s="203" t="s">
        <v>51</v>
      </c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65"/>
      <c r="IZ121" s="65"/>
      <c r="JA121" s="65"/>
      <c r="JB121" s="65"/>
      <c r="JC121" s="65"/>
      <c r="JD121" s="65"/>
      <c r="JE121" s="65"/>
      <c r="JF121" s="65"/>
      <c r="JG121" s="65"/>
      <c r="JH121" s="65"/>
    </row>
    <row r="122" spans="1:268" s="66" customFormat="1" ht="18.75" customHeight="1">
      <c r="A122" s="345" t="s">
        <v>76</v>
      </c>
      <c r="B122" s="278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>
        <f>G122-E122</f>
        <v>0</v>
      </c>
      <c r="AX122" s="161">
        <f t="shared" si="560"/>
        <v>0</v>
      </c>
      <c r="AY122" s="161">
        <f>'бюджет округа (района)'!Z122+'бюджеты поселений'!Z122</f>
        <v>0</v>
      </c>
      <c r="AZ122" s="161">
        <f>'бюджет округа (района)'!Z122</f>
        <v>0</v>
      </c>
      <c r="BA122" s="161">
        <f>K122-I122</f>
        <v>0</v>
      </c>
      <c r="BB122" s="161">
        <f t="shared" si="562"/>
        <v>0</v>
      </c>
      <c r="BC122" s="162" t="s">
        <v>51</v>
      </c>
      <c r="BD122" s="162" t="s">
        <v>51</v>
      </c>
      <c r="BE122" s="161">
        <f>'бюджет округа (района)'!AC122+'бюджеты поселений'!AC122</f>
        <v>0</v>
      </c>
      <c r="BF122" s="161">
        <f>'бюджет округа (района)'!AC122</f>
        <v>0</v>
      </c>
      <c r="BG122" s="161">
        <f>'бюджет округа (района)'!AD122+'бюджеты поселений'!AD122</f>
        <v>0</v>
      </c>
      <c r="BH122" s="161">
        <f>'бюджет округа (района)'!AD122</f>
        <v>0</v>
      </c>
      <c r="BI122" s="161">
        <f t="shared" si="539"/>
        <v>0</v>
      </c>
      <c r="BJ122" s="161">
        <f t="shared" si="540"/>
        <v>0</v>
      </c>
      <c r="BK122" s="162" t="s">
        <v>51</v>
      </c>
      <c r="BL122" s="162" t="s">
        <v>51</v>
      </c>
      <c r="BM122" s="161">
        <f>'бюджет округа (района)'!AG122+'бюджеты поселений'!AG122</f>
        <v>0</v>
      </c>
      <c r="BN122" s="161">
        <f>'бюджет округа (района)'!AG122</f>
        <v>0</v>
      </c>
      <c r="BO122" s="161">
        <f t="shared" si="541"/>
        <v>0</v>
      </c>
      <c r="BP122" s="161">
        <f t="shared" ref="BP122" si="566">BN122-$H122</f>
        <v>0</v>
      </c>
      <c r="BQ122" s="162" t="s">
        <v>51</v>
      </c>
      <c r="BR122" s="162" t="s">
        <v>51</v>
      </c>
      <c r="BS122" s="161">
        <f>'бюджет округа (района)'!AJ122+'бюджеты поселений'!AJ122</f>
        <v>0</v>
      </c>
      <c r="BT122" s="161">
        <f>'бюджет округа (района)'!AJ122</f>
        <v>0</v>
      </c>
      <c r="BU122" s="161">
        <f t="shared" si="543"/>
        <v>0</v>
      </c>
      <c r="BV122" s="161">
        <f t="shared" ref="BV122" si="567">BT122-$H122</f>
        <v>0</v>
      </c>
      <c r="BW122" s="162" t="s">
        <v>51</v>
      </c>
      <c r="BX122" s="162" t="s">
        <v>51</v>
      </c>
      <c r="BY122" s="161">
        <f>'бюджет округа (района)'!AM122+'бюджеты поселений'!AM122</f>
        <v>0</v>
      </c>
      <c r="BZ122" s="161">
        <f>'бюджет округа (района)'!AM122</f>
        <v>0</v>
      </c>
      <c r="CA122" s="161">
        <f t="shared" si="545"/>
        <v>0</v>
      </c>
      <c r="CB122" s="161">
        <f t="shared" ref="CB122" si="568">BZ122-$H122</f>
        <v>0</v>
      </c>
      <c r="CC122" s="162" t="s">
        <v>51</v>
      </c>
      <c r="CD122" s="162" t="s">
        <v>51</v>
      </c>
      <c r="CE122" s="161">
        <f>'бюджет округа (района)'!AP122+'бюджеты поселений'!AP122</f>
        <v>0</v>
      </c>
      <c r="CF122" s="161">
        <f>'бюджет округа (района)'!AP122</f>
        <v>0</v>
      </c>
      <c r="CG122" s="161">
        <f t="shared" si="547"/>
        <v>0</v>
      </c>
      <c r="CH122" s="161">
        <f t="shared" ref="CH122" si="569">CF122-$H122</f>
        <v>0</v>
      </c>
      <c r="CI122" s="162" t="s">
        <v>51</v>
      </c>
      <c r="CJ122" s="162" t="s">
        <v>51</v>
      </c>
      <c r="CK122" s="161">
        <f>'бюджет округа (района)'!AS122+'бюджеты поселений'!AS122</f>
        <v>0</v>
      </c>
      <c r="CL122" s="161">
        <f>'бюджет округа (района)'!AS122</f>
        <v>0</v>
      </c>
      <c r="CM122" s="161">
        <f t="shared" si="549"/>
        <v>0</v>
      </c>
      <c r="CN122" s="161">
        <f t="shared" ref="CN122" si="570">CL122-$H122</f>
        <v>0</v>
      </c>
      <c r="CO122" s="162" t="s">
        <v>51</v>
      </c>
      <c r="CP122" s="162" t="s">
        <v>51</v>
      </c>
      <c r="CQ122" s="161">
        <f>'бюджет округа (района)'!AV122+'бюджеты поселений'!AV122</f>
        <v>0</v>
      </c>
      <c r="CR122" s="161">
        <f>'бюджет округа (района)'!AV122</f>
        <v>0</v>
      </c>
      <c r="CS122" s="161">
        <f t="shared" si="551"/>
        <v>0</v>
      </c>
      <c r="CT122" s="161">
        <f t="shared" ref="CT122" si="571">CR122-$H122</f>
        <v>0</v>
      </c>
      <c r="CU122" s="162" t="s">
        <v>51</v>
      </c>
      <c r="CV122" s="162" t="s">
        <v>51</v>
      </c>
      <c r="CW122" s="161">
        <f>'бюджет округа (района)'!AY122+'бюджеты поселений'!AY122</f>
        <v>0</v>
      </c>
      <c r="CX122" s="161">
        <f>'бюджет округа (района)'!AY122</f>
        <v>0</v>
      </c>
      <c r="CY122" s="161">
        <f t="shared" si="553"/>
        <v>0</v>
      </c>
      <c r="CZ122" s="161">
        <f t="shared" ref="CZ122" si="572">CX122-$H122</f>
        <v>0</v>
      </c>
      <c r="DA122" s="162" t="s">
        <v>51</v>
      </c>
      <c r="DB122" s="162" t="s">
        <v>51</v>
      </c>
      <c r="DC122" s="161">
        <f>'бюджет округа (района)'!BB122+'бюджеты поселений'!BB122</f>
        <v>0</v>
      </c>
      <c r="DD122" s="161">
        <f>'бюджет округа (района)'!BB122</f>
        <v>0</v>
      </c>
      <c r="DE122" s="161">
        <f t="shared" si="555"/>
        <v>0</v>
      </c>
      <c r="DF122" s="161">
        <f t="shared" ref="DF122" si="573">DD122-$H122</f>
        <v>0</v>
      </c>
      <c r="DG122" s="162" t="s">
        <v>51</v>
      </c>
      <c r="DH122" s="162" t="s">
        <v>51</v>
      </c>
      <c r="DI122" s="161">
        <f>'бюджет округа (района)'!BE122+'бюджеты поселений'!BE122</f>
        <v>0</v>
      </c>
      <c r="DJ122" s="161">
        <f>'бюджет округа (района)'!BE122</f>
        <v>0</v>
      </c>
      <c r="DK122" s="162" t="s">
        <v>51</v>
      </c>
      <c r="DL122" s="162" t="s">
        <v>51</v>
      </c>
      <c r="DM122" s="238">
        <f t="shared" si="563"/>
        <v>1</v>
      </c>
      <c r="DN122" s="162">
        <f t="shared" si="564"/>
        <v>1</v>
      </c>
      <c r="DO122" s="161">
        <f>'бюджет округа (района)'!BH122+'бюджеты поселений'!BH122</f>
        <v>0</v>
      </c>
      <c r="DP122" s="161">
        <f>'бюджет округа (района)'!BH122</f>
        <v>0</v>
      </c>
      <c r="DQ122" s="161">
        <f>'бюджет округа (района)'!BI122+'бюджеты поселений'!BI122</f>
        <v>0</v>
      </c>
      <c r="DR122" s="161">
        <f>'бюджет округа (района)'!BI122</f>
        <v>0</v>
      </c>
      <c r="DS122" s="161">
        <v>0</v>
      </c>
      <c r="DT122" s="161">
        <v>0</v>
      </c>
      <c r="DU122" s="162">
        <f t="shared" ref="DU122:DU123" si="574">IF(BA122=0,1,DS122/BA122-1)</f>
        <v>1</v>
      </c>
      <c r="DV122" s="162">
        <f t="shared" si="565"/>
        <v>1</v>
      </c>
      <c r="DW122" s="162" t="s">
        <v>51</v>
      </c>
      <c r="DX122" s="203" t="s">
        <v>51</v>
      </c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  <c r="IW122" s="65"/>
      <c r="IX122" s="65"/>
      <c r="IY122" s="65"/>
      <c r="IZ122" s="65"/>
      <c r="JA122" s="65"/>
      <c r="JB122" s="65"/>
      <c r="JC122" s="65"/>
      <c r="JD122" s="65"/>
      <c r="JE122" s="65"/>
      <c r="JF122" s="65"/>
      <c r="JG122" s="65"/>
      <c r="JH122" s="65"/>
    </row>
    <row r="123" spans="1:268" s="66" customFormat="1" ht="18.75" customHeight="1">
      <c r="A123" s="345" t="s">
        <v>129</v>
      </c>
      <c r="B123" s="27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>
        <v>262</v>
      </c>
      <c r="AX123" s="138">
        <v>262</v>
      </c>
      <c r="AY123" s="138">
        <f>'бюджет округа (района)'!Z123+'бюджеты поселений'!Z123</f>
        <v>0</v>
      </c>
      <c r="AZ123" s="138">
        <f>'бюджет округа (района)'!Z123</f>
        <v>0</v>
      </c>
      <c r="BA123" s="138">
        <v>0</v>
      </c>
      <c r="BB123" s="138">
        <v>0</v>
      </c>
      <c r="BC123" s="162" t="s">
        <v>51</v>
      </c>
      <c r="BD123" s="162" t="s">
        <v>51</v>
      </c>
      <c r="BE123" s="138">
        <f>'бюджет округа (района)'!AC123+'бюджеты поселений'!AC123</f>
        <v>0</v>
      </c>
      <c r="BF123" s="138">
        <f>'бюджет округа (района)'!AC123</f>
        <v>0</v>
      </c>
      <c r="BG123" s="138">
        <f>'бюджет округа (района)'!AD123+'бюджеты поселений'!AD123</f>
        <v>0</v>
      </c>
      <c r="BH123" s="138">
        <f>'бюджет округа (района)'!AD123</f>
        <v>0</v>
      </c>
      <c r="BI123" s="138">
        <f t="shared" si="539"/>
        <v>0</v>
      </c>
      <c r="BJ123" s="138">
        <f>BH123-$H123</f>
        <v>0</v>
      </c>
      <c r="BK123" s="162" t="s">
        <v>51</v>
      </c>
      <c r="BL123" s="162" t="s">
        <v>51</v>
      </c>
      <c r="BM123" s="138">
        <f>'бюджет округа (района)'!AG123+'бюджеты поселений'!AG123</f>
        <v>0</v>
      </c>
      <c r="BN123" s="138">
        <f>'бюджет округа (района)'!AG123</f>
        <v>0</v>
      </c>
      <c r="BO123" s="138">
        <f t="shared" si="541"/>
        <v>0</v>
      </c>
      <c r="BP123" s="138">
        <f>BN123-$H123</f>
        <v>0</v>
      </c>
      <c r="BQ123" s="162" t="s">
        <v>51</v>
      </c>
      <c r="BR123" s="162" t="s">
        <v>51</v>
      </c>
      <c r="BS123" s="138">
        <f>'бюджет округа (района)'!AJ123+'бюджеты поселений'!AJ123</f>
        <v>0</v>
      </c>
      <c r="BT123" s="138">
        <f>'бюджет округа (района)'!AJ123</f>
        <v>0</v>
      </c>
      <c r="BU123" s="138">
        <f t="shared" si="543"/>
        <v>0</v>
      </c>
      <c r="BV123" s="138">
        <f>BT123-$H123</f>
        <v>0</v>
      </c>
      <c r="BW123" s="162" t="s">
        <v>51</v>
      </c>
      <c r="BX123" s="162" t="s">
        <v>51</v>
      </c>
      <c r="BY123" s="138">
        <f>'бюджет округа (района)'!AM123+'бюджеты поселений'!AM123</f>
        <v>0</v>
      </c>
      <c r="BZ123" s="138">
        <f>'бюджет округа (района)'!AM123</f>
        <v>0</v>
      </c>
      <c r="CA123" s="138">
        <f t="shared" si="545"/>
        <v>0</v>
      </c>
      <c r="CB123" s="138">
        <f>BZ123-$H123</f>
        <v>0</v>
      </c>
      <c r="CC123" s="162" t="s">
        <v>51</v>
      </c>
      <c r="CD123" s="162" t="s">
        <v>51</v>
      </c>
      <c r="CE123" s="138">
        <f>'бюджет округа (района)'!AP123+'бюджеты поселений'!AP123</f>
        <v>0</v>
      </c>
      <c r="CF123" s="138">
        <f>'бюджет округа (района)'!AP123</f>
        <v>0</v>
      </c>
      <c r="CG123" s="138">
        <f t="shared" si="547"/>
        <v>0</v>
      </c>
      <c r="CH123" s="138">
        <f>CF123-$H123</f>
        <v>0</v>
      </c>
      <c r="CI123" s="162" t="s">
        <v>51</v>
      </c>
      <c r="CJ123" s="162" t="s">
        <v>51</v>
      </c>
      <c r="CK123" s="138">
        <f>'бюджет округа (района)'!AS123+'бюджеты поселений'!AS123</f>
        <v>0</v>
      </c>
      <c r="CL123" s="138">
        <f>'бюджет округа (района)'!AS123</f>
        <v>0</v>
      </c>
      <c r="CM123" s="138">
        <f t="shared" si="549"/>
        <v>0</v>
      </c>
      <c r="CN123" s="138">
        <f>CL123-$H123</f>
        <v>0</v>
      </c>
      <c r="CO123" s="162" t="s">
        <v>51</v>
      </c>
      <c r="CP123" s="162" t="s">
        <v>51</v>
      </c>
      <c r="CQ123" s="138">
        <f>'бюджет округа (района)'!AV123+'бюджеты поселений'!AV123</f>
        <v>0</v>
      </c>
      <c r="CR123" s="138">
        <f>'бюджет округа (района)'!AV123</f>
        <v>0</v>
      </c>
      <c r="CS123" s="138">
        <f t="shared" si="551"/>
        <v>0</v>
      </c>
      <c r="CT123" s="138">
        <f>CR123-$H123</f>
        <v>0</v>
      </c>
      <c r="CU123" s="162" t="s">
        <v>51</v>
      </c>
      <c r="CV123" s="162" t="s">
        <v>51</v>
      </c>
      <c r="CW123" s="138">
        <f>'бюджет округа (района)'!AY123+'бюджеты поселений'!AY123</f>
        <v>0</v>
      </c>
      <c r="CX123" s="138">
        <f>'бюджет округа (района)'!AY123</f>
        <v>0</v>
      </c>
      <c r="CY123" s="138">
        <f t="shared" si="553"/>
        <v>0</v>
      </c>
      <c r="CZ123" s="138">
        <f>CX123-$H123</f>
        <v>0</v>
      </c>
      <c r="DA123" s="162" t="s">
        <v>51</v>
      </c>
      <c r="DB123" s="162" t="s">
        <v>51</v>
      </c>
      <c r="DC123" s="138">
        <f>'бюджет округа (района)'!BB123+'бюджеты поселений'!BB123</f>
        <v>0</v>
      </c>
      <c r="DD123" s="138">
        <f>'бюджет округа (района)'!BB123</f>
        <v>0</v>
      </c>
      <c r="DE123" s="138">
        <f t="shared" si="555"/>
        <v>0</v>
      </c>
      <c r="DF123" s="138">
        <f>DD123-$H123</f>
        <v>0</v>
      </c>
      <c r="DG123" s="162" t="s">
        <v>51</v>
      </c>
      <c r="DH123" s="162" t="s">
        <v>51</v>
      </c>
      <c r="DI123" s="138">
        <f>'бюджет округа (района)'!BE123+'бюджеты поселений'!BE123</f>
        <v>0</v>
      </c>
      <c r="DJ123" s="138">
        <f>'бюджет округа (района)'!BE123</f>
        <v>0</v>
      </c>
      <c r="DK123" s="162" t="s">
        <v>51</v>
      </c>
      <c r="DL123" s="162" t="s">
        <v>51</v>
      </c>
      <c r="DM123" s="238">
        <f t="shared" si="563"/>
        <v>1</v>
      </c>
      <c r="DN123" s="162">
        <f t="shared" si="564"/>
        <v>1</v>
      </c>
      <c r="DO123" s="138">
        <f>'бюджет округа (района)'!BH123+'бюджеты поселений'!BH123</f>
        <v>0</v>
      </c>
      <c r="DP123" s="138">
        <f>'бюджет округа (района)'!BH123</f>
        <v>0</v>
      </c>
      <c r="DQ123" s="138">
        <f>'бюджет округа (района)'!BI123+'бюджеты поселений'!BI123</f>
        <v>0</v>
      </c>
      <c r="DR123" s="138">
        <f>'бюджет округа (района)'!BI123</f>
        <v>0</v>
      </c>
      <c r="DS123" s="138">
        <v>0</v>
      </c>
      <c r="DT123" s="138">
        <v>0</v>
      </c>
      <c r="DU123" s="272">
        <f t="shared" si="574"/>
        <v>1</v>
      </c>
      <c r="DV123" s="162">
        <f>IF(BB123=0,1,DT123/BB123-1)</f>
        <v>1</v>
      </c>
      <c r="DW123" s="162" t="s">
        <v>51</v>
      </c>
      <c r="DX123" s="203" t="s">
        <v>51</v>
      </c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  <c r="IW123" s="65"/>
      <c r="IX123" s="65"/>
      <c r="IY123" s="65"/>
      <c r="IZ123" s="65"/>
      <c r="JA123" s="65"/>
      <c r="JB123" s="65"/>
      <c r="JC123" s="65"/>
      <c r="JD123" s="65"/>
      <c r="JE123" s="65"/>
      <c r="JF123" s="65"/>
      <c r="JG123" s="65"/>
      <c r="JH123" s="65"/>
    </row>
    <row r="124" spans="1:268" s="87" customFormat="1" ht="48.75" customHeight="1">
      <c r="A124" s="341" t="s">
        <v>179</v>
      </c>
      <c r="B124" s="280"/>
      <c r="C124" s="267">
        <v>0</v>
      </c>
      <c r="D124" s="267">
        <v>0</v>
      </c>
      <c r="E124" s="267">
        <v>0</v>
      </c>
      <c r="F124" s="267">
        <v>0</v>
      </c>
      <c r="G124" s="267">
        <v>0</v>
      </c>
      <c r="H124" s="267">
        <v>0</v>
      </c>
      <c r="I124" s="267">
        <f>'бюджет округа (района)'!E124+'бюджеты поселений'!E124</f>
        <v>0</v>
      </c>
      <c r="J124" s="267">
        <f>'бюджет округа (района)'!E124</f>
        <v>0</v>
      </c>
      <c r="K124" s="267">
        <f>'бюджет округа (района)'!F124+'бюджеты поселений'!F124</f>
        <v>0</v>
      </c>
      <c r="L124" s="267">
        <f>'бюджет округа (района)'!F124</f>
        <v>0</v>
      </c>
      <c r="M124" s="267">
        <f t="shared" ref="M124:M130" si="575">K124-$E124</f>
        <v>0</v>
      </c>
      <c r="N124" s="267">
        <f t="shared" ref="N124:N130" si="576">L124-$F124</f>
        <v>0</v>
      </c>
      <c r="O124" s="267">
        <f>'бюджет округа (района)'!H124+'бюджеты поселений'!H124</f>
        <v>0</v>
      </c>
      <c r="P124" s="267">
        <f>'бюджет округа (района)'!H124</f>
        <v>0</v>
      </c>
      <c r="Q124" s="267">
        <f t="shared" ref="Q124:Q130" si="577">O124-$E124</f>
        <v>0</v>
      </c>
      <c r="R124" s="267">
        <f t="shared" ref="R124:R130" si="578">P124-$F124</f>
        <v>0</v>
      </c>
      <c r="S124" s="267">
        <f>'бюджет округа (района)'!J124+'бюджеты поселений'!J124</f>
        <v>0</v>
      </c>
      <c r="T124" s="267">
        <f>'бюджет округа (района)'!J124</f>
        <v>0</v>
      </c>
      <c r="U124" s="267">
        <f t="shared" ref="U124:U130" si="579">S124-$E124</f>
        <v>0</v>
      </c>
      <c r="V124" s="267">
        <f t="shared" ref="V124:V130" si="580">T124-$F124</f>
        <v>0</v>
      </c>
      <c r="W124" s="267">
        <f>'бюджет округа (района)'!L124+'бюджеты поселений'!L124</f>
        <v>0</v>
      </c>
      <c r="X124" s="267">
        <f>'бюджет округа (района)'!L124</f>
        <v>0</v>
      </c>
      <c r="Y124" s="267">
        <f t="shared" ref="Y124:Y130" si="581">W124-$E124</f>
        <v>0</v>
      </c>
      <c r="Z124" s="267">
        <f t="shared" ref="Z124:Z130" si="582">X124-$F124</f>
        <v>0</v>
      </c>
      <c r="AA124" s="267">
        <f>'бюджет округа (района)'!N124+'бюджеты поселений'!N124</f>
        <v>0</v>
      </c>
      <c r="AB124" s="267">
        <f>'бюджет округа (района)'!N124</f>
        <v>0</v>
      </c>
      <c r="AC124" s="267">
        <f t="shared" ref="AC124:AC130" si="583">AA124-$E124</f>
        <v>0</v>
      </c>
      <c r="AD124" s="267">
        <f t="shared" ref="AD124:AD130" si="584">AB124-$F124</f>
        <v>0</v>
      </c>
      <c r="AE124" s="267">
        <f>'бюджет округа (района)'!P124+'бюджеты поселений'!P124</f>
        <v>0</v>
      </c>
      <c r="AF124" s="267">
        <f>'бюджет округа (района)'!P124</f>
        <v>0</v>
      </c>
      <c r="AG124" s="267">
        <f t="shared" ref="AG124:AG130" si="585">AE124-$E124</f>
        <v>0</v>
      </c>
      <c r="AH124" s="267">
        <f t="shared" ref="AH124:AH130" si="586">AF124-$F124</f>
        <v>0</v>
      </c>
      <c r="AI124" s="267">
        <f>'бюджет округа (района)'!R124+'бюджеты поселений'!R124</f>
        <v>0</v>
      </c>
      <c r="AJ124" s="267">
        <f>'бюджет округа (района)'!R124</f>
        <v>0</v>
      </c>
      <c r="AK124" s="267">
        <f t="shared" ref="AK124:AK130" si="587">AI124-$E124</f>
        <v>0</v>
      </c>
      <c r="AL124" s="267">
        <f t="shared" ref="AL124:AL130" si="588">AJ124-$F124</f>
        <v>0</v>
      </c>
      <c r="AM124" s="267">
        <f>'бюджет округа (района)'!T124+'бюджеты поселений'!T124</f>
        <v>0</v>
      </c>
      <c r="AN124" s="267">
        <f>'бюджет округа (района)'!T124</f>
        <v>0</v>
      </c>
      <c r="AO124" s="267">
        <f t="shared" ref="AO124:AO130" si="589">AM124-$E124</f>
        <v>0</v>
      </c>
      <c r="AP124" s="267">
        <f t="shared" ref="AP124:AP130" si="590">AN124-$F124</f>
        <v>0</v>
      </c>
      <c r="AQ124" s="267">
        <f>'бюджет округа (района)'!V124+'бюджеты поселений'!V124</f>
        <v>0</v>
      </c>
      <c r="AR124" s="267">
        <f>'бюджет округа (района)'!V124</f>
        <v>0</v>
      </c>
      <c r="AS124" s="267">
        <f t="shared" ref="AS124:AS130" si="591">AQ124-$E124</f>
        <v>0</v>
      </c>
      <c r="AT124" s="267">
        <f t="shared" ref="AT124:AT130" si="592">AR124-$F124</f>
        <v>0</v>
      </c>
      <c r="AU124" s="267">
        <f>'бюджет округа (района)'!X124+'бюджеты поселений'!X124</f>
        <v>0</v>
      </c>
      <c r="AV124" s="267">
        <f>'бюджет округа (района)'!X124</f>
        <v>0</v>
      </c>
      <c r="AW124" s="274">
        <v>447</v>
      </c>
      <c r="AX124" s="274">
        <v>447</v>
      </c>
      <c r="AY124" s="274">
        <f>'бюджет округа (района)'!Z124+'бюджеты поселений'!Z124</f>
        <v>0</v>
      </c>
      <c r="AZ124" s="274">
        <f>'бюджет округа (района)'!Z124</f>
        <v>0</v>
      </c>
      <c r="BA124" s="274">
        <v>2775</v>
      </c>
      <c r="BB124" s="274">
        <v>0</v>
      </c>
      <c r="BC124" s="143" t="s">
        <v>51</v>
      </c>
      <c r="BD124" s="143" t="s">
        <v>51</v>
      </c>
      <c r="BE124" s="274">
        <f>'бюджет округа (района)'!AC124+'бюджеты поселений'!AC124</f>
        <v>0</v>
      </c>
      <c r="BF124" s="274">
        <f>'бюджет округа (района)'!AC124</f>
        <v>0</v>
      </c>
      <c r="BG124" s="274">
        <f>'бюджет округа (района)'!AD124+'бюджеты поселений'!AD124</f>
        <v>0</v>
      </c>
      <c r="BH124" s="274">
        <f>'бюджет округа (района)'!AD124</f>
        <v>0</v>
      </c>
      <c r="BI124" s="274">
        <f t="shared" si="539"/>
        <v>0</v>
      </c>
      <c r="BJ124" s="274">
        <f t="shared" si="540"/>
        <v>0</v>
      </c>
      <c r="BK124" s="143" t="s">
        <v>51</v>
      </c>
      <c r="BL124" s="143" t="s">
        <v>51</v>
      </c>
      <c r="BM124" s="274">
        <f>'бюджет округа (района)'!AG124+'бюджеты поселений'!AG124</f>
        <v>0</v>
      </c>
      <c r="BN124" s="274">
        <f>'бюджет округа (района)'!AG124</f>
        <v>0</v>
      </c>
      <c r="BO124" s="274">
        <f t="shared" si="541"/>
        <v>0</v>
      </c>
      <c r="BP124" s="274">
        <f t="shared" ref="BP124:BP130" si="593">BN124-$H124</f>
        <v>0</v>
      </c>
      <c r="BQ124" s="143" t="s">
        <v>51</v>
      </c>
      <c r="BR124" s="143" t="s">
        <v>51</v>
      </c>
      <c r="BS124" s="274">
        <f>'бюджет округа (района)'!AJ124+'бюджеты поселений'!AJ124</f>
        <v>0</v>
      </c>
      <c r="BT124" s="274">
        <f>'бюджет округа (района)'!AJ124</f>
        <v>0</v>
      </c>
      <c r="BU124" s="274">
        <f t="shared" si="543"/>
        <v>0</v>
      </c>
      <c r="BV124" s="274">
        <f t="shared" ref="BV124:BV130" si="594">BT124-$H124</f>
        <v>0</v>
      </c>
      <c r="BW124" s="143" t="s">
        <v>51</v>
      </c>
      <c r="BX124" s="143" t="s">
        <v>51</v>
      </c>
      <c r="BY124" s="274">
        <f>'бюджет округа (района)'!AM124+'бюджеты поселений'!AM124</f>
        <v>0</v>
      </c>
      <c r="BZ124" s="274">
        <f>'бюджет округа (района)'!AM124</f>
        <v>0</v>
      </c>
      <c r="CA124" s="274">
        <f t="shared" si="545"/>
        <v>0</v>
      </c>
      <c r="CB124" s="274">
        <f t="shared" ref="CB124:CB130" si="595">BZ124-$H124</f>
        <v>0</v>
      </c>
      <c r="CC124" s="143" t="s">
        <v>51</v>
      </c>
      <c r="CD124" s="143" t="s">
        <v>51</v>
      </c>
      <c r="CE124" s="274">
        <f>'бюджет округа (района)'!AP124+'бюджеты поселений'!AP124</f>
        <v>0</v>
      </c>
      <c r="CF124" s="274">
        <f>'бюджет округа (района)'!AP124</f>
        <v>0</v>
      </c>
      <c r="CG124" s="274">
        <f t="shared" si="547"/>
        <v>0</v>
      </c>
      <c r="CH124" s="274">
        <f t="shared" ref="CH124:CH130" si="596">CF124-$H124</f>
        <v>0</v>
      </c>
      <c r="CI124" s="143" t="s">
        <v>51</v>
      </c>
      <c r="CJ124" s="143" t="s">
        <v>51</v>
      </c>
      <c r="CK124" s="274">
        <f>'бюджет округа (района)'!AS124+'бюджеты поселений'!AS124</f>
        <v>0</v>
      </c>
      <c r="CL124" s="274">
        <f>'бюджет округа (района)'!AS124</f>
        <v>0</v>
      </c>
      <c r="CM124" s="274">
        <f t="shared" si="549"/>
        <v>0</v>
      </c>
      <c r="CN124" s="274">
        <f t="shared" ref="CN124:CN130" si="597">CL124-$H124</f>
        <v>0</v>
      </c>
      <c r="CO124" s="143" t="s">
        <v>51</v>
      </c>
      <c r="CP124" s="143" t="s">
        <v>51</v>
      </c>
      <c r="CQ124" s="274">
        <f>'бюджет округа (района)'!AV124+'бюджеты поселений'!AV124</f>
        <v>0</v>
      </c>
      <c r="CR124" s="274">
        <f>'бюджет округа (района)'!AV124</f>
        <v>0</v>
      </c>
      <c r="CS124" s="274">
        <f t="shared" si="551"/>
        <v>0</v>
      </c>
      <c r="CT124" s="274">
        <f t="shared" ref="CT124:CT130" si="598">CR124-$H124</f>
        <v>0</v>
      </c>
      <c r="CU124" s="143" t="s">
        <v>51</v>
      </c>
      <c r="CV124" s="143" t="s">
        <v>51</v>
      </c>
      <c r="CW124" s="274">
        <f>'бюджет округа (района)'!AY124+'бюджеты поселений'!AY124</f>
        <v>0</v>
      </c>
      <c r="CX124" s="274">
        <f>'бюджет округа (района)'!AY124</f>
        <v>0</v>
      </c>
      <c r="CY124" s="274">
        <f t="shared" si="553"/>
        <v>0</v>
      </c>
      <c r="CZ124" s="274">
        <f t="shared" ref="CZ124:CZ130" si="599">CX124-$H124</f>
        <v>0</v>
      </c>
      <c r="DA124" s="143" t="s">
        <v>51</v>
      </c>
      <c r="DB124" s="143" t="s">
        <v>51</v>
      </c>
      <c r="DC124" s="274">
        <f>'бюджет округа (района)'!BB124+'бюджеты поселений'!BB124</f>
        <v>0</v>
      </c>
      <c r="DD124" s="274">
        <f>'бюджет округа (района)'!BB124</f>
        <v>0</v>
      </c>
      <c r="DE124" s="274">
        <f t="shared" si="555"/>
        <v>0</v>
      </c>
      <c r="DF124" s="274">
        <f t="shared" ref="DF124:DF130" si="600">DD124-$H124</f>
        <v>0</v>
      </c>
      <c r="DG124" s="143" t="s">
        <v>51</v>
      </c>
      <c r="DH124" s="143" t="s">
        <v>51</v>
      </c>
      <c r="DI124" s="274">
        <f>'бюджет округа (района)'!BE124+'бюджеты поселений'!BE124</f>
        <v>0</v>
      </c>
      <c r="DJ124" s="274">
        <f>'бюджет округа (района)'!BE124</f>
        <v>0</v>
      </c>
      <c r="DK124" s="143" t="s">
        <v>51</v>
      </c>
      <c r="DL124" s="143" t="s">
        <v>51</v>
      </c>
      <c r="DM124" s="237">
        <f t="shared" si="563"/>
        <v>1</v>
      </c>
      <c r="DN124" s="131">
        <f t="shared" si="564"/>
        <v>1</v>
      </c>
      <c r="DO124" s="274">
        <f>'бюджет округа (района)'!BH124+'бюджеты поселений'!BH124</f>
        <v>0</v>
      </c>
      <c r="DP124" s="274">
        <f>'бюджет округа (района)'!BH124</f>
        <v>0</v>
      </c>
      <c r="DQ124" s="274">
        <f>'бюджет округа (района)'!BI124+'бюджеты поселений'!BI124</f>
        <v>0</v>
      </c>
      <c r="DR124" s="274">
        <f>'бюджет округа (района)'!BI124</f>
        <v>0</v>
      </c>
      <c r="DS124" s="274">
        <v>0</v>
      </c>
      <c r="DT124" s="274">
        <v>0</v>
      </c>
      <c r="DU124" s="131">
        <f>IF(BA124=0,1,DS124/BA124-1)</f>
        <v>-1</v>
      </c>
      <c r="DV124" s="131">
        <f>IF(BB124=0,1,DT124/BB124-1)</f>
        <v>1</v>
      </c>
      <c r="DW124" s="143" t="s">
        <v>51</v>
      </c>
      <c r="DX124" s="198" t="s">
        <v>51</v>
      </c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8"/>
      <c r="EP124" s="88"/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8"/>
      <c r="FC124" s="88"/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GX124" s="88"/>
      <c r="GY124" s="88"/>
      <c r="GZ124" s="88"/>
      <c r="HA124" s="88"/>
      <c r="HB124" s="88"/>
      <c r="HC124" s="88"/>
      <c r="HD124" s="88"/>
      <c r="HE124" s="88"/>
      <c r="HF124" s="88"/>
      <c r="HG124" s="88"/>
      <c r="HH124" s="88"/>
      <c r="HI124" s="88"/>
      <c r="HJ124" s="88"/>
      <c r="HK124" s="88"/>
      <c r="HL124" s="88"/>
      <c r="HM124" s="88"/>
      <c r="HN124" s="88"/>
      <c r="HO124" s="88"/>
      <c r="HP124" s="88"/>
      <c r="HQ124" s="88"/>
      <c r="HR124" s="88"/>
      <c r="HS124" s="88"/>
      <c r="HT124" s="88"/>
      <c r="HU124" s="88"/>
      <c r="HV124" s="88"/>
      <c r="HW124" s="88"/>
      <c r="HX124" s="88"/>
      <c r="HY124" s="88"/>
      <c r="HZ124" s="88"/>
      <c r="IA124" s="88"/>
      <c r="IB124" s="88"/>
      <c r="IC124" s="88"/>
      <c r="ID124" s="88"/>
      <c r="IE124" s="88"/>
      <c r="IF124" s="88"/>
      <c r="IG124" s="88"/>
      <c r="IH124" s="88"/>
      <c r="II124" s="88"/>
      <c r="IJ124" s="88"/>
      <c r="IK124" s="88"/>
      <c r="IL124" s="88"/>
      <c r="IM124" s="88"/>
      <c r="IN124" s="88"/>
      <c r="IO124" s="88"/>
      <c r="IP124" s="88"/>
      <c r="IQ124" s="88"/>
      <c r="IR124" s="88"/>
      <c r="IS124" s="88"/>
      <c r="IT124" s="88"/>
      <c r="IU124" s="88"/>
      <c r="IV124" s="88"/>
      <c r="IW124" s="88"/>
      <c r="IX124" s="88"/>
      <c r="IY124" s="88"/>
      <c r="IZ124" s="88"/>
      <c r="JA124" s="88"/>
      <c r="JB124" s="88"/>
      <c r="JC124" s="88"/>
      <c r="JD124" s="88"/>
      <c r="JE124" s="88"/>
      <c r="JF124" s="88"/>
      <c r="JG124" s="88"/>
      <c r="JH124" s="88"/>
    </row>
    <row r="125" spans="1:268" s="66" customFormat="1" ht="16.5">
      <c r="A125" s="345" t="s">
        <v>75</v>
      </c>
      <c r="B125" s="278"/>
      <c r="C125" s="161"/>
      <c r="D125" s="161"/>
      <c r="E125" s="161"/>
      <c r="F125" s="161"/>
      <c r="G125" s="161"/>
      <c r="H125" s="161"/>
      <c r="I125" s="161">
        <f>'бюджет округа (района)'!E125+'бюджеты поселений'!E125</f>
        <v>0</v>
      </c>
      <c r="J125" s="161">
        <f>'бюджет округа (района)'!E125</f>
        <v>0</v>
      </c>
      <c r="K125" s="161">
        <f>'бюджет округа (района)'!F125+'бюджеты поселений'!F125</f>
        <v>0</v>
      </c>
      <c r="L125" s="161">
        <f>'бюджет округа (района)'!F125</f>
        <v>0</v>
      </c>
      <c r="M125" s="161">
        <f t="shared" si="575"/>
        <v>0</v>
      </c>
      <c r="N125" s="161">
        <f t="shared" si="576"/>
        <v>0</v>
      </c>
      <c r="O125" s="161">
        <f>'бюджет округа (района)'!H125+'бюджеты поселений'!H125</f>
        <v>0</v>
      </c>
      <c r="P125" s="161">
        <f>'бюджет округа (района)'!H125</f>
        <v>0</v>
      </c>
      <c r="Q125" s="161">
        <f t="shared" si="577"/>
        <v>0</v>
      </c>
      <c r="R125" s="161">
        <f t="shared" si="578"/>
        <v>0</v>
      </c>
      <c r="S125" s="161">
        <f>'бюджет округа (района)'!J125+'бюджеты поселений'!J125</f>
        <v>0</v>
      </c>
      <c r="T125" s="161">
        <f>'бюджет округа (района)'!J125</f>
        <v>0</v>
      </c>
      <c r="U125" s="161">
        <f t="shared" si="579"/>
        <v>0</v>
      </c>
      <c r="V125" s="161">
        <f t="shared" si="580"/>
        <v>0</v>
      </c>
      <c r="W125" s="161">
        <f>'бюджет округа (района)'!L125+'бюджеты поселений'!L125</f>
        <v>0</v>
      </c>
      <c r="X125" s="161">
        <f>'бюджет округа (района)'!L125</f>
        <v>0</v>
      </c>
      <c r="Y125" s="161">
        <f t="shared" si="581"/>
        <v>0</v>
      </c>
      <c r="Z125" s="161">
        <f t="shared" si="582"/>
        <v>0</v>
      </c>
      <c r="AA125" s="161">
        <f>'бюджет округа (района)'!N125+'бюджеты поселений'!N125</f>
        <v>0</v>
      </c>
      <c r="AB125" s="161">
        <f>'бюджет округа (района)'!N125</f>
        <v>0</v>
      </c>
      <c r="AC125" s="161">
        <f t="shared" si="583"/>
        <v>0</v>
      </c>
      <c r="AD125" s="161">
        <f t="shared" si="584"/>
        <v>0</v>
      </c>
      <c r="AE125" s="161">
        <f>'бюджет округа (района)'!P125+'бюджеты поселений'!P125</f>
        <v>0</v>
      </c>
      <c r="AF125" s="161">
        <f>'бюджет округа (района)'!P125</f>
        <v>0</v>
      </c>
      <c r="AG125" s="161">
        <f t="shared" si="585"/>
        <v>0</v>
      </c>
      <c r="AH125" s="161">
        <f t="shared" si="586"/>
        <v>0</v>
      </c>
      <c r="AI125" s="161">
        <f>'бюджет округа (района)'!R125+'бюджеты поселений'!R125</f>
        <v>0</v>
      </c>
      <c r="AJ125" s="161">
        <f>'бюджет округа (района)'!R125</f>
        <v>0</v>
      </c>
      <c r="AK125" s="161">
        <f t="shared" si="587"/>
        <v>0</v>
      </c>
      <c r="AL125" s="161">
        <f t="shared" si="588"/>
        <v>0</v>
      </c>
      <c r="AM125" s="161">
        <f>'бюджет округа (района)'!T125+'бюджеты поселений'!T125</f>
        <v>0</v>
      </c>
      <c r="AN125" s="161">
        <f>'бюджет округа (района)'!T125</f>
        <v>0</v>
      </c>
      <c r="AO125" s="161">
        <f t="shared" si="589"/>
        <v>0</v>
      </c>
      <c r="AP125" s="161">
        <f t="shared" si="590"/>
        <v>0</v>
      </c>
      <c r="AQ125" s="161">
        <f>'бюджет округа (района)'!V125+'бюджеты поселений'!V125</f>
        <v>0</v>
      </c>
      <c r="AR125" s="161">
        <f>'бюджет округа (района)'!V125</f>
        <v>0</v>
      </c>
      <c r="AS125" s="161">
        <f t="shared" si="591"/>
        <v>0</v>
      </c>
      <c r="AT125" s="161">
        <f t="shared" si="592"/>
        <v>0</v>
      </c>
      <c r="AU125" s="161">
        <f>'бюджет округа (района)'!X125+'бюджеты поселений'!X125</f>
        <v>0</v>
      </c>
      <c r="AV125" s="161">
        <f>'бюджет округа (района)'!X125</f>
        <v>0</v>
      </c>
      <c r="AW125" s="161">
        <f t="shared" ref="AW125" si="601">G125-E125</f>
        <v>0</v>
      </c>
      <c r="AX125" s="161">
        <f t="shared" ref="AX125:AX126" si="602">H125-F125</f>
        <v>0</v>
      </c>
      <c r="AY125" s="161">
        <f>'бюджет округа (района)'!Z125+'бюджеты поселений'!Z125</f>
        <v>0</v>
      </c>
      <c r="AZ125" s="161">
        <f>'бюджет округа (района)'!Z125</f>
        <v>0</v>
      </c>
      <c r="BA125" s="161">
        <f t="shared" ref="BA125" si="603">K125-I125</f>
        <v>0</v>
      </c>
      <c r="BB125" s="161">
        <f t="shared" ref="BB125:BB126" si="604">L125-J125</f>
        <v>0</v>
      </c>
      <c r="BC125" s="162" t="s">
        <v>51</v>
      </c>
      <c r="BD125" s="162" t="s">
        <v>51</v>
      </c>
      <c r="BE125" s="161">
        <f>'бюджет округа (района)'!AC125+'бюджеты поселений'!AC125</f>
        <v>0</v>
      </c>
      <c r="BF125" s="161">
        <f>'бюджет округа (района)'!AC125</f>
        <v>0</v>
      </c>
      <c r="BG125" s="161">
        <f>'бюджет округа (района)'!AD125+'бюджеты поселений'!AD125</f>
        <v>0</v>
      </c>
      <c r="BH125" s="161">
        <f>'бюджет округа (района)'!AD125</f>
        <v>0</v>
      </c>
      <c r="BI125" s="161">
        <f t="shared" si="539"/>
        <v>0</v>
      </c>
      <c r="BJ125" s="161">
        <f t="shared" si="540"/>
        <v>0</v>
      </c>
      <c r="BK125" s="162" t="s">
        <v>51</v>
      </c>
      <c r="BL125" s="162" t="s">
        <v>51</v>
      </c>
      <c r="BM125" s="161">
        <f>'бюджет округа (района)'!AG125+'бюджеты поселений'!AG125</f>
        <v>0</v>
      </c>
      <c r="BN125" s="161">
        <f>'бюджет округа (района)'!AG125</f>
        <v>0</v>
      </c>
      <c r="BO125" s="161">
        <f t="shared" si="541"/>
        <v>0</v>
      </c>
      <c r="BP125" s="161">
        <f t="shared" si="593"/>
        <v>0</v>
      </c>
      <c r="BQ125" s="162" t="s">
        <v>51</v>
      </c>
      <c r="BR125" s="162" t="s">
        <v>51</v>
      </c>
      <c r="BS125" s="161">
        <f>'бюджет округа (района)'!AJ125+'бюджеты поселений'!AJ125</f>
        <v>0</v>
      </c>
      <c r="BT125" s="161">
        <f>'бюджет округа (района)'!AJ125</f>
        <v>0</v>
      </c>
      <c r="BU125" s="161">
        <f t="shared" si="543"/>
        <v>0</v>
      </c>
      <c r="BV125" s="161">
        <f t="shared" si="594"/>
        <v>0</v>
      </c>
      <c r="BW125" s="162" t="s">
        <v>51</v>
      </c>
      <c r="BX125" s="162" t="s">
        <v>51</v>
      </c>
      <c r="BY125" s="161">
        <f>'бюджет округа (района)'!AM125+'бюджеты поселений'!AM125</f>
        <v>0</v>
      </c>
      <c r="BZ125" s="161">
        <f>'бюджет округа (района)'!AM125</f>
        <v>0</v>
      </c>
      <c r="CA125" s="161">
        <f t="shared" si="545"/>
        <v>0</v>
      </c>
      <c r="CB125" s="161">
        <f t="shared" si="595"/>
        <v>0</v>
      </c>
      <c r="CC125" s="162" t="s">
        <v>51</v>
      </c>
      <c r="CD125" s="162" t="s">
        <v>51</v>
      </c>
      <c r="CE125" s="161">
        <f>'бюджет округа (района)'!AP125+'бюджеты поселений'!AP125</f>
        <v>0</v>
      </c>
      <c r="CF125" s="161">
        <f>'бюджет округа (района)'!AP125</f>
        <v>0</v>
      </c>
      <c r="CG125" s="161">
        <f t="shared" si="547"/>
        <v>0</v>
      </c>
      <c r="CH125" s="161">
        <f t="shared" si="596"/>
        <v>0</v>
      </c>
      <c r="CI125" s="162" t="s">
        <v>51</v>
      </c>
      <c r="CJ125" s="162" t="s">
        <v>51</v>
      </c>
      <c r="CK125" s="161">
        <f>'бюджет округа (района)'!AS125+'бюджеты поселений'!AS125</f>
        <v>0</v>
      </c>
      <c r="CL125" s="161">
        <f>'бюджет округа (района)'!AS125</f>
        <v>0</v>
      </c>
      <c r="CM125" s="161">
        <f t="shared" si="549"/>
        <v>0</v>
      </c>
      <c r="CN125" s="161">
        <f t="shared" si="597"/>
        <v>0</v>
      </c>
      <c r="CO125" s="162" t="s">
        <v>51</v>
      </c>
      <c r="CP125" s="162" t="s">
        <v>51</v>
      </c>
      <c r="CQ125" s="161">
        <f>'бюджет округа (района)'!AV125+'бюджеты поселений'!AV125</f>
        <v>0</v>
      </c>
      <c r="CR125" s="161">
        <f>'бюджет округа (района)'!AV125</f>
        <v>0</v>
      </c>
      <c r="CS125" s="161">
        <f t="shared" si="551"/>
        <v>0</v>
      </c>
      <c r="CT125" s="161">
        <f t="shared" si="598"/>
        <v>0</v>
      </c>
      <c r="CU125" s="162" t="s">
        <v>51</v>
      </c>
      <c r="CV125" s="162" t="s">
        <v>51</v>
      </c>
      <c r="CW125" s="161">
        <f>'бюджет округа (района)'!AY125+'бюджеты поселений'!AY125</f>
        <v>0</v>
      </c>
      <c r="CX125" s="161">
        <f>'бюджет округа (района)'!AY125</f>
        <v>0</v>
      </c>
      <c r="CY125" s="161">
        <f t="shared" si="553"/>
        <v>0</v>
      </c>
      <c r="CZ125" s="161">
        <f t="shared" si="599"/>
        <v>0</v>
      </c>
      <c r="DA125" s="162" t="s">
        <v>51</v>
      </c>
      <c r="DB125" s="162" t="s">
        <v>51</v>
      </c>
      <c r="DC125" s="161">
        <f>'бюджет округа (района)'!BB125+'бюджеты поселений'!BB125</f>
        <v>0</v>
      </c>
      <c r="DD125" s="161">
        <f>'бюджет округа (района)'!BB125</f>
        <v>0</v>
      </c>
      <c r="DE125" s="161">
        <f t="shared" si="555"/>
        <v>0</v>
      </c>
      <c r="DF125" s="161">
        <f t="shared" si="600"/>
        <v>0</v>
      </c>
      <c r="DG125" s="162" t="s">
        <v>51</v>
      </c>
      <c r="DH125" s="162" t="s">
        <v>51</v>
      </c>
      <c r="DI125" s="161">
        <f>'бюджет округа (района)'!BE125+'бюджеты поселений'!BE125</f>
        <v>0</v>
      </c>
      <c r="DJ125" s="161">
        <f>'бюджет округа (района)'!BE125</f>
        <v>0</v>
      </c>
      <c r="DK125" s="162" t="s">
        <v>51</v>
      </c>
      <c r="DL125" s="162" t="s">
        <v>51</v>
      </c>
      <c r="DM125" s="238">
        <f t="shared" si="563"/>
        <v>1</v>
      </c>
      <c r="DN125" s="162">
        <f t="shared" si="564"/>
        <v>1</v>
      </c>
      <c r="DO125" s="161">
        <f>'бюджет округа (района)'!BH125+'бюджеты поселений'!BH125</f>
        <v>0</v>
      </c>
      <c r="DP125" s="161">
        <f>'бюджет округа (района)'!BH125</f>
        <v>0</v>
      </c>
      <c r="DQ125" s="161">
        <f>'бюджет округа (района)'!BI125+'бюджеты поселений'!BI125</f>
        <v>0</v>
      </c>
      <c r="DR125" s="161">
        <f>'бюджет округа (района)'!BI125</f>
        <v>0</v>
      </c>
      <c r="DS125" s="161">
        <v>0</v>
      </c>
      <c r="DT125" s="161">
        <v>0</v>
      </c>
      <c r="DU125" s="162">
        <f>IF(BA125=0,1,DS125/BA125-1)</f>
        <v>1</v>
      </c>
      <c r="DV125" s="162">
        <f t="shared" ref="DV125:DV126" si="605">IF(BB125=0,1,DT125/BB125-1)</f>
        <v>1</v>
      </c>
      <c r="DW125" s="162" t="s">
        <v>51</v>
      </c>
      <c r="DX125" s="203" t="s">
        <v>51</v>
      </c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  <c r="IW125" s="65"/>
      <c r="IX125" s="65"/>
      <c r="IY125" s="65"/>
      <c r="IZ125" s="65"/>
      <c r="JA125" s="65"/>
      <c r="JB125" s="65"/>
      <c r="JC125" s="65"/>
      <c r="JD125" s="65"/>
      <c r="JE125" s="65"/>
      <c r="JF125" s="65"/>
      <c r="JG125" s="65"/>
      <c r="JH125" s="65"/>
    </row>
    <row r="126" spans="1:268" s="66" customFormat="1" ht="18.75" customHeight="1">
      <c r="A126" s="345" t="s">
        <v>76</v>
      </c>
      <c r="B126" s="278"/>
      <c r="C126" s="161"/>
      <c r="D126" s="161"/>
      <c r="E126" s="161"/>
      <c r="F126" s="161"/>
      <c r="G126" s="161"/>
      <c r="H126" s="161"/>
      <c r="I126" s="161">
        <f>'бюджет округа (района)'!E126+'бюджеты поселений'!E126</f>
        <v>0</v>
      </c>
      <c r="J126" s="161">
        <f>'бюджет округа (района)'!E126</f>
        <v>0</v>
      </c>
      <c r="K126" s="161">
        <f>'бюджет округа (района)'!F126+'бюджеты поселений'!F126</f>
        <v>0</v>
      </c>
      <c r="L126" s="161">
        <f>'бюджет округа (района)'!F126</f>
        <v>0</v>
      </c>
      <c r="M126" s="161">
        <f t="shared" si="575"/>
        <v>0</v>
      </c>
      <c r="N126" s="161">
        <f t="shared" si="576"/>
        <v>0</v>
      </c>
      <c r="O126" s="161">
        <f>'бюджет округа (района)'!H126+'бюджеты поселений'!H126</f>
        <v>0</v>
      </c>
      <c r="P126" s="161">
        <f>'бюджет округа (района)'!H126</f>
        <v>0</v>
      </c>
      <c r="Q126" s="161">
        <f t="shared" si="577"/>
        <v>0</v>
      </c>
      <c r="R126" s="161">
        <f t="shared" si="578"/>
        <v>0</v>
      </c>
      <c r="S126" s="161">
        <f>'бюджет округа (района)'!J126+'бюджеты поселений'!J126</f>
        <v>0</v>
      </c>
      <c r="T126" s="161">
        <f>'бюджет округа (района)'!J126</f>
        <v>0</v>
      </c>
      <c r="U126" s="161">
        <f t="shared" si="579"/>
        <v>0</v>
      </c>
      <c r="V126" s="161">
        <f t="shared" si="580"/>
        <v>0</v>
      </c>
      <c r="W126" s="161">
        <f>'бюджет округа (района)'!L126+'бюджеты поселений'!L126</f>
        <v>0</v>
      </c>
      <c r="X126" s="161">
        <f>'бюджет округа (района)'!L126</f>
        <v>0</v>
      </c>
      <c r="Y126" s="161">
        <f t="shared" si="581"/>
        <v>0</v>
      </c>
      <c r="Z126" s="161">
        <f t="shared" si="582"/>
        <v>0</v>
      </c>
      <c r="AA126" s="161">
        <f>'бюджет округа (района)'!N126+'бюджеты поселений'!N126</f>
        <v>0</v>
      </c>
      <c r="AB126" s="161">
        <f>'бюджет округа (района)'!N126</f>
        <v>0</v>
      </c>
      <c r="AC126" s="161">
        <f t="shared" si="583"/>
        <v>0</v>
      </c>
      <c r="AD126" s="161">
        <f t="shared" si="584"/>
        <v>0</v>
      </c>
      <c r="AE126" s="161">
        <f>'бюджет округа (района)'!P126+'бюджеты поселений'!P126</f>
        <v>0</v>
      </c>
      <c r="AF126" s="161">
        <f>'бюджет округа (района)'!P126</f>
        <v>0</v>
      </c>
      <c r="AG126" s="161">
        <f t="shared" si="585"/>
        <v>0</v>
      </c>
      <c r="AH126" s="161">
        <f t="shared" si="586"/>
        <v>0</v>
      </c>
      <c r="AI126" s="161">
        <f>'бюджет округа (района)'!R126+'бюджеты поселений'!R126</f>
        <v>0</v>
      </c>
      <c r="AJ126" s="161">
        <f>'бюджет округа (района)'!R126</f>
        <v>0</v>
      </c>
      <c r="AK126" s="161">
        <f t="shared" si="587"/>
        <v>0</v>
      </c>
      <c r="AL126" s="161">
        <f t="shared" si="588"/>
        <v>0</v>
      </c>
      <c r="AM126" s="161">
        <f>'бюджет округа (района)'!T126+'бюджеты поселений'!T126</f>
        <v>0</v>
      </c>
      <c r="AN126" s="161">
        <f>'бюджет округа (района)'!T126</f>
        <v>0</v>
      </c>
      <c r="AO126" s="161">
        <f t="shared" si="589"/>
        <v>0</v>
      </c>
      <c r="AP126" s="161">
        <f t="shared" si="590"/>
        <v>0</v>
      </c>
      <c r="AQ126" s="161">
        <f>'бюджет округа (района)'!V126+'бюджеты поселений'!V126</f>
        <v>0</v>
      </c>
      <c r="AR126" s="161">
        <f>'бюджет округа (района)'!V126</f>
        <v>0</v>
      </c>
      <c r="AS126" s="161">
        <f t="shared" si="591"/>
        <v>0</v>
      </c>
      <c r="AT126" s="161">
        <f t="shared" si="592"/>
        <v>0</v>
      </c>
      <c r="AU126" s="161">
        <f>'бюджет округа (района)'!X126+'бюджеты поселений'!X126</f>
        <v>0</v>
      </c>
      <c r="AV126" s="161">
        <f>'бюджет округа (района)'!X126</f>
        <v>0</v>
      </c>
      <c r="AW126" s="161">
        <f>G126-E126</f>
        <v>0</v>
      </c>
      <c r="AX126" s="161">
        <f t="shared" si="602"/>
        <v>0</v>
      </c>
      <c r="AY126" s="161">
        <f>'бюджет округа (района)'!Z126+'бюджеты поселений'!Z126</f>
        <v>0</v>
      </c>
      <c r="AZ126" s="161">
        <f>'бюджет округа (района)'!Z126</f>
        <v>0</v>
      </c>
      <c r="BA126" s="161">
        <f>K126-I126</f>
        <v>0</v>
      </c>
      <c r="BB126" s="161">
        <f t="shared" si="604"/>
        <v>0</v>
      </c>
      <c r="BC126" s="162" t="s">
        <v>51</v>
      </c>
      <c r="BD126" s="162" t="s">
        <v>51</v>
      </c>
      <c r="BE126" s="161">
        <f>'бюджет округа (района)'!AC126+'бюджеты поселений'!AC126</f>
        <v>0</v>
      </c>
      <c r="BF126" s="161">
        <f>'бюджет округа (района)'!AC126</f>
        <v>0</v>
      </c>
      <c r="BG126" s="161">
        <f>'бюджет округа (района)'!AD126+'бюджеты поселений'!AD126</f>
        <v>0</v>
      </c>
      <c r="BH126" s="161">
        <f>'бюджет округа (района)'!AD126</f>
        <v>0</v>
      </c>
      <c r="BI126" s="161">
        <f t="shared" si="539"/>
        <v>0</v>
      </c>
      <c r="BJ126" s="161">
        <f t="shared" si="540"/>
        <v>0</v>
      </c>
      <c r="BK126" s="162" t="s">
        <v>51</v>
      </c>
      <c r="BL126" s="162" t="s">
        <v>51</v>
      </c>
      <c r="BM126" s="161">
        <f>'бюджет округа (района)'!AG126+'бюджеты поселений'!AG126</f>
        <v>0</v>
      </c>
      <c r="BN126" s="161">
        <f>'бюджет округа (района)'!AG126</f>
        <v>0</v>
      </c>
      <c r="BO126" s="161">
        <f t="shared" si="541"/>
        <v>0</v>
      </c>
      <c r="BP126" s="161">
        <f t="shared" si="593"/>
        <v>0</v>
      </c>
      <c r="BQ126" s="162" t="s">
        <v>51</v>
      </c>
      <c r="BR126" s="162" t="s">
        <v>51</v>
      </c>
      <c r="BS126" s="161">
        <f>'бюджет округа (района)'!AJ126+'бюджеты поселений'!AJ126</f>
        <v>0</v>
      </c>
      <c r="BT126" s="161">
        <f>'бюджет округа (района)'!AJ126</f>
        <v>0</v>
      </c>
      <c r="BU126" s="161">
        <f t="shared" si="543"/>
        <v>0</v>
      </c>
      <c r="BV126" s="161">
        <f t="shared" si="594"/>
        <v>0</v>
      </c>
      <c r="BW126" s="162" t="s">
        <v>51</v>
      </c>
      <c r="BX126" s="162" t="s">
        <v>51</v>
      </c>
      <c r="BY126" s="161">
        <f>'бюджет округа (района)'!AM126+'бюджеты поселений'!AM126</f>
        <v>0</v>
      </c>
      <c r="BZ126" s="161">
        <f>'бюджет округа (района)'!AM126</f>
        <v>0</v>
      </c>
      <c r="CA126" s="161">
        <f t="shared" si="545"/>
        <v>0</v>
      </c>
      <c r="CB126" s="161">
        <f t="shared" si="595"/>
        <v>0</v>
      </c>
      <c r="CC126" s="162" t="s">
        <v>51</v>
      </c>
      <c r="CD126" s="162" t="s">
        <v>51</v>
      </c>
      <c r="CE126" s="161">
        <f>'бюджет округа (района)'!AP126+'бюджеты поселений'!AP126</f>
        <v>0</v>
      </c>
      <c r="CF126" s="161">
        <f>'бюджет округа (района)'!AP126</f>
        <v>0</v>
      </c>
      <c r="CG126" s="161">
        <f t="shared" si="547"/>
        <v>0</v>
      </c>
      <c r="CH126" s="161">
        <f t="shared" si="596"/>
        <v>0</v>
      </c>
      <c r="CI126" s="162" t="s">
        <v>51</v>
      </c>
      <c r="CJ126" s="162" t="s">
        <v>51</v>
      </c>
      <c r="CK126" s="161">
        <f>'бюджет округа (района)'!AS126+'бюджеты поселений'!AS126</f>
        <v>0</v>
      </c>
      <c r="CL126" s="161">
        <f>'бюджет округа (района)'!AS126</f>
        <v>0</v>
      </c>
      <c r="CM126" s="161">
        <f t="shared" si="549"/>
        <v>0</v>
      </c>
      <c r="CN126" s="161">
        <f t="shared" si="597"/>
        <v>0</v>
      </c>
      <c r="CO126" s="162" t="s">
        <v>51</v>
      </c>
      <c r="CP126" s="162" t="s">
        <v>51</v>
      </c>
      <c r="CQ126" s="161">
        <f>'бюджет округа (района)'!AV126+'бюджеты поселений'!AV126</f>
        <v>0</v>
      </c>
      <c r="CR126" s="161">
        <f>'бюджет округа (района)'!AV126</f>
        <v>0</v>
      </c>
      <c r="CS126" s="161">
        <f t="shared" si="551"/>
        <v>0</v>
      </c>
      <c r="CT126" s="161">
        <f t="shared" si="598"/>
        <v>0</v>
      </c>
      <c r="CU126" s="162" t="s">
        <v>51</v>
      </c>
      <c r="CV126" s="162" t="s">
        <v>51</v>
      </c>
      <c r="CW126" s="161">
        <f>'бюджет округа (района)'!AY126+'бюджеты поселений'!AY126</f>
        <v>0</v>
      </c>
      <c r="CX126" s="161">
        <f>'бюджет округа (района)'!AY126</f>
        <v>0</v>
      </c>
      <c r="CY126" s="161">
        <f t="shared" si="553"/>
        <v>0</v>
      </c>
      <c r="CZ126" s="161">
        <f t="shared" si="599"/>
        <v>0</v>
      </c>
      <c r="DA126" s="162" t="s">
        <v>51</v>
      </c>
      <c r="DB126" s="162" t="s">
        <v>51</v>
      </c>
      <c r="DC126" s="161">
        <f>'бюджет округа (района)'!BB126+'бюджеты поселений'!BB126</f>
        <v>0</v>
      </c>
      <c r="DD126" s="161">
        <f>'бюджет округа (района)'!BB126</f>
        <v>0</v>
      </c>
      <c r="DE126" s="161">
        <f t="shared" si="555"/>
        <v>0</v>
      </c>
      <c r="DF126" s="161">
        <f t="shared" si="600"/>
        <v>0</v>
      </c>
      <c r="DG126" s="162" t="s">
        <v>51</v>
      </c>
      <c r="DH126" s="162" t="s">
        <v>51</v>
      </c>
      <c r="DI126" s="161">
        <f>'бюджет округа (района)'!BE126+'бюджеты поселений'!BE126</f>
        <v>0</v>
      </c>
      <c r="DJ126" s="161">
        <f>'бюджет округа (района)'!BE126</f>
        <v>0</v>
      </c>
      <c r="DK126" s="162" t="s">
        <v>51</v>
      </c>
      <c r="DL126" s="162" t="s">
        <v>51</v>
      </c>
      <c r="DM126" s="238">
        <f t="shared" si="563"/>
        <v>1</v>
      </c>
      <c r="DN126" s="162">
        <f t="shared" si="564"/>
        <v>1</v>
      </c>
      <c r="DO126" s="161">
        <f>'бюджет округа (района)'!BH126+'бюджеты поселений'!BH126</f>
        <v>0</v>
      </c>
      <c r="DP126" s="161">
        <f>'бюджет округа (района)'!BH126</f>
        <v>0</v>
      </c>
      <c r="DQ126" s="161">
        <f>'бюджет округа (района)'!BI126+'бюджеты поселений'!BI126</f>
        <v>0</v>
      </c>
      <c r="DR126" s="161">
        <f>'бюджет округа (района)'!BI126</f>
        <v>0</v>
      </c>
      <c r="DS126" s="161">
        <v>0</v>
      </c>
      <c r="DT126" s="161">
        <v>0</v>
      </c>
      <c r="DU126" s="162">
        <f t="shared" ref="DU126:DU127" si="606">IF(BA126=0,1,DS126/BA126-1)</f>
        <v>1</v>
      </c>
      <c r="DV126" s="162">
        <f t="shared" si="605"/>
        <v>1</v>
      </c>
      <c r="DW126" s="162" t="s">
        <v>51</v>
      </c>
      <c r="DX126" s="203" t="s">
        <v>51</v>
      </c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  <c r="IW126" s="65"/>
      <c r="IX126" s="65"/>
      <c r="IY126" s="65"/>
      <c r="IZ126" s="65"/>
      <c r="JA126" s="65"/>
      <c r="JB126" s="65"/>
      <c r="JC126" s="65"/>
      <c r="JD126" s="65"/>
      <c r="JE126" s="65"/>
      <c r="JF126" s="65"/>
      <c r="JG126" s="65"/>
      <c r="JH126" s="65"/>
    </row>
    <row r="127" spans="1:268" s="66" customFormat="1" ht="21.75" customHeight="1">
      <c r="A127" s="345" t="s">
        <v>129</v>
      </c>
      <c r="B127" s="278"/>
      <c r="C127" s="138"/>
      <c r="D127" s="138"/>
      <c r="E127" s="138"/>
      <c r="F127" s="138"/>
      <c r="G127" s="138"/>
      <c r="H127" s="138"/>
      <c r="I127" s="138">
        <f>'бюджет округа (района)'!E127+'бюджеты поселений'!E127</f>
        <v>0</v>
      </c>
      <c r="J127" s="138">
        <f>'бюджет округа (района)'!E127</f>
        <v>0</v>
      </c>
      <c r="K127" s="138">
        <f>'бюджет округа (района)'!F127+'бюджеты поселений'!F127</f>
        <v>0</v>
      </c>
      <c r="L127" s="138">
        <f>'бюджет округа (района)'!F127</f>
        <v>0</v>
      </c>
      <c r="M127" s="138">
        <f t="shared" si="575"/>
        <v>0</v>
      </c>
      <c r="N127" s="138">
        <f t="shared" si="576"/>
        <v>0</v>
      </c>
      <c r="O127" s="138">
        <f>'бюджет округа (района)'!H127+'бюджеты поселений'!H127</f>
        <v>0</v>
      </c>
      <c r="P127" s="138">
        <f>'бюджет округа (района)'!H127</f>
        <v>0</v>
      </c>
      <c r="Q127" s="138">
        <f t="shared" si="577"/>
        <v>0</v>
      </c>
      <c r="R127" s="138">
        <f t="shared" si="578"/>
        <v>0</v>
      </c>
      <c r="S127" s="138">
        <f>'бюджет округа (района)'!J127+'бюджеты поселений'!J127</f>
        <v>0</v>
      </c>
      <c r="T127" s="138">
        <f>'бюджет округа (района)'!J127</f>
        <v>0</v>
      </c>
      <c r="U127" s="138">
        <f t="shared" si="579"/>
        <v>0</v>
      </c>
      <c r="V127" s="138">
        <f t="shared" si="580"/>
        <v>0</v>
      </c>
      <c r="W127" s="138">
        <f>'бюджет округа (района)'!L127+'бюджеты поселений'!L127</f>
        <v>0</v>
      </c>
      <c r="X127" s="138">
        <f>'бюджет округа (района)'!L127</f>
        <v>0</v>
      </c>
      <c r="Y127" s="138">
        <f t="shared" si="581"/>
        <v>0</v>
      </c>
      <c r="Z127" s="138">
        <f t="shared" si="582"/>
        <v>0</v>
      </c>
      <c r="AA127" s="138">
        <f>'бюджет округа (района)'!N127+'бюджеты поселений'!N127</f>
        <v>0</v>
      </c>
      <c r="AB127" s="138">
        <f>'бюджет округа (района)'!N127</f>
        <v>0</v>
      </c>
      <c r="AC127" s="138">
        <f t="shared" si="583"/>
        <v>0</v>
      </c>
      <c r="AD127" s="138">
        <f t="shared" si="584"/>
        <v>0</v>
      </c>
      <c r="AE127" s="138">
        <f>'бюджет округа (района)'!P127+'бюджеты поселений'!P127</f>
        <v>0</v>
      </c>
      <c r="AF127" s="138">
        <f>'бюджет округа (района)'!P127</f>
        <v>0</v>
      </c>
      <c r="AG127" s="138">
        <f t="shared" si="585"/>
        <v>0</v>
      </c>
      <c r="AH127" s="138">
        <f t="shared" si="586"/>
        <v>0</v>
      </c>
      <c r="AI127" s="138">
        <f>'бюджет округа (района)'!R127+'бюджеты поселений'!R127</f>
        <v>0</v>
      </c>
      <c r="AJ127" s="138">
        <f>'бюджет округа (района)'!R127</f>
        <v>0</v>
      </c>
      <c r="AK127" s="138">
        <f t="shared" si="587"/>
        <v>0</v>
      </c>
      <c r="AL127" s="138">
        <f t="shared" si="588"/>
        <v>0</v>
      </c>
      <c r="AM127" s="138">
        <f>'бюджет округа (района)'!T127+'бюджеты поселений'!T127</f>
        <v>0</v>
      </c>
      <c r="AN127" s="138">
        <f>'бюджет округа (района)'!T127</f>
        <v>0</v>
      </c>
      <c r="AO127" s="138">
        <f t="shared" si="589"/>
        <v>0</v>
      </c>
      <c r="AP127" s="138">
        <f t="shared" si="590"/>
        <v>0</v>
      </c>
      <c r="AQ127" s="138">
        <f>'бюджет округа (района)'!V127+'бюджеты поселений'!V127</f>
        <v>0</v>
      </c>
      <c r="AR127" s="138">
        <f>'бюджет округа (района)'!V127</f>
        <v>0</v>
      </c>
      <c r="AS127" s="138">
        <f t="shared" si="591"/>
        <v>0</v>
      </c>
      <c r="AT127" s="138">
        <f t="shared" si="592"/>
        <v>0</v>
      </c>
      <c r="AU127" s="138">
        <f>'бюджет округа (района)'!X127+'бюджеты поселений'!X127</f>
        <v>0</v>
      </c>
      <c r="AV127" s="138">
        <f>'бюджет округа (района)'!X127</f>
        <v>0</v>
      </c>
      <c r="AW127" s="138">
        <v>447</v>
      </c>
      <c r="AX127" s="138">
        <v>447</v>
      </c>
      <c r="AY127" s="138">
        <f>'бюджет округа (района)'!Z127+'бюджеты поселений'!Z127</f>
        <v>0</v>
      </c>
      <c r="AZ127" s="138">
        <f>'бюджет округа (района)'!Z127</f>
        <v>0</v>
      </c>
      <c r="BA127" s="138">
        <v>2775</v>
      </c>
      <c r="BB127" s="138">
        <v>0</v>
      </c>
      <c r="BC127" s="162" t="s">
        <v>51</v>
      </c>
      <c r="BD127" s="162" t="s">
        <v>51</v>
      </c>
      <c r="BE127" s="138">
        <f>'бюджет округа (района)'!AC127+'бюджеты поселений'!AC127</f>
        <v>0</v>
      </c>
      <c r="BF127" s="138">
        <f>'бюджет округа (района)'!AC127</f>
        <v>0</v>
      </c>
      <c r="BG127" s="138">
        <f>'бюджет округа (района)'!AD127+'бюджеты поселений'!AD127</f>
        <v>0</v>
      </c>
      <c r="BH127" s="138">
        <f>'бюджет округа (района)'!AD127</f>
        <v>0</v>
      </c>
      <c r="BI127" s="138">
        <f t="shared" si="539"/>
        <v>0</v>
      </c>
      <c r="BJ127" s="138">
        <f t="shared" si="540"/>
        <v>0</v>
      </c>
      <c r="BK127" s="162" t="s">
        <v>51</v>
      </c>
      <c r="BL127" s="162" t="s">
        <v>51</v>
      </c>
      <c r="BM127" s="138">
        <f>'бюджет округа (района)'!AG127+'бюджеты поселений'!AG127</f>
        <v>0</v>
      </c>
      <c r="BN127" s="138">
        <f>'бюджет округа (района)'!AG127</f>
        <v>0</v>
      </c>
      <c r="BO127" s="138">
        <f t="shared" si="541"/>
        <v>0</v>
      </c>
      <c r="BP127" s="138">
        <f t="shared" si="593"/>
        <v>0</v>
      </c>
      <c r="BQ127" s="162" t="s">
        <v>51</v>
      </c>
      <c r="BR127" s="162" t="s">
        <v>51</v>
      </c>
      <c r="BS127" s="138">
        <f>'бюджет округа (района)'!AJ127+'бюджеты поселений'!AJ127</f>
        <v>0</v>
      </c>
      <c r="BT127" s="138">
        <f>'бюджет округа (района)'!AJ127</f>
        <v>0</v>
      </c>
      <c r="BU127" s="138">
        <f t="shared" si="543"/>
        <v>0</v>
      </c>
      <c r="BV127" s="138">
        <f t="shared" si="594"/>
        <v>0</v>
      </c>
      <c r="BW127" s="162" t="s">
        <v>51</v>
      </c>
      <c r="BX127" s="162" t="s">
        <v>51</v>
      </c>
      <c r="BY127" s="138">
        <f>'бюджет округа (района)'!AM127+'бюджеты поселений'!AM127</f>
        <v>0</v>
      </c>
      <c r="BZ127" s="138">
        <f>'бюджет округа (района)'!AM127</f>
        <v>0</v>
      </c>
      <c r="CA127" s="138">
        <f t="shared" si="545"/>
        <v>0</v>
      </c>
      <c r="CB127" s="138">
        <f t="shared" si="595"/>
        <v>0</v>
      </c>
      <c r="CC127" s="162" t="s">
        <v>51</v>
      </c>
      <c r="CD127" s="162" t="s">
        <v>51</v>
      </c>
      <c r="CE127" s="138">
        <f>'бюджет округа (района)'!AP127+'бюджеты поселений'!AP127</f>
        <v>0</v>
      </c>
      <c r="CF127" s="138">
        <f>'бюджет округа (района)'!AP127</f>
        <v>0</v>
      </c>
      <c r="CG127" s="138">
        <f t="shared" si="547"/>
        <v>0</v>
      </c>
      <c r="CH127" s="138">
        <f t="shared" si="596"/>
        <v>0</v>
      </c>
      <c r="CI127" s="162" t="s">
        <v>51</v>
      </c>
      <c r="CJ127" s="162" t="s">
        <v>51</v>
      </c>
      <c r="CK127" s="138">
        <f>'бюджет округа (района)'!AS127+'бюджеты поселений'!AS127</f>
        <v>0</v>
      </c>
      <c r="CL127" s="138">
        <f>'бюджет округа (района)'!AS127</f>
        <v>0</v>
      </c>
      <c r="CM127" s="138">
        <f t="shared" si="549"/>
        <v>0</v>
      </c>
      <c r="CN127" s="138">
        <f t="shared" si="597"/>
        <v>0</v>
      </c>
      <c r="CO127" s="162" t="s">
        <v>51</v>
      </c>
      <c r="CP127" s="162" t="s">
        <v>51</v>
      </c>
      <c r="CQ127" s="138">
        <f>'бюджет округа (района)'!AV127+'бюджеты поселений'!AV127</f>
        <v>0</v>
      </c>
      <c r="CR127" s="138">
        <f>'бюджет округа (района)'!AV127</f>
        <v>0</v>
      </c>
      <c r="CS127" s="138">
        <f t="shared" si="551"/>
        <v>0</v>
      </c>
      <c r="CT127" s="138">
        <f t="shared" si="598"/>
        <v>0</v>
      </c>
      <c r="CU127" s="162" t="s">
        <v>51</v>
      </c>
      <c r="CV127" s="162" t="s">
        <v>51</v>
      </c>
      <c r="CW127" s="138">
        <f>'бюджет округа (района)'!AY127+'бюджеты поселений'!AY127</f>
        <v>0</v>
      </c>
      <c r="CX127" s="138">
        <f>'бюджет округа (района)'!AY127</f>
        <v>0</v>
      </c>
      <c r="CY127" s="138">
        <f t="shared" si="553"/>
        <v>0</v>
      </c>
      <c r="CZ127" s="138">
        <f t="shared" si="599"/>
        <v>0</v>
      </c>
      <c r="DA127" s="162" t="s">
        <v>51</v>
      </c>
      <c r="DB127" s="162" t="s">
        <v>51</v>
      </c>
      <c r="DC127" s="138">
        <f>'бюджет округа (района)'!BB127+'бюджеты поселений'!BB127</f>
        <v>0</v>
      </c>
      <c r="DD127" s="138">
        <f>'бюджет округа (района)'!BB127</f>
        <v>0</v>
      </c>
      <c r="DE127" s="138">
        <f t="shared" si="555"/>
        <v>0</v>
      </c>
      <c r="DF127" s="138">
        <f t="shared" si="600"/>
        <v>0</v>
      </c>
      <c r="DG127" s="162" t="s">
        <v>51</v>
      </c>
      <c r="DH127" s="162" t="s">
        <v>51</v>
      </c>
      <c r="DI127" s="138">
        <f>'бюджет округа (района)'!BE127+'бюджеты поселений'!BE127</f>
        <v>0</v>
      </c>
      <c r="DJ127" s="138">
        <f>'бюджет округа (района)'!BE127</f>
        <v>0</v>
      </c>
      <c r="DK127" s="162" t="s">
        <v>51</v>
      </c>
      <c r="DL127" s="162" t="s">
        <v>51</v>
      </c>
      <c r="DM127" s="238">
        <f t="shared" si="563"/>
        <v>1</v>
      </c>
      <c r="DN127" s="162">
        <f t="shared" si="564"/>
        <v>1</v>
      </c>
      <c r="DO127" s="138">
        <f>'бюджет округа (района)'!BH127+'бюджеты поселений'!BH127</f>
        <v>0</v>
      </c>
      <c r="DP127" s="138">
        <f>'бюджет округа (района)'!BH127</f>
        <v>0</v>
      </c>
      <c r="DQ127" s="138">
        <f>'бюджет округа (района)'!BI127+'бюджеты поселений'!BI127</f>
        <v>0</v>
      </c>
      <c r="DR127" s="138">
        <f>'бюджет округа (района)'!BI127</f>
        <v>0</v>
      </c>
      <c r="DS127" s="138">
        <v>0</v>
      </c>
      <c r="DT127" s="138">
        <v>0</v>
      </c>
      <c r="DU127" s="162">
        <f t="shared" si="606"/>
        <v>-1</v>
      </c>
      <c r="DV127" s="162">
        <f>IF(BB127=0,1,DT127/BB127-1)</f>
        <v>1</v>
      </c>
      <c r="DW127" s="162" t="s">
        <v>51</v>
      </c>
      <c r="DX127" s="203" t="s">
        <v>51</v>
      </c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  <c r="IW127" s="65"/>
      <c r="IX127" s="65"/>
      <c r="IY127" s="65"/>
      <c r="IZ127" s="65"/>
      <c r="JA127" s="65"/>
      <c r="JB127" s="65"/>
      <c r="JC127" s="65"/>
      <c r="JD127" s="65"/>
      <c r="JE127" s="65"/>
      <c r="JF127" s="65"/>
      <c r="JG127" s="65"/>
      <c r="JH127" s="65"/>
    </row>
    <row r="128" spans="1:268" s="87" customFormat="1" ht="63.75" customHeight="1">
      <c r="A128" s="341" t="s">
        <v>162</v>
      </c>
      <c r="B128" s="280"/>
      <c r="C128" s="271">
        <v>6966</v>
      </c>
      <c r="D128" s="271">
        <v>1900</v>
      </c>
      <c r="E128" s="271">
        <v>22383</v>
      </c>
      <c r="F128" s="271">
        <v>3199</v>
      </c>
      <c r="G128" s="271">
        <v>8435</v>
      </c>
      <c r="H128" s="271">
        <v>7062</v>
      </c>
      <c r="I128" s="271">
        <f>'бюджет округа (района)'!E128+'бюджеты поселений'!E128</f>
        <v>0</v>
      </c>
      <c r="J128" s="271">
        <f>'бюджет округа (района)'!E128</f>
        <v>0</v>
      </c>
      <c r="K128" s="271">
        <f>'бюджет округа (района)'!F128+'бюджеты поселений'!F128</f>
        <v>0</v>
      </c>
      <c r="L128" s="271">
        <f>'бюджет округа (района)'!F128</f>
        <v>0</v>
      </c>
      <c r="M128" s="271">
        <f t="shared" si="575"/>
        <v>-22383</v>
      </c>
      <c r="N128" s="271">
        <f t="shared" si="576"/>
        <v>-3199</v>
      </c>
      <c r="O128" s="271">
        <f>'бюджет округа (района)'!H128+'бюджеты поселений'!H128</f>
        <v>0</v>
      </c>
      <c r="P128" s="271">
        <f>'бюджет округа (района)'!H128</f>
        <v>0</v>
      </c>
      <c r="Q128" s="271">
        <f t="shared" si="577"/>
        <v>-22383</v>
      </c>
      <c r="R128" s="271">
        <f t="shared" si="578"/>
        <v>-3199</v>
      </c>
      <c r="S128" s="271">
        <f>'бюджет округа (района)'!J128+'бюджеты поселений'!J128</f>
        <v>0</v>
      </c>
      <c r="T128" s="271">
        <f>'бюджет округа (района)'!J128</f>
        <v>0</v>
      </c>
      <c r="U128" s="271">
        <f t="shared" si="579"/>
        <v>-22383</v>
      </c>
      <c r="V128" s="271">
        <f t="shared" si="580"/>
        <v>-3199</v>
      </c>
      <c r="W128" s="271">
        <f>'бюджет округа (района)'!L128+'бюджеты поселений'!L128</f>
        <v>0</v>
      </c>
      <c r="X128" s="271">
        <f>'бюджет округа (района)'!L128</f>
        <v>0</v>
      </c>
      <c r="Y128" s="271">
        <f t="shared" si="581"/>
        <v>-22383</v>
      </c>
      <c r="Z128" s="271">
        <f t="shared" si="582"/>
        <v>-3199</v>
      </c>
      <c r="AA128" s="271">
        <f>'бюджет округа (района)'!N128+'бюджеты поселений'!N128</f>
        <v>0</v>
      </c>
      <c r="AB128" s="271">
        <f>'бюджет округа (района)'!N128</f>
        <v>0</v>
      </c>
      <c r="AC128" s="271">
        <f t="shared" si="583"/>
        <v>-22383</v>
      </c>
      <c r="AD128" s="271">
        <f t="shared" si="584"/>
        <v>-3199</v>
      </c>
      <c r="AE128" s="271">
        <f>'бюджет округа (района)'!P128+'бюджеты поселений'!P128</f>
        <v>0</v>
      </c>
      <c r="AF128" s="271">
        <f>'бюджет округа (района)'!P128</f>
        <v>0</v>
      </c>
      <c r="AG128" s="271">
        <f t="shared" si="585"/>
        <v>-22383</v>
      </c>
      <c r="AH128" s="271">
        <f t="shared" si="586"/>
        <v>-3199</v>
      </c>
      <c r="AI128" s="271">
        <f>'бюджет округа (района)'!R128+'бюджеты поселений'!R128</f>
        <v>0</v>
      </c>
      <c r="AJ128" s="271">
        <f>'бюджет округа (района)'!R128</f>
        <v>0</v>
      </c>
      <c r="AK128" s="271">
        <f t="shared" si="587"/>
        <v>-22383</v>
      </c>
      <c r="AL128" s="271">
        <f t="shared" si="588"/>
        <v>-3199</v>
      </c>
      <c r="AM128" s="271">
        <f>'бюджет округа (района)'!T128+'бюджеты поселений'!T128</f>
        <v>0</v>
      </c>
      <c r="AN128" s="271">
        <f>'бюджет округа (района)'!T128</f>
        <v>0</v>
      </c>
      <c r="AO128" s="271">
        <f t="shared" si="589"/>
        <v>-22383</v>
      </c>
      <c r="AP128" s="271">
        <f t="shared" si="590"/>
        <v>-3199</v>
      </c>
      <c r="AQ128" s="271">
        <f>'бюджет округа (района)'!V128+'бюджеты поселений'!V128</f>
        <v>0</v>
      </c>
      <c r="AR128" s="271">
        <f>'бюджет округа (района)'!V128</f>
        <v>0</v>
      </c>
      <c r="AS128" s="271">
        <f t="shared" si="591"/>
        <v>-22383</v>
      </c>
      <c r="AT128" s="271">
        <f t="shared" si="592"/>
        <v>-3199</v>
      </c>
      <c r="AU128" s="271">
        <f>'бюджет округа (района)'!X128+'бюджеты поселений'!X128</f>
        <v>0</v>
      </c>
      <c r="AV128" s="271">
        <f>'бюджет округа (района)'!X128</f>
        <v>0</v>
      </c>
      <c r="AW128" s="274">
        <v>6953</v>
      </c>
      <c r="AX128" s="274">
        <v>5631</v>
      </c>
      <c r="AY128" s="274">
        <f>'бюджет округа (района)'!Z128+'бюджеты поселений'!Z128</f>
        <v>0</v>
      </c>
      <c r="AZ128" s="274">
        <f>'бюджет округа (района)'!Z128</f>
        <v>0</v>
      </c>
      <c r="BA128" s="274">
        <v>5348</v>
      </c>
      <c r="BB128" s="143" t="s">
        <v>51</v>
      </c>
      <c r="BC128" s="143" t="s">
        <v>51</v>
      </c>
      <c r="BD128" s="143" t="s">
        <v>51</v>
      </c>
      <c r="BE128" s="274">
        <f>'бюджет округа (района)'!AC128+'бюджеты поселений'!AC128</f>
        <v>0</v>
      </c>
      <c r="BF128" s="274">
        <f>'бюджет округа (района)'!AC128</f>
        <v>0</v>
      </c>
      <c r="BG128" s="274">
        <f>'бюджет округа (района)'!AD128+'бюджеты поселений'!AD128</f>
        <v>0</v>
      </c>
      <c r="BH128" s="274">
        <f>'бюджет округа (района)'!AD128</f>
        <v>0</v>
      </c>
      <c r="BI128" s="274">
        <f t="shared" si="539"/>
        <v>-8435</v>
      </c>
      <c r="BJ128" s="274">
        <f t="shared" si="540"/>
        <v>-7062</v>
      </c>
      <c r="BK128" s="143" t="s">
        <v>51</v>
      </c>
      <c r="BL128" s="143" t="s">
        <v>51</v>
      </c>
      <c r="BM128" s="274">
        <f>'бюджет округа (района)'!AG128+'бюджеты поселений'!AG128</f>
        <v>0</v>
      </c>
      <c r="BN128" s="274">
        <f>'бюджет округа (района)'!AG128</f>
        <v>0</v>
      </c>
      <c r="BO128" s="274">
        <f t="shared" si="541"/>
        <v>-8435</v>
      </c>
      <c r="BP128" s="274">
        <f t="shared" si="593"/>
        <v>-7062</v>
      </c>
      <c r="BQ128" s="143" t="s">
        <v>51</v>
      </c>
      <c r="BR128" s="143" t="s">
        <v>51</v>
      </c>
      <c r="BS128" s="274">
        <f>'бюджет округа (района)'!AJ128+'бюджеты поселений'!AJ128</f>
        <v>0</v>
      </c>
      <c r="BT128" s="274">
        <f>'бюджет округа (района)'!AJ128</f>
        <v>0</v>
      </c>
      <c r="BU128" s="274">
        <f t="shared" si="543"/>
        <v>-8435</v>
      </c>
      <c r="BV128" s="274">
        <f t="shared" si="594"/>
        <v>-7062</v>
      </c>
      <c r="BW128" s="143" t="s">
        <v>51</v>
      </c>
      <c r="BX128" s="143" t="s">
        <v>51</v>
      </c>
      <c r="BY128" s="274">
        <f>'бюджет округа (района)'!AM128+'бюджеты поселений'!AM128</f>
        <v>0</v>
      </c>
      <c r="BZ128" s="274">
        <f>'бюджет округа (района)'!AM128</f>
        <v>0</v>
      </c>
      <c r="CA128" s="274">
        <f t="shared" si="545"/>
        <v>-8435</v>
      </c>
      <c r="CB128" s="274">
        <f t="shared" si="595"/>
        <v>-7062</v>
      </c>
      <c r="CC128" s="143" t="s">
        <v>51</v>
      </c>
      <c r="CD128" s="143" t="s">
        <v>51</v>
      </c>
      <c r="CE128" s="274">
        <f>'бюджет округа (района)'!AP128+'бюджеты поселений'!AP128</f>
        <v>0</v>
      </c>
      <c r="CF128" s="274">
        <f>'бюджет округа (района)'!AP128</f>
        <v>0</v>
      </c>
      <c r="CG128" s="274">
        <f t="shared" si="547"/>
        <v>-8435</v>
      </c>
      <c r="CH128" s="274">
        <f t="shared" si="596"/>
        <v>-7062</v>
      </c>
      <c r="CI128" s="143" t="s">
        <v>51</v>
      </c>
      <c r="CJ128" s="143" t="s">
        <v>51</v>
      </c>
      <c r="CK128" s="274">
        <f>'бюджет округа (района)'!AS128+'бюджеты поселений'!AS128</f>
        <v>0</v>
      </c>
      <c r="CL128" s="274">
        <f>'бюджет округа (района)'!AS128</f>
        <v>0</v>
      </c>
      <c r="CM128" s="274">
        <f t="shared" si="549"/>
        <v>-8435</v>
      </c>
      <c r="CN128" s="274">
        <f t="shared" si="597"/>
        <v>-7062</v>
      </c>
      <c r="CO128" s="143" t="s">
        <v>51</v>
      </c>
      <c r="CP128" s="143" t="s">
        <v>51</v>
      </c>
      <c r="CQ128" s="274">
        <f>'бюджет округа (района)'!AV128+'бюджеты поселений'!AV128</f>
        <v>0</v>
      </c>
      <c r="CR128" s="274">
        <f>'бюджет округа (района)'!AV128</f>
        <v>0</v>
      </c>
      <c r="CS128" s="274">
        <f t="shared" si="551"/>
        <v>-8435</v>
      </c>
      <c r="CT128" s="274">
        <f t="shared" si="598"/>
        <v>-7062</v>
      </c>
      <c r="CU128" s="143" t="s">
        <v>51</v>
      </c>
      <c r="CV128" s="143" t="s">
        <v>51</v>
      </c>
      <c r="CW128" s="274">
        <f>'бюджет округа (района)'!AY128+'бюджеты поселений'!AY128</f>
        <v>0</v>
      </c>
      <c r="CX128" s="274">
        <f>'бюджет округа (района)'!AY128</f>
        <v>0</v>
      </c>
      <c r="CY128" s="274">
        <f t="shared" si="553"/>
        <v>-8435</v>
      </c>
      <c r="CZ128" s="274">
        <f t="shared" si="599"/>
        <v>-7062</v>
      </c>
      <c r="DA128" s="143" t="s">
        <v>51</v>
      </c>
      <c r="DB128" s="143" t="s">
        <v>51</v>
      </c>
      <c r="DC128" s="274">
        <f>'бюджет округа (района)'!BB128+'бюджеты поселений'!BB128</f>
        <v>0</v>
      </c>
      <c r="DD128" s="274">
        <f>'бюджет округа (района)'!BB128</f>
        <v>0</v>
      </c>
      <c r="DE128" s="274">
        <f t="shared" si="555"/>
        <v>-8435</v>
      </c>
      <c r="DF128" s="274">
        <f t="shared" si="600"/>
        <v>-7062</v>
      </c>
      <c r="DG128" s="143" t="s">
        <v>51</v>
      </c>
      <c r="DH128" s="143" t="s">
        <v>51</v>
      </c>
      <c r="DI128" s="274">
        <f>'бюджет округа (района)'!BE128+'бюджеты поселений'!BE128</f>
        <v>0</v>
      </c>
      <c r="DJ128" s="274">
        <f>'бюджет округа (района)'!BE128</f>
        <v>0</v>
      </c>
      <c r="DK128" s="143" t="s">
        <v>51</v>
      </c>
      <c r="DL128" s="143" t="s">
        <v>51</v>
      </c>
      <c r="DM128" s="233" t="s">
        <v>51</v>
      </c>
      <c r="DN128" s="143" t="s">
        <v>51</v>
      </c>
      <c r="DO128" s="274">
        <f>'бюджет округа (района)'!BH128+'бюджеты поселений'!BH128</f>
        <v>0</v>
      </c>
      <c r="DP128" s="274">
        <f>'бюджет округа (района)'!BH128</f>
        <v>0</v>
      </c>
      <c r="DQ128" s="274">
        <f>'бюджет округа (района)'!BI128+'бюджеты поселений'!BI128</f>
        <v>0</v>
      </c>
      <c r="DR128" s="274">
        <f>'бюджет округа (района)'!BI128</f>
        <v>0</v>
      </c>
      <c r="DS128" s="143" t="s">
        <v>51</v>
      </c>
      <c r="DT128" s="143" t="s">
        <v>51</v>
      </c>
      <c r="DU128" s="143" t="s">
        <v>51</v>
      </c>
      <c r="DV128" s="143" t="s">
        <v>51</v>
      </c>
      <c r="DW128" s="143" t="s">
        <v>51</v>
      </c>
      <c r="DX128" s="198" t="s">
        <v>51</v>
      </c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  <c r="GY128" s="88"/>
      <c r="GZ128" s="88"/>
      <c r="HA128" s="88"/>
      <c r="HB128" s="88"/>
      <c r="HC128" s="88"/>
      <c r="HD128" s="88"/>
      <c r="HE128" s="88"/>
      <c r="HF128" s="88"/>
      <c r="HG128" s="88"/>
      <c r="HH128" s="88"/>
      <c r="HI128" s="88"/>
      <c r="HJ128" s="88"/>
      <c r="HK128" s="88"/>
      <c r="HL128" s="88"/>
      <c r="HM128" s="88"/>
      <c r="HN128" s="88"/>
      <c r="HO128" s="88"/>
      <c r="HP128" s="88"/>
      <c r="HQ128" s="88"/>
      <c r="HR128" s="88"/>
      <c r="HS128" s="88"/>
      <c r="HT128" s="88"/>
      <c r="HU128" s="88"/>
      <c r="HV128" s="88"/>
      <c r="HW128" s="88"/>
      <c r="HX128" s="88"/>
      <c r="HY128" s="88"/>
      <c r="HZ128" s="88"/>
      <c r="IA128" s="88"/>
      <c r="IB128" s="88"/>
      <c r="IC128" s="88"/>
      <c r="ID128" s="88"/>
      <c r="IE128" s="88"/>
      <c r="IF128" s="88"/>
      <c r="IG128" s="88"/>
      <c r="IH128" s="88"/>
      <c r="II128" s="88"/>
      <c r="IJ128" s="88"/>
      <c r="IK128" s="88"/>
      <c r="IL128" s="88"/>
      <c r="IM128" s="88"/>
      <c r="IN128" s="88"/>
      <c r="IO128" s="88"/>
      <c r="IP128" s="88"/>
      <c r="IQ128" s="88"/>
      <c r="IR128" s="88"/>
      <c r="IS128" s="88"/>
      <c r="IT128" s="88"/>
      <c r="IU128" s="88"/>
      <c r="IV128" s="88"/>
      <c r="IW128" s="88"/>
      <c r="IX128" s="88"/>
      <c r="IY128" s="88"/>
      <c r="IZ128" s="88"/>
      <c r="JA128" s="88"/>
      <c r="JB128" s="88"/>
      <c r="JC128" s="88"/>
      <c r="JD128" s="88"/>
      <c r="JE128" s="88"/>
      <c r="JF128" s="88"/>
      <c r="JG128" s="88"/>
      <c r="JH128" s="88"/>
    </row>
    <row r="129" spans="1:268" s="66" customFormat="1" ht="16.5">
      <c r="A129" s="342" t="s">
        <v>78</v>
      </c>
      <c r="B129" s="282"/>
      <c r="C129" s="137">
        <v>112</v>
      </c>
      <c r="D129" s="137">
        <v>112</v>
      </c>
      <c r="E129" s="137">
        <v>15552</v>
      </c>
      <c r="F129" s="137">
        <v>0</v>
      </c>
      <c r="G129" s="137">
        <v>8</v>
      </c>
      <c r="H129" s="137">
        <v>0</v>
      </c>
      <c r="I129" s="137">
        <f>'бюджет округа (района)'!E129+'бюджеты поселений'!E129</f>
        <v>0</v>
      </c>
      <c r="J129" s="137">
        <f>'бюджет округа (района)'!E129</f>
        <v>0</v>
      </c>
      <c r="K129" s="137">
        <f>'бюджет округа (района)'!F129+'бюджеты поселений'!F129</f>
        <v>0</v>
      </c>
      <c r="L129" s="137">
        <f>'бюджет округа (района)'!F129</f>
        <v>0</v>
      </c>
      <c r="M129" s="137">
        <f t="shared" si="575"/>
        <v>-15552</v>
      </c>
      <c r="N129" s="137">
        <f t="shared" si="576"/>
        <v>0</v>
      </c>
      <c r="O129" s="137">
        <f>'бюджет округа (района)'!H129+'бюджеты поселений'!H129</f>
        <v>0</v>
      </c>
      <c r="P129" s="137">
        <f>'бюджет округа (района)'!H129</f>
        <v>0</v>
      </c>
      <c r="Q129" s="137">
        <f t="shared" si="577"/>
        <v>-15552</v>
      </c>
      <c r="R129" s="137">
        <f t="shared" si="578"/>
        <v>0</v>
      </c>
      <c r="S129" s="137">
        <f>'бюджет округа (района)'!J129+'бюджеты поселений'!J129</f>
        <v>0</v>
      </c>
      <c r="T129" s="137">
        <f>'бюджет округа (района)'!J129</f>
        <v>0</v>
      </c>
      <c r="U129" s="137">
        <f t="shared" si="579"/>
        <v>-15552</v>
      </c>
      <c r="V129" s="137">
        <f t="shared" si="580"/>
        <v>0</v>
      </c>
      <c r="W129" s="137">
        <f>'бюджет округа (района)'!L129+'бюджеты поселений'!L129</f>
        <v>0</v>
      </c>
      <c r="X129" s="137">
        <f>'бюджет округа (района)'!L129</f>
        <v>0</v>
      </c>
      <c r="Y129" s="137">
        <f t="shared" si="581"/>
        <v>-15552</v>
      </c>
      <c r="Z129" s="137">
        <f t="shared" si="582"/>
        <v>0</v>
      </c>
      <c r="AA129" s="137">
        <f>'бюджет округа (района)'!N129+'бюджеты поселений'!N129</f>
        <v>0</v>
      </c>
      <c r="AB129" s="137">
        <f>'бюджет округа (района)'!N129</f>
        <v>0</v>
      </c>
      <c r="AC129" s="137">
        <f t="shared" si="583"/>
        <v>-15552</v>
      </c>
      <c r="AD129" s="137">
        <f t="shared" si="584"/>
        <v>0</v>
      </c>
      <c r="AE129" s="137">
        <f>'бюджет округа (района)'!P129+'бюджеты поселений'!P129</f>
        <v>0</v>
      </c>
      <c r="AF129" s="137">
        <f>'бюджет округа (района)'!P129</f>
        <v>0</v>
      </c>
      <c r="AG129" s="137">
        <f t="shared" si="585"/>
        <v>-15552</v>
      </c>
      <c r="AH129" s="137">
        <f t="shared" si="586"/>
        <v>0</v>
      </c>
      <c r="AI129" s="137">
        <f>'бюджет округа (района)'!R129+'бюджеты поселений'!R129</f>
        <v>0</v>
      </c>
      <c r="AJ129" s="137">
        <f>'бюджет округа (района)'!R129</f>
        <v>0</v>
      </c>
      <c r="AK129" s="137">
        <f t="shared" si="587"/>
        <v>-15552</v>
      </c>
      <c r="AL129" s="137">
        <f t="shared" si="588"/>
        <v>0</v>
      </c>
      <c r="AM129" s="137">
        <f>'бюджет округа (района)'!T129+'бюджеты поселений'!T129</f>
        <v>0</v>
      </c>
      <c r="AN129" s="137">
        <f>'бюджет округа (района)'!T129</f>
        <v>0</v>
      </c>
      <c r="AO129" s="137">
        <f t="shared" si="589"/>
        <v>-15552</v>
      </c>
      <c r="AP129" s="137">
        <f t="shared" si="590"/>
        <v>0</v>
      </c>
      <c r="AQ129" s="137">
        <f>'бюджет округа (района)'!V129+'бюджеты поселений'!V129</f>
        <v>0</v>
      </c>
      <c r="AR129" s="137">
        <f>'бюджет округа (района)'!V129</f>
        <v>0</v>
      </c>
      <c r="AS129" s="137">
        <f t="shared" si="591"/>
        <v>-15552</v>
      </c>
      <c r="AT129" s="137">
        <f t="shared" si="592"/>
        <v>0</v>
      </c>
      <c r="AU129" s="137">
        <f>'бюджет округа (района)'!X129+'бюджеты поселений'!X129</f>
        <v>0</v>
      </c>
      <c r="AV129" s="137">
        <f>'бюджет округа (района)'!X129</f>
        <v>0</v>
      </c>
      <c r="AW129" s="137">
        <v>55</v>
      </c>
      <c r="AX129" s="137">
        <v>0</v>
      </c>
      <c r="AY129" s="137">
        <f>'бюджет округа (района)'!Z129+'бюджеты поселений'!Z129</f>
        <v>0</v>
      </c>
      <c r="AZ129" s="137">
        <f>'бюджет округа (района)'!Z129</f>
        <v>0</v>
      </c>
      <c r="BA129" s="137">
        <v>0</v>
      </c>
      <c r="BB129" s="162" t="s">
        <v>51</v>
      </c>
      <c r="BC129" s="162" t="s">
        <v>51</v>
      </c>
      <c r="BD129" s="162" t="s">
        <v>51</v>
      </c>
      <c r="BE129" s="137">
        <f>'бюджет округа (района)'!AC129+'бюджеты поселений'!AC129</f>
        <v>0</v>
      </c>
      <c r="BF129" s="137">
        <f>'бюджет округа (района)'!AC129</f>
        <v>0</v>
      </c>
      <c r="BG129" s="137">
        <f>'бюджет округа (района)'!AD129+'бюджеты поселений'!AD129</f>
        <v>0</v>
      </c>
      <c r="BH129" s="137">
        <f>'бюджет округа (района)'!AD129</f>
        <v>0</v>
      </c>
      <c r="BI129" s="137">
        <f t="shared" si="539"/>
        <v>-8</v>
      </c>
      <c r="BJ129" s="137">
        <f t="shared" si="540"/>
        <v>0</v>
      </c>
      <c r="BK129" s="162" t="s">
        <v>51</v>
      </c>
      <c r="BL129" s="162" t="s">
        <v>51</v>
      </c>
      <c r="BM129" s="137">
        <f>'бюджет округа (района)'!AG129+'бюджеты поселений'!AG129</f>
        <v>0</v>
      </c>
      <c r="BN129" s="137">
        <f>'бюджет округа (района)'!AG129</f>
        <v>0</v>
      </c>
      <c r="BO129" s="137">
        <f t="shared" si="541"/>
        <v>-8</v>
      </c>
      <c r="BP129" s="137">
        <f t="shared" si="593"/>
        <v>0</v>
      </c>
      <c r="BQ129" s="162" t="s">
        <v>51</v>
      </c>
      <c r="BR129" s="162" t="s">
        <v>51</v>
      </c>
      <c r="BS129" s="137">
        <f>'бюджет округа (района)'!AJ129+'бюджеты поселений'!AJ129</f>
        <v>0</v>
      </c>
      <c r="BT129" s="137">
        <f>'бюджет округа (района)'!AJ129</f>
        <v>0</v>
      </c>
      <c r="BU129" s="137">
        <f t="shared" si="543"/>
        <v>-8</v>
      </c>
      <c r="BV129" s="137">
        <f t="shared" si="594"/>
        <v>0</v>
      </c>
      <c r="BW129" s="162" t="s">
        <v>51</v>
      </c>
      <c r="BX129" s="162" t="s">
        <v>51</v>
      </c>
      <c r="BY129" s="137">
        <f>'бюджет округа (района)'!AM129+'бюджеты поселений'!AM129</f>
        <v>0</v>
      </c>
      <c r="BZ129" s="137">
        <f>'бюджет округа (района)'!AM129</f>
        <v>0</v>
      </c>
      <c r="CA129" s="137">
        <f t="shared" si="545"/>
        <v>-8</v>
      </c>
      <c r="CB129" s="137">
        <f t="shared" si="595"/>
        <v>0</v>
      </c>
      <c r="CC129" s="162" t="s">
        <v>51</v>
      </c>
      <c r="CD129" s="162" t="s">
        <v>51</v>
      </c>
      <c r="CE129" s="137">
        <f>'бюджет округа (района)'!AP129+'бюджеты поселений'!AP129</f>
        <v>0</v>
      </c>
      <c r="CF129" s="137">
        <f>'бюджет округа (района)'!AP129</f>
        <v>0</v>
      </c>
      <c r="CG129" s="137">
        <f t="shared" si="547"/>
        <v>-8</v>
      </c>
      <c r="CH129" s="137">
        <f t="shared" si="596"/>
        <v>0</v>
      </c>
      <c r="CI129" s="162" t="s">
        <v>51</v>
      </c>
      <c r="CJ129" s="162" t="s">
        <v>51</v>
      </c>
      <c r="CK129" s="137">
        <f>'бюджет округа (района)'!AS129+'бюджеты поселений'!AS129</f>
        <v>0</v>
      </c>
      <c r="CL129" s="137">
        <f>'бюджет округа (района)'!AS129</f>
        <v>0</v>
      </c>
      <c r="CM129" s="137">
        <f t="shared" si="549"/>
        <v>-8</v>
      </c>
      <c r="CN129" s="137">
        <f t="shared" si="597"/>
        <v>0</v>
      </c>
      <c r="CO129" s="162" t="s">
        <v>51</v>
      </c>
      <c r="CP129" s="162" t="s">
        <v>51</v>
      </c>
      <c r="CQ129" s="137">
        <f>'бюджет округа (района)'!AV129+'бюджеты поселений'!AV129</f>
        <v>0</v>
      </c>
      <c r="CR129" s="137">
        <f>'бюджет округа (района)'!AV129</f>
        <v>0</v>
      </c>
      <c r="CS129" s="137">
        <f t="shared" si="551"/>
        <v>-8</v>
      </c>
      <c r="CT129" s="137">
        <f t="shared" si="598"/>
        <v>0</v>
      </c>
      <c r="CU129" s="162" t="s">
        <v>51</v>
      </c>
      <c r="CV129" s="162" t="s">
        <v>51</v>
      </c>
      <c r="CW129" s="137">
        <f>'бюджет округа (района)'!AY129+'бюджеты поселений'!AY129</f>
        <v>0</v>
      </c>
      <c r="CX129" s="137">
        <f>'бюджет округа (района)'!AY129</f>
        <v>0</v>
      </c>
      <c r="CY129" s="137">
        <f t="shared" si="553"/>
        <v>-8</v>
      </c>
      <c r="CZ129" s="137">
        <f t="shared" si="599"/>
        <v>0</v>
      </c>
      <c r="DA129" s="162" t="s">
        <v>51</v>
      </c>
      <c r="DB129" s="162" t="s">
        <v>51</v>
      </c>
      <c r="DC129" s="137">
        <f>'бюджет округа (района)'!BB129+'бюджеты поселений'!BB129</f>
        <v>0</v>
      </c>
      <c r="DD129" s="137">
        <f>'бюджет округа (района)'!BB129</f>
        <v>0</v>
      </c>
      <c r="DE129" s="137">
        <f t="shared" si="555"/>
        <v>-8</v>
      </c>
      <c r="DF129" s="137">
        <f t="shared" si="600"/>
        <v>0</v>
      </c>
      <c r="DG129" s="162" t="s">
        <v>51</v>
      </c>
      <c r="DH129" s="162" t="s">
        <v>51</v>
      </c>
      <c r="DI129" s="137">
        <f>'бюджет округа (района)'!BE129+'бюджеты поселений'!BE129</f>
        <v>0</v>
      </c>
      <c r="DJ129" s="137">
        <f>'бюджет округа (района)'!BE129</f>
        <v>0</v>
      </c>
      <c r="DK129" s="162" t="s">
        <v>51</v>
      </c>
      <c r="DL129" s="162" t="s">
        <v>51</v>
      </c>
      <c r="DM129" s="238" t="s">
        <v>51</v>
      </c>
      <c r="DN129" s="162" t="s">
        <v>51</v>
      </c>
      <c r="DO129" s="137">
        <f>'бюджет округа (района)'!BH129+'бюджеты поселений'!BH129</f>
        <v>0</v>
      </c>
      <c r="DP129" s="137">
        <f>'бюджет округа (района)'!BH129</f>
        <v>0</v>
      </c>
      <c r="DQ129" s="137">
        <f>'бюджет округа (района)'!BI129+'бюджеты поселений'!BI129</f>
        <v>0</v>
      </c>
      <c r="DR129" s="137">
        <f>'бюджет округа (района)'!BI129</f>
        <v>0</v>
      </c>
      <c r="DS129" s="162" t="s">
        <v>51</v>
      </c>
      <c r="DT129" s="162" t="s">
        <v>51</v>
      </c>
      <c r="DU129" s="162" t="s">
        <v>51</v>
      </c>
      <c r="DV129" s="162" t="s">
        <v>51</v>
      </c>
      <c r="DW129" s="162" t="s">
        <v>51</v>
      </c>
      <c r="DX129" s="203" t="s">
        <v>51</v>
      </c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  <c r="IW129" s="65"/>
      <c r="IX129" s="65"/>
      <c r="IY129" s="65"/>
      <c r="IZ129" s="65"/>
      <c r="JA129" s="65"/>
      <c r="JB129" s="65"/>
      <c r="JC129" s="65"/>
      <c r="JD129" s="65"/>
      <c r="JE129" s="65"/>
      <c r="JF129" s="65"/>
      <c r="JG129" s="65"/>
      <c r="JH129" s="65"/>
    </row>
    <row r="130" spans="1:268" s="87" customFormat="1" ht="56.25" customHeight="1" thickBot="1">
      <c r="A130" s="343" t="s">
        <v>163</v>
      </c>
      <c r="B130" s="344"/>
      <c r="C130" s="248">
        <v>1672</v>
      </c>
      <c r="D130" s="248">
        <v>1397</v>
      </c>
      <c r="E130" s="248">
        <v>773</v>
      </c>
      <c r="F130" s="248">
        <v>497</v>
      </c>
      <c r="G130" s="248">
        <v>5216</v>
      </c>
      <c r="H130" s="248">
        <v>5073</v>
      </c>
      <c r="I130" s="248">
        <f>'бюджет округа (района)'!E130+'бюджеты поселений'!E130</f>
        <v>0</v>
      </c>
      <c r="J130" s="248">
        <f>'бюджет округа (района)'!E130</f>
        <v>0</v>
      </c>
      <c r="K130" s="248">
        <f>'бюджет округа (района)'!F130+'бюджеты поселений'!F130</f>
        <v>0</v>
      </c>
      <c r="L130" s="248">
        <f>'бюджет округа (района)'!F130</f>
        <v>0</v>
      </c>
      <c r="M130" s="248">
        <f t="shared" si="575"/>
        <v>-773</v>
      </c>
      <c r="N130" s="248">
        <f t="shared" si="576"/>
        <v>-497</v>
      </c>
      <c r="O130" s="248">
        <f>'бюджет округа (района)'!H130+'бюджеты поселений'!H130</f>
        <v>0</v>
      </c>
      <c r="P130" s="248">
        <f>'бюджет округа (района)'!H130</f>
        <v>0</v>
      </c>
      <c r="Q130" s="248">
        <f t="shared" si="577"/>
        <v>-773</v>
      </c>
      <c r="R130" s="248">
        <f t="shared" si="578"/>
        <v>-497</v>
      </c>
      <c r="S130" s="248">
        <f>'бюджет округа (района)'!J130+'бюджеты поселений'!J130</f>
        <v>0</v>
      </c>
      <c r="T130" s="248">
        <f>'бюджет округа (района)'!J130</f>
        <v>0</v>
      </c>
      <c r="U130" s="248">
        <f t="shared" si="579"/>
        <v>-773</v>
      </c>
      <c r="V130" s="248">
        <f t="shared" si="580"/>
        <v>-497</v>
      </c>
      <c r="W130" s="248">
        <f>'бюджет округа (района)'!L130+'бюджеты поселений'!L130</f>
        <v>0</v>
      </c>
      <c r="X130" s="248">
        <f>'бюджет округа (района)'!L130</f>
        <v>0</v>
      </c>
      <c r="Y130" s="248">
        <f t="shared" si="581"/>
        <v>-773</v>
      </c>
      <c r="Z130" s="248">
        <f t="shared" si="582"/>
        <v>-497</v>
      </c>
      <c r="AA130" s="248">
        <f>'бюджет округа (района)'!N130+'бюджеты поселений'!N130</f>
        <v>0</v>
      </c>
      <c r="AB130" s="248">
        <f>'бюджет округа (района)'!N130</f>
        <v>0</v>
      </c>
      <c r="AC130" s="248">
        <f t="shared" si="583"/>
        <v>-773</v>
      </c>
      <c r="AD130" s="248">
        <f t="shared" si="584"/>
        <v>-497</v>
      </c>
      <c r="AE130" s="248">
        <f>'бюджет округа (района)'!P130+'бюджеты поселений'!P130</f>
        <v>0</v>
      </c>
      <c r="AF130" s="248">
        <f>'бюджет округа (района)'!P130</f>
        <v>0</v>
      </c>
      <c r="AG130" s="248">
        <f t="shared" si="585"/>
        <v>-773</v>
      </c>
      <c r="AH130" s="248">
        <f t="shared" si="586"/>
        <v>-497</v>
      </c>
      <c r="AI130" s="248">
        <f>'бюджет округа (района)'!R130+'бюджеты поселений'!R130</f>
        <v>0</v>
      </c>
      <c r="AJ130" s="248">
        <f>'бюджет округа (района)'!R130</f>
        <v>0</v>
      </c>
      <c r="AK130" s="248">
        <f t="shared" si="587"/>
        <v>-773</v>
      </c>
      <c r="AL130" s="248">
        <f t="shared" si="588"/>
        <v>-497</v>
      </c>
      <c r="AM130" s="248">
        <f>'бюджет округа (района)'!T130+'бюджеты поселений'!T130</f>
        <v>0</v>
      </c>
      <c r="AN130" s="248">
        <f>'бюджет округа (района)'!T130</f>
        <v>0</v>
      </c>
      <c r="AO130" s="248">
        <f t="shared" si="589"/>
        <v>-773</v>
      </c>
      <c r="AP130" s="248">
        <f t="shared" si="590"/>
        <v>-497</v>
      </c>
      <c r="AQ130" s="248">
        <f>'бюджет округа (района)'!V130+'бюджеты поселений'!V130</f>
        <v>0</v>
      </c>
      <c r="AR130" s="248">
        <f>'бюджет округа (района)'!V130</f>
        <v>0</v>
      </c>
      <c r="AS130" s="248">
        <f t="shared" si="591"/>
        <v>-773</v>
      </c>
      <c r="AT130" s="248">
        <f t="shared" si="592"/>
        <v>-497</v>
      </c>
      <c r="AU130" s="248">
        <f>'бюджет округа (района)'!X130+'бюджеты поселений'!X130</f>
        <v>0</v>
      </c>
      <c r="AV130" s="248">
        <f>'бюджет округа (района)'!X130</f>
        <v>0</v>
      </c>
      <c r="AW130" s="248">
        <v>631</v>
      </c>
      <c r="AX130" s="248">
        <v>549</v>
      </c>
      <c r="AY130" s="248">
        <f>'бюджет округа (района)'!Z130+'бюджеты поселений'!Z130</f>
        <v>0</v>
      </c>
      <c r="AZ130" s="248">
        <f>'бюджет округа (района)'!Z130</f>
        <v>0</v>
      </c>
      <c r="BA130" s="248">
        <v>1760</v>
      </c>
      <c r="BB130" s="249" t="s">
        <v>51</v>
      </c>
      <c r="BC130" s="249" t="s">
        <v>51</v>
      </c>
      <c r="BD130" s="249" t="s">
        <v>51</v>
      </c>
      <c r="BE130" s="248">
        <f>'бюджет округа (района)'!AC130+'бюджеты поселений'!AC130</f>
        <v>0</v>
      </c>
      <c r="BF130" s="248">
        <f>'бюджет округа (района)'!AC130</f>
        <v>0</v>
      </c>
      <c r="BG130" s="248">
        <f>'бюджет округа (района)'!AD130+'бюджеты поселений'!AD130</f>
        <v>0</v>
      </c>
      <c r="BH130" s="248">
        <f>'бюджет округа (района)'!AD130</f>
        <v>0</v>
      </c>
      <c r="BI130" s="248">
        <f t="shared" si="539"/>
        <v>-5216</v>
      </c>
      <c r="BJ130" s="248">
        <f t="shared" si="540"/>
        <v>-5073</v>
      </c>
      <c r="BK130" s="249" t="s">
        <v>51</v>
      </c>
      <c r="BL130" s="249" t="s">
        <v>51</v>
      </c>
      <c r="BM130" s="248">
        <f>'бюджет округа (района)'!AG130+'бюджеты поселений'!AG130</f>
        <v>0</v>
      </c>
      <c r="BN130" s="248">
        <f>'бюджет округа (района)'!AG130</f>
        <v>0</v>
      </c>
      <c r="BO130" s="248">
        <f t="shared" si="541"/>
        <v>-5216</v>
      </c>
      <c r="BP130" s="248">
        <f t="shared" si="593"/>
        <v>-5073</v>
      </c>
      <c r="BQ130" s="249" t="s">
        <v>51</v>
      </c>
      <c r="BR130" s="249" t="s">
        <v>51</v>
      </c>
      <c r="BS130" s="248">
        <f>'бюджет округа (района)'!AJ130+'бюджеты поселений'!AJ130</f>
        <v>0</v>
      </c>
      <c r="BT130" s="248">
        <f>'бюджет округа (района)'!AJ130</f>
        <v>0</v>
      </c>
      <c r="BU130" s="248">
        <f t="shared" si="543"/>
        <v>-5216</v>
      </c>
      <c r="BV130" s="248">
        <f t="shared" si="594"/>
        <v>-5073</v>
      </c>
      <c r="BW130" s="249" t="s">
        <v>51</v>
      </c>
      <c r="BX130" s="249" t="s">
        <v>51</v>
      </c>
      <c r="BY130" s="248">
        <f>'бюджет округа (района)'!AM130+'бюджеты поселений'!AM130</f>
        <v>0</v>
      </c>
      <c r="BZ130" s="248">
        <f>'бюджет округа (района)'!AM130</f>
        <v>0</v>
      </c>
      <c r="CA130" s="248">
        <f t="shared" si="545"/>
        <v>-5216</v>
      </c>
      <c r="CB130" s="248">
        <f t="shared" si="595"/>
        <v>-5073</v>
      </c>
      <c r="CC130" s="249" t="s">
        <v>51</v>
      </c>
      <c r="CD130" s="249" t="s">
        <v>51</v>
      </c>
      <c r="CE130" s="248">
        <f>'бюджет округа (района)'!AP130+'бюджеты поселений'!AP130</f>
        <v>0</v>
      </c>
      <c r="CF130" s="248">
        <f>'бюджет округа (района)'!AP130</f>
        <v>0</v>
      </c>
      <c r="CG130" s="248">
        <f t="shared" si="547"/>
        <v>-5216</v>
      </c>
      <c r="CH130" s="248">
        <f t="shared" si="596"/>
        <v>-5073</v>
      </c>
      <c r="CI130" s="249" t="s">
        <v>51</v>
      </c>
      <c r="CJ130" s="249" t="s">
        <v>51</v>
      </c>
      <c r="CK130" s="248">
        <f>'бюджет округа (района)'!AS130+'бюджеты поселений'!AS130</f>
        <v>0</v>
      </c>
      <c r="CL130" s="248">
        <f>'бюджет округа (района)'!AS130</f>
        <v>0</v>
      </c>
      <c r="CM130" s="248">
        <f t="shared" si="549"/>
        <v>-5216</v>
      </c>
      <c r="CN130" s="248">
        <f t="shared" si="597"/>
        <v>-5073</v>
      </c>
      <c r="CO130" s="249" t="s">
        <v>51</v>
      </c>
      <c r="CP130" s="249" t="s">
        <v>51</v>
      </c>
      <c r="CQ130" s="248">
        <f>'бюджет округа (района)'!AV130+'бюджеты поселений'!AV130</f>
        <v>0</v>
      </c>
      <c r="CR130" s="248">
        <f>'бюджет округа (района)'!AV130</f>
        <v>0</v>
      </c>
      <c r="CS130" s="248">
        <f t="shared" si="551"/>
        <v>-5216</v>
      </c>
      <c r="CT130" s="248">
        <f t="shared" si="598"/>
        <v>-5073</v>
      </c>
      <c r="CU130" s="249" t="s">
        <v>51</v>
      </c>
      <c r="CV130" s="249" t="s">
        <v>51</v>
      </c>
      <c r="CW130" s="248">
        <f>'бюджет округа (района)'!AY130+'бюджеты поселений'!AY130</f>
        <v>0</v>
      </c>
      <c r="CX130" s="248">
        <f>'бюджет округа (района)'!AY130</f>
        <v>0</v>
      </c>
      <c r="CY130" s="248">
        <f t="shared" si="553"/>
        <v>-5216</v>
      </c>
      <c r="CZ130" s="248">
        <f t="shared" si="599"/>
        <v>-5073</v>
      </c>
      <c r="DA130" s="249" t="s">
        <v>51</v>
      </c>
      <c r="DB130" s="249" t="s">
        <v>51</v>
      </c>
      <c r="DC130" s="248">
        <f>'бюджет округа (района)'!BB130+'бюджеты поселений'!BB130</f>
        <v>0</v>
      </c>
      <c r="DD130" s="248">
        <f>'бюджет округа (района)'!BB130</f>
        <v>0</v>
      </c>
      <c r="DE130" s="248">
        <f t="shared" si="555"/>
        <v>-5216</v>
      </c>
      <c r="DF130" s="248">
        <f t="shared" si="600"/>
        <v>-5073</v>
      </c>
      <c r="DG130" s="249" t="s">
        <v>51</v>
      </c>
      <c r="DH130" s="249" t="s">
        <v>51</v>
      </c>
      <c r="DI130" s="248">
        <f>'бюджет округа (района)'!BE130+'бюджеты поселений'!BE130</f>
        <v>0</v>
      </c>
      <c r="DJ130" s="248">
        <f>'бюджет округа (района)'!BE130</f>
        <v>0</v>
      </c>
      <c r="DK130" s="249" t="s">
        <v>51</v>
      </c>
      <c r="DL130" s="249" t="s">
        <v>51</v>
      </c>
      <c r="DM130" s="250" t="s">
        <v>51</v>
      </c>
      <c r="DN130" s="249" t="s">
        <v>51</v>
      </c>
      <c r="DO130" s="248">
        <f>'бюджет округа (района)'!BH130+'бюджеты поселений'!BH130</f>
        <v>0</v>
      </c>
      <c r="DP130" s="248">
        <f>'бюджет округа (района)'!BH130</f>
        <v>0</v>
      </c>
      <c r="DQ130" s="248">
        <f>'бюджет округа (района)'!BI130+'бюджеты поселений'!BI130</f>
        <v>0</v>
      </c>
      <c r="DR130" s="248">
        <f>'бюджет округа (района)'!BI130</f>
        <v>0</v>
      </c>
      <c r="DS130" s="249" t="s">
        <v>51</v>
      </c>
      <c r="DT130" s="249" t="s">
        <v>51</v>
      </c>
      <c r="DU130" s="249" t="s">
        <v>51</v>
      </c>
      <c r="DV130" s="249" t="s">
        <v>51</v>
      </c>
      <c r="DW130" s="249" t="s">
        <v>51</v>
      </c>
      <c r="DX130" s="251" t="s">
        <v>51</v>
      </c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  <c r="EL130" s="88"/>
      <c r="EM130" s="88"/>
      <c r="EN130" s="88"/>
      <c r="EO130" s="88"/>
      <c r="EP130" s="88"/>
      <c r="EQ130" s="88"/>
      <c r="ER130" s="88"/>
      <c r="ES130" s="88"/>
      <c r="ET130" s="88"/>
      <c r="EU130" s="88"/>
      <c r="EV130" s="88"/>
      <c r="EW130" s="88"/>
      <c r="EX130" s="88"/>
      <c r="EY130" s="88"/>
      <c r="EZ130" s="88"/>
      <c r="FA130" s="88"/>
      <c r="FB130" s="88"/>
      <c r="FC130" s="88"/>
      <c r="FD130" s="88"/>
      <c r="FE130" s="88"/>
      <c r="FF130" s="88"/>
      <c r="FG130" s="88"/>
      <c r="FH130" s="88"/>
      <c r="FI130" s="88"/>
      <c r="FJ130" s="88"/>
      <c r="FK130" s="88"/>
      <c r="FL130" s="88"/>
      <c r="FM130" s="88"/>
      <c r="FN130" s="88"/>
      <c r="FO130" s="88"/>
      <c r="FP130" s="88"/>
      <c r="FQ130" s="88"/>
      <c r="FR130" s="88"/>
      <c r="FS130" s="88"/>
      <c r="FT130" s="88"/>
      <c r="FU130" s="88"/>
      <c r="FV130" s="88"/>
      <c r="FW130" s="88"/>
      <c r="FX130" s="88"/>
      <c r="FY130" s="88"/>
      <c r="FZ130" s="88"/>
      <c r="GA130" s="88"/>
      <c r="GB130" s="88"/>
      <c r="GC130" s="88"/>
      <c r="GD130" s="88"/>
      <c r="GE130" s="88"/>
      <c r="GF130" s="88"/>
      <c r="GG130" s="88"/>
      <c r="GH130" s="88"/>
      <c r="GI130" s="88"/>
      <c r="GJ130" s="88"/>
      <c r="GK130" s="88"/>
      <c r="GL130" s="88"/>
      <c r="GM130" s="88"/>
      <c r="GN130" s="88"/>
      <c r="GO130" s="88"/>
      <c r="GP130" s="88"/>
      <c r="GQ130" s="88"/>
      <c r="GR130" s="88"/>
      <c r="GS130" s="88"/>
      <c r="GT130" s="88"/>
      <c r="GU130" s="88"/>
      <c r="GV130" s="88"/>
      <c r="GW130" s="88"/>
      <c r="GX130" s="88"/>
      <c r="GY130" s="88"/>
      <c r="GZ130" s="88"/>
      <c r="HA130" s="88"/>
      <c r="HB130" s="88"/>
      <c r="HC130" s="88"/>
      <c r="HD130" s="88"/>
      <c r="HE130" s="88"/>
      <c r="HF130" s="88"/>
      <c r="HG130" s="88"/>
      <c r="HH130" s="88"/>
      <c r="HI130" s="88"/>
      <c r="HJ130" s="88"/>
      <c r="HK130" s="88"/>
      <c r="HL130" s="88"/>
      <c r="HM130" s="88"/>
      <c r="HN130" s="88"/>
      <c r="HO130" s="88"/>
      <c r="HP130" s="88"/>
      <c r="HQ130" s="88"/>
      <c r="HR130" s="88"/>
      <c r="HS130" s="88"/>
      <c r="HT130" s="88"/>
      <c r="HU130" s="88"/>
      <c r="HV130" s="88"/>
      <c r="HW130" s="88"/>
      <c r="HX130" s="88"/>
      <c r="HY130" s="88"/>
      <c r="HZ130" s="88"/>
      <c r="IA130" s="88"/>
      <c r="IB130" s="88"/>
      <c r="IC130" s="88"/>
      <c r="ID130" s="88"/>
      <c r="IE130" s="88"/>
      <c r="IF130" s="88"/>
      <c r="IG130" s="88"/>
      <c r="IH130" s="88"/>
      <c r="II130" s="88"/>
      <c r="IJ130" s="88"/>
      <c r="IK130" s="88"/>
      <c r="IL130" s="88"/>
      <c r="IM130" s="88"/>
      <c r="IN130" s="88"/>
      <c r="IO130" s="88"/>
      <c r="IP130" s="88"/>
      <c r="IQ130" s="88"/>
      <c r="IR130" s="88"/>
      <c r="IS130" s="88"/>
      <c r="IT130" s="88"/>
      <c r="IU130" s="88"/>
      <c r="IV130" s="88"/>
      <c r="IW130" s="88"/>
      <c r="IX130" s="88"/>
      <c r="IY130" s="88"/>
      <c r="IZ130" s="88"/>
      <c r="JA130" s="88"/>
      <c r="JB130" s="88"/>
      <c r="JC130" s="88"/>
      <c r="JD130" s="88"/>
      <c r="JE130" s="88"/>
      <c r="JF130" s="88"/>
      <c r="JG130" s="88"/>
      <c r="JH130" s="88"/>
    </row>
    <row r="131" spans="1:268" s="66" customFormat="1" ht="9" customHeight="1">
      <c r="A131" s="89"/>
      <c r="B131" s="89"/>
      <c r="C131" s="89"/>
      <c r="D131" s="89"/>
      <c r="E131" s="89"/>
      <c r="F131" s="89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91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  <c r="IW131" s="65"/>
      <c r="IX131" s="65"/>
      <c r="IY131" s="65"/>
      <c r="IZ131" s="65"/>
      <c r="JA131" s="65"/>
      <c r="JB131" s="65"/>
      <c r="JC131" s="65"/>
      <c r="JD131" s="65"/>
      <c r="JE131" s="65"/>
      <c r="JF131" s="65"/>
      <c r="JG131" s="65"/>
      <c r="JH131" s="65"/>
    </row>
    <row r="132" spans="1:268" s="66" customFormat="1" ht="6" customHeight="1">
      <c r="A132" s="89"/>
      <c r="B132" s="89"/>
      <c r="C132" s="89"/>
      <c r="D132" s="89"/>
      <c r="E132" s="89"/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91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</row>
    <row r="133" spans="1:268" s="66" customFormat="1" ht="40.5">
      <c r="A133" s="207" t="s">
        <v>180</v>
      </c>
      <c r="B133" s="89"/>
      <c r="C133" s="89"/>
      <c r="D133" s="89"/>
      <c r="E133" s="89"/>
      <c r="F133" s="89"/>
      <c r="G133" s="209" t="s">
        <v>241</v>
      </c>
      <c r="H133" s="208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91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  <c r="IX133" s="65"/>
      <c r="IY133" s="65"/>
      <c r="IZ133" s="65"/>
      <c r="JA133" s="65"/>
      <c r="JB133" s="65"/>
      <c r="JC133" s="65"/>
      <c r="JD133" s="65"/>
      <c r="JE133" s="65"/>
      <c r="JF133" s="65"/>
      <c r="JG133" s="65"/>
      <c r="JH133" s="65"/>
    </row>
    <row r="134" spans="1:268" s="66" customFormat="1" ht="20.25">
      <c r="A134" s="206" t="s">
        <v>255</v>
      </c>
      <c r="B134" s="89"/>
      <c r="C134" s="89"/>
      <c r="D134" s="89"/>
      <c r="E134" s="89"/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91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  <c r="IX134" s="65"/>
      <c r="IY134" s="65"/>
      <c r="IZ134" s="65"/>
      <c r="JA134" s="65"/>
      <c r="JB134" s="65"/>
      <c r="JC134" s="65"/>
      <c r="JD134" s="65"/>
      <c r="JE134" s="65"/>
      <c r="JF134" s="65"/>
      <c r="JG134" s="65"/>
      <c r="JH134" s="65"/>
    </row>
    <row r="135" spans="1:268" s="66" customFormat="1">
      <c r="A135" s="89"/>
      <c r="B135" s="89"/>
      <c r="C135" s="89"/>
      <c r="D135" s="89"/>
      <c r="E135" s="89"/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91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5"/>
      <c r="JA135" s="65"/>
      <c r="JB135" s="65"/>
      <c r="JC135" s="65"/>
      <c r="JD135" s="65"/>
      <c r="JE135" s="65"/>
      <c r="JF135" s="65"/>
      <c r="JG135" s="65"/>
      <c r="JH135" s="65"/>
    </row>
    <row r="136" spans="1:268" s="66" customFormat="1">
      <c r="A136" s="89"/>
      <c r="B136" s="89"/>
      <c r="C136" s="89"/>
      <c r="D136" s="89"/>
      <c r="E136" s="89"/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91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  <c r="IW136" s="65"/>
      <c r="IX136" s="65"/>
      <c r="IY136" s="65"/>
      <c r="IZ136" s="65"/>
      <c r="JA136" s="65"/>
      <c r="JB136" s="65"/>
      <c r="JC136" s="65"/>
      <c r="JD136" s="65"/>
      <c r="JE136" s="65"/>
      <c r="JF136" s="65"/>
      <c r="JG136" s="65"/>
      <c r="JH136" s="65"/>
    </row>
    <row r="137" spans="1:268" s="66" customFormat="1">
      <c r="A137" s="89"/>
      <c r="B137" s="89"/>
      <c r="C137" s="89"/>
      <c r="D137" s="89"/>
      <c r="E137" s="89"/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91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  <c r="IW137" s="65"/>
      <c r="IX137" s="65"/>
      <c r="IY137" s="65"/>
      <c r="IZ137" s="65"/>
      <c r="JA137" s="65"/>
      <c r="JB137" s="65"/>
      <c r="JC137" s="65"/>
      <c r="JD137" s="65"/>
      <c r="JE137" s="65"/>
      <c r="JF137" s="65"/>
      <c r="JG137" s="65"/>
      <c r="JH137" s="65"/>
    </row>
    <row r="138" spans="1:268" s="66" customFormat="1">
      <c r="A138" s="89"/>
      <c r="B138" s="89"/>
      <c r="C138" s="89"/>
      <c r="D138" s="89"/>
      <c r="E138" s="89"/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91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  <c r="IW138" s="65"/>
      <c r="IX138" s="65"/>
      <c r="IY138" s="65"/>
      <c r="IZ138" s="65"/>
      <c r="JA138" s="65"/>
      <c r="JB138" s="65"/>
      <c r="JC138" s="65"/>
      <c r="JD138" s="65"/>
      <c r="JE138" s="65"/>
      <c r="JF138" s="65"/>
      <c r="JG138" s="65"/>
      <c r="JH138" s="65"/>
    </row>
    <row r="139" spans="1:268" s="66" customFormat="1">
      <c r="A139" s="89"/>
      <c r="B139" s="89"/>
      <c r="C139" s="89"/>
      <c r="D139" s="89"/>
      <c r="E139" s="89"/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91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  <c r="IW139" s="65"/>
      <c r="IX139" s="65"/>
      <c r="IY139" s="65"/>
      <c r="IZ139" s="65"/>
      <c r="JA139" s="65"/>
      <c r="JB139" s="65"/>
      <c r="JC139" s="65"/>
      <c r="JD139" s="65"/>
      <c r="JE139" s="65"/>
      <c r="JF139" s="65"/>
      <c r="JG139" s="65"/>
      <c r="JH139" s="65"/>
    </row>
    <row r="140" spans="1:268" s="66" customFormat="1">
      <c r="A140" s="89"/>
      <c r="B140" s="89"/>
      <c r="C140" s="89"/>
      <c r="D140" s="89"/>
      <c r="E140" s="89"/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91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  <c r="IW140" s="65"/>
      <c r="IX140" s="65"/>
      <c r="IY140" s="65"/>
      <c r="IZ140" s="65"/>
      <c r="JA140" s="65"/>
      <c r="JB140" s="65"/>
      <c r="JC140" s="65"/>
      <c r="JD140" s="65"/>
      <c r="JE140" s="65"/>
      <c r="JF140" s="65"/>
      <c r="JG140" s="65"/>
      <c r="JH140" s="65"/>
    </row>
    <row r="141" spans="1:268" s="66" customFormat="1">
      <c r="A141" s="89"/>
      <c r="B141" s="89"/>
      <c r="C141" s="89"/>
      <c r="D141" s="89"/>
      <c r="E141" s="89"/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91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  <c r="IW141" s="65"/>
      <c r="IX141" s="65"/>
      <c r="IY141" s="65"/>
      <c r="IZ141" s="65"/>
      <c r="JA141" s="65"/>
      <c r="JB141" s="65"/>
      <c r="JC141" s="65"/>
      <c r="JD141" s="65"/>
      <c r="JE141" s="65"/>
      <c r="JF141" s="65"/>
      <c r="JG141" s="65"/>
      <c r="JH141" s="65"/>
    </row>
    <row r="142" spans="1:268" s="66" customFormat="1">
      <c r="A142" s="89"/>
      <c r="B142" s="89"/>
      <c r="C142" s="89"/>
      <c r="D142" s="89"/>
      <c r="E142" s="89"/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91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  <c r="IW142" s="65"/>
      <c r="IX142" s="65"/>
      <c r="IY142" s="65"/>
      <c r="IZ142" s="65"/>
      <c r="JA142" s="65"/>
      <c r="JB142" s="65"/>
      <c r="JC142" s="65"/>
      <c r="JD142" s="65"/>
      <c r="JE142" s="65"/>
      <c r="JF142" s="65"/>
      <c r="JG142" s="65"/>
      <c r="JH142" s="65"/>
    </row>
    <row r="143" spans="1:268" s="66" customFormat="1">
      <c r="A143" s="89"/>
      <c r="B143" s="89"/>
      <c r="C143" s="89"/>
      <c r="D143" s="89"/>
      <c r="E143" s="89"/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91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65"/>
      <c r="JA143" s="65"/>
      <c r="JB143" s="65"/>
      <c r="JC143" s="65"/>
      <c r="JD143" s="65"/>
      <c r="JE143" s="65"/>
      <c r="JF143" s="65"/>
      <c r="JG143" s="65"/>
      <c r="JH143" s="65"/>
    </row>
    <row r="144" spans="1:268" s="66" customFormat="1">
      <c r="A144" s="89"/>
      <c r="B144" s="89"/>
      <c r="C144" s="89"/>
      <c r="D144" s="89"/>
      <c r="E144" s="89"/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91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65"/>
      <c r="JA144" s="65"/>
      <c r="JB144" s="65"/>
      <c r="JC144" s="65"/>
      <c r="JD144" s="65"/>
      <c r="JE144" s="65"/>
      <c r="JF144" s="65"/>
      <c r="JG144" s="65"/>
      <c r="JH144" s="65"/>
    </row>
    <row r="145" spans="1:268" s="66" customFormat="1">
      <c r="A145" s="89"/>
      <c r="B145" s="89"/>
      <c r="C145" s="89"/>
      <c r="D145" s="89"/>
      <c r="E145" s="89"/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91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65"/>
      <c r="JA145" s="65"/>
      <c r="JB145" s="65"/>
      <c r="JC145" s="65"/>
      <c r="JD145" s="65"/>
      <c r="JE145" s="65"/>
      <c r="JF145" s="65"/>
      <c r="JG145" s="65"/>
      <c r="JH145" s="65"/>
    </row>
    <row r="146" spans="1:268" s="66" customFormat="1">
      <c r="A146" s="89"/>
      <c r="B146" s="89"/>
      <c r="C146" s="89"/>
      <c r="D146" s="89"/>
      <c r="E146" s="89"/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91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65"/>
      <c r="JA146" s="65"/>
      <c r="JB146" s="65"/>
      <c r="JC146" s="65"/>
      <c r="JD146" s="65"/>
      <c r="JE146" s="65"/>
      <c r="JF146" s="65"/>
      <c r="JG146" s="65"/>
      <c r="JH146" s="65"/>
    </row>
    <row r="147" spans="1:268" s="66" customFormat="1">
      <c r="A147" s="89"/>
      <c r="B147" s="89"/>
      <c r="C147" s="89"/>
      <c r="D147" s="89"/>
      <c r="E147" s="89"/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91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65"/>
      <c r="JA147" s="65"/>
      <c r="JB147" s="65"/>
      <c r="JC147" s="65"/>
      <c r="JD147" s="65"/>
      <c r="JE147" s="65"/>
      <c r="JF147" s="65"/>
      <c r="JG147" s="65"/>
      <c r="JH147" s="65"/>
    </row>
    <row r="148" spans="1:268" s="66" customFormat="1">
      <c r="A148" s="89"/>
      <c r="B148" s="89"/>
      <c r="C148" s="89"/>
      <c r="D148" s="89"/>
      <c r="E148" s="89"/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91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65"/>
      <c r="JA148" s="65"/>
      <c r="JB148" s="65"/>
      <c r="JC148" s="65"/>
      <c r="JD148" s="65"/>
      <c r="JE148" s="65"/>
      <c r="JF148" s="65"/>
      <c r="JG148" s="65"/>
      <c r="JH148" s="65"/>
    </row>
    <row r="149" spans="1:268" s="66" customFormat="1">
      <c r="A149" s="89"/>
      <c r="B149" s="89"/>
      <c r="C149" s="89"/>
      <c r="D149" s="89"/>
      <c r="E149" s="89"/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91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65"/>
      <c r="JA149" s="65"/>
      <c r="JB149" s="65"/>
      <c r="JC149" s="65"/>
      <c r="JD149" s="65"/>
      <c r="JE149" s="65"/>
      <c r="JF149" s="65"/>
      <c r="JG149" s="65"/>
      <c r="JH149" s="65"/>
    </row>
    <row r="150" spans="1:268" s="66" customFormat="1">
      <c r="A150" s="89"/>
      <c r="B150" s="89"/>
      <c r="C150" s="89"/>
      <c r="D150" s="89"/>
      <c r="E150" s="89"/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91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65"/>
      <c r="JA150" s="65"/>
      <c r="JB150" s="65"/>
      <c r="JC150" s="65"/>
      <c r="JD150" s="65"/>
      <c r="JE150" s="65"/>
      <c r="JF150" s="65"/>
      <c r="JG150" s="65"/>
      <c r="JH150" s="65"/>
    </row>
    <row r="151" spans="1:268" s="66" customFormat="1">
      <c r="A151" s="89"/>
      <c r="B151" s="89"/>
      <c r="C151" s="89"/>
      <c r="D151" s="89"/>
      <c r="E151" s="89"/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91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65"/>
      <c r="JA151" s="65"/>
      <c r="JB151" s="65"/>
      <c r="JC151" s="65"/>
      <c r="JD151" s="65"/>
      <c r="JE151" s="65"/>
      <c r="JF151" s="65"/>
      <c r="JG151" s="65"/>
      <c r="JH151" s="65"/>
    </row>
    <row r="152" spans="1:268" s="66" customFormat="1">
      <c r="A152" s="89"/>
      <c r="B152" s="89"/>
      <c r="C152" s="89"/>
      <c r="D152" s="89"/>
      <c r="E152" s="89"/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91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65"/>
      <c r="JA152" s="65"/>
      <c r="JB152" s="65"/>
      <c r="JC152" s="65"/>
      <c r="JD152" s="65"/>
      <c r="JE152" s="65"/>
      <c r="JF152" s="65"/>
      <c r="JG152" s="65"/>
      <c r="JH152" s="65"/>
    </row>
    <row r="153" spans="1:268" s="66" customFormat="1">
      <c r="A153" s="89"/>
      <c r="B153" s="89"/>
      <c r="C153" s="89"/>
      <c r="D153" s="89"/>
      <c r="E153" s="89"/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91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65"/>
      <c r="JA153" s="65"/>
      <c r="JB153" s="65"/>
      <c r="JC153" s="65"/>
      <c r="JD153" s="65"/>
      <c r="JE153" s="65"/>
      <c r="JF153" s="65"/>
      <c r="JG153" s="65"/>
      <c r="JH153" s="65"/>
    </row>
    <row r="154" spans="1:268" s="66" customFormat="1">
      <c r="A154" s="89"/>
      <c r="B154" s="89"/>
      <c r="C154" s="89"/>
      <c r="D154" s="89"/>
      <c r="E154" s="89"/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91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65"/>
      <c r="JA154" s="65"/>
      <c r="JB154" s="65"/>
      <c r="JC154" s="65"/>
      <c r="JD154" s="65"/>
      <c r="JE154" s="65"/>
      <c r="JF154" s="65"/>
      <c r="JG154" s="65"/>
      <c r="JH154" s="65"/>
    </row>
    <row r="155" spans="1:268" s="66" customFormat="1">
      <c r="A155" s="89"/>
      <c r="B155" s="89"/>
      <c r="C155" s="89"/>
      <c r="D155" s="89"/>
      <c r="E155" s="89"/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91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65"/>
      <c r="JA155" s="65"/>
      <c r="JB155" s="65"/>
      <c r="JC155" s="65"/>
      <c r="JD155" s="65"/>
      <c r="JE155" s="65"/>
      <c r="JF155" s="65"/>
      <c r="JG155" s="65"/>
      <c r="JH155" s="65"/>
    </row>
    <row r="156" spans="1:268" s="66" customFormat="1">
      <c r="A156" s="89"/>
      <c r="B156" s="89"/>
      <c r="C156" s="89"/>
      <c r="D156" s="89"/>
      <c r="E156" s="89"/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91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65"/>
      <c r="JA156" s="65"/>
      <c r="JB156" s="65"/>
      <c r="JC156" s="65"/>
      <c r="JD156" s="65"/>
      <c r="JE156" s="65"/>
      <c r="JF156" s="65"/>
      <c r="JG156" s="65"/>
      <c r="JH156" s="65"/>
    </row>
    <row r="157" spans="1:268" s="66" customFormat="1">
      <c r="A157" s="89"/>
      <c r="B157" s="89"/>
      <c r="C157" s="89"/>
      <c r="D157" s="89"/>
      <c r="E157" s="89"/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91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65"/>
      <c r="JA157" s="65"/>
      <c r="JB157" s="65"/>
      <c r="JC157" s="65"/>
      <c r="JD157" s="65"/>
      <c r="JE157" s="65"/>
      <c r="JF157" s="65"/>
      <c r="JG157" s="65"/>
      <c r="JH157" s="65"/>
    </row>
    <row r="158" spans="1:268" s="66" customFormat="1">
      <c r="A158" s="89"/>
      <c r="B158" s="89"/>
      <c r="C158" s="89"/>
      <c r="D158" s="89"/>
      <c r="E158" s="89"/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91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65"/>
      <c r="JA158" s="65"/>
      <c r="JB158" s="65"/>
      <c r="JC158" s="65"/>
      <c r="JD158" s="65"/>
      <c r="JE158" s="65"/>
      <c r="JF158" s="65"/>
      <c r="JG158" s="65"/>
      <c r="JH158" s="65"/>
    </row>
    <row r="159" spans="1:268" s="66" customFormat="1">
      <c r="A159" s="89"/>
      <c r="B159" s="89"/>
      <c r="C159" s="89"/>
      <c r="D159" s="89"/>
      <c r="E159" s="89"/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91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65"/>
      <c r="JA159" s="65"/>
      <c r="JB159" s="65"/>
      <c r="JC159" s="65"/>
      <c r="JD159" s="65"/>
      <c r="JE159" s="65"/>
      <c r="JF159" s="65"/>
      <c r="JG159" s="65"/>
      <c r="JH159" s="65"/>
    </row>
    <row r="160" spans="1:268" s="66" customFormat="1">
      <c r="A160" s="89"/>
      <c r="B160" s="89"/>
      <c r="C160" s="89"/>
      <c r="D160" s="89"/>
      <c r="E160" s="89"/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91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65"/>
      <c r="JA160" s="65"/>
      <c r="JB160" s="65"/>
      <c r="JC160" s="65"/>
      <c r="JD160" s="65"/>
      <c r="JE160" s="65"/>
      <c r="JF160" s="65"/>
      <c r="JG160" s="65"/>
      <c r="JH160" s="65"/>
    </row>
    <row r="161" spans="1:268" s="66" customFormat="1">
      <c r="A161" s="89"/>
      <c r="B161" s="89"/>
      <c r="C161" s="89"/>
      <c r="D161" s="89"/>
      <c r="E161" s="89"/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91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65"/>
      <c r="JA161" s="65"/>
      <c r="JB161" s="65"/>
      <c r="JC161" s="65"/>
      <c r="JD161" s="65"/>
      <c r="JE161" s="65"/>
      <c r="JF161" s="65"/>
      <c r="JG161" s="65"/>
      <c r="JH161" s="65"/>
    </row>
    <row r="162" spans="1:268" s="66" customFormat="1">
      <c r="A162" s="89"/>
      <c r="B162" s="89"/>
      <c r="C162" s="89"/>
      <c r="D162" s="89"/>
      <c r="E162" s="89"/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91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65"/>
      <c r="JA162" s="65"/>
      <c r="JB162" s="65"/>
      <c r="JC162" s="65"/>
      <c r="JD162" s="65"/>
      <c r="JE162" s="65"/>
      <c r="JF162" s="65"/>
      <c r="JG162" s="65"/>
      <c r="JH162" s="65"/>
    </row>
    <row r="163" spans="1:268" s="66" customFormat="1">
      <c r="A163" s="89"/>
      <c r="B163" s="89"/>
      <c r="C163" s="89"/>
      <c r="D163" s="89"/>
      <c r="E163" s="89"/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91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65"/>
      <c r="JA163" s="65"/>
      <c r="JB163" s="65"/>
      <c r="JC163" s="65"/>
      <c r="JD163" s="65"/>
      <c r="JE163" s="65"/>
      <c r="JF163" s="65"/>
      <c r="JG163" s="65"/>
      <c r="JH163" s="65"/>
    </row>
    <row r="164" spans="1:268" s="66" customFormat="1">
      <c r="A164" s="89"/>
      <c r="B164" s="89"/>
      <c r="C164" s="89"/>
      <c r="D164" s="89"/>
      <c r="E164" s="89"/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91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65"/>
      <c r="JA164" s="65"/>
      <c r="JB164" s="65"/>
      <c r="JC164" s="65"/>
      <c r="JD164" s="65"/>
      <c r="JE164" s="65"/>
      <c r="JF164" s="65"/>
      <c r="JG164" s="65"/>
      <c r="JH164" s="65"/>
    </row>
    <row r="165" spans="1:268" s="66" customFormat="1">
      <c r="A165" s="89"/>
      <c r="B165" s="89"/>
      <c r="C165" s="89"/>
      <c r="D165" s="89"/>
      <c r="E165" s="89"/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91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65"/>
      <c r="JA165" s="65"/>
      <c r="JB165" s="65"/>
      <c r="JC165" s="65"/>
      <c r="JD165" s="65"/>
      <c r="JE165" s="65"/>
      <c r="JF165" s="65"/>
      <c r="JG165" s="65"/>
      <c r="JH165" s="65"/>
    </row>
    <row r="166" spans="1:268" s="66" customFormat="1">
      <c r="A166" s="89"/>
      <c r="B166" s="89"/>
      <c r="C166" s="89"/>
      <c r="D166" s="89"/>
      <c r="E166" s="89"/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91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  <c r="IW166" s="65"/>
      <c r="IX166" s="65"/>
      <c r="IY166" s="65"/>
      <c r="IZ166" s="65"/>
      <c r="JA166" s="65"/>
      <c r="JB166" s="65"/>
      <c r="JC166" s="65"/>
      <c r="JD166" s="65"/>
      <c r="JE166" s="65"/>
      <c r="JF166" s="65"/>
      <c r="JG166" s="65"/>
      <c r="JH166" s="65"/>
    </row>
    <row r="167" spans="1:268" s="66" customFormat="1">
      <c r="A167" s="89"/>
      <c r="B167" s="89"/>
      <c r="C167" s="89"/>
      <c r="D167" s="89"/>
      <c r="E167" s="89"/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91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65"/>
      <c r="JA167" s="65"/>
      <c r="JB167" s="65"/>
      <c r="JC167" s="65"/>
      <c r="JD167" s="65"/>
      <c r="JE167" s="65"/>
      <c r="JF167" s="65"/>
      <c r="JG167" s="65"/>
      <c r="JH167" s="65"/>
    </row>
    <row r="168" spans="1:268" s="66" customFormat="1">
      <c r="A168" s="89"/>
      <c r="B168" s="89"/>
      <c r="C168" s="89"/>
      <c r="D168" s="89"/>
      <c r="E168" s="89"/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91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65"/>
      <c r="JA168" s="65"/>
      <c r="JB168" s="65"/>
      <c r="JC168" s="65"/>
      <c r="JD168" s="65"/>
      <c r="JE168" s="65"/>
      <c r="JF168" s="65"/>
      <c r="JG168" s="65"/>
      <c r="JH168" s="65"/>
    </row>
    <row r="169" spans="1:268" s="66" customFormat="1">
      <c r="A169" s="89"/>
      <c r="B169" s="89"/>
      <c r="C169" s="89"/>
      <c r="D169" s="89"/>
      <c r="E169" s="89"/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91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65"/>
      <c r="JA169" s="65"/>
      <c r="JB169" s="65"/>
      <c r="JC169" s="65"/>
      <c r="JD169" s="65"/>
      <c r="JE169" s="65"/>
      <c r="JF169" s="65"/>
      <c r="JG169" s="65"/>
      <c r="JH169" s="65"/>
    </row>
    <row r="170" spans="1:268" s="66" customFormat="1">
      <c r="A170" s="89"/>
      <c r="B170" s="89"/>
      <c r="C170" s="89"/>
      <c r="D170" s="89"/>
      <c r="E170" s="89"/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91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65"/>
      <c r="JA170" s="65"/>
      <c r="JB170" s="65"/>
      <c r="JC170" s="65"/>
      <c r="JD170" s="65"/>
      <c r="JE170" s="65"/>
      <c r="JF170" s="65"/>
      <c r="JG170" s="65"/>
      <c r="JH170" s="65"/>
    </row>
    <row r="171" spans="1:268" s="66" customFormat="1">
      <c r="A171" s="89"/>
      <c r="B171" s="89"/>
      <c r="C171" s="89"/>
      <c r="D171" s="89"/>
      <c r="E171" s="89"/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91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65"/>
      <c r="JA171" s="65"/>
      <c r="JB171" s="65"/>
      <c r="JC171" s="65"/>
      <c r="JD171" s="65"/>
      <c r="JE171" s="65"/>
      <c r="JF171" s="65"/>
      <c r="JG171" s="65"/>
      <c r="JH171" s="65"/>
    </row>
    <row r="172" spans="1:268" s="66" customFormat="1">
      <c r="A172" s="89"/>
      <c r="B172" s="89"/>
      <c r="C172" s="89"/>
      <c r="D172" s="89"/>
      <c r="E172" s="89"/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91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65"/>
      <c r="JA172" s="65"/>
      <c r="JB172" s="65"/>
      <c r="JC172" s="65"/>
      <c r="JD172" s="65"/>
      <c r="JE172" s="65"/>
      <c r="JF172" s="65"/>
      <c r="JG172" s="65"/>
      <c r="JH172" s="65"/>
    </row>
    <row r="173" spans="1:268" s="66" customFormat="1">
      <c r="A173" s="89"/>
      <c r="B173" s="89"/>
      <c r="C173" s="89"/>
      <c r="D173" s="89"/>
      <c r="E173" s="89"/>
      <c r="F173" s="89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91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  <c r="IW173" s="65"/>
      <c r="IX173" s="65"/>
      <c r="IY173" s="65"/>
      <c r="IZ173" s="65"/>
      <c r="JA173" s="65"/>
      <c r="JB173" s="65"/>
      <c r="JC173" s="65"/>
      <c r="JD173" s="65"/>
      <c r="JE173" s="65"/>
      <c r="JF173" s="65"/>
      <c r="JG173" s="65"/>
      <c r="JH173" s="65"/>
    </row>
    <row r="174" spans="1:268" s="66" customFormat="1">
      <c r="A174" s="89"/>
      <c r="B174" s="89"/>
      <c r="C174" s="89"/>
      <c r="D174" s="89"/>
      <c r="E174" s="89"/>
      <c r="F174" s="89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91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  <c r="IW174" s="65"/>
      <c r="IX174" s="65"/>
      <c r="IY174" s="65"/>
      <c r="IZ174" s="65"/>
      <c r="JA174" s="65"/>
      <c r="JB174" s="65"/>
      <c r="JC174" s="65"/>
      <c r="JD174" s="65"/>
      <c r="JE174" s="65"/>
      <c r="JF174" s="65"/>
      <c r="JG174" s="65"/>
      <c r="JH174" s="65"/>
    </row>
    <row r="175" spans="1:268" s="34" customFormat="1">
      <c r="A175" s="45"/>
      <c r="B175" s="45"/>
      <c r="C175" s="45"/>
      <c r="D175" s="45"/>
      <c r="E175" s="45"/>
      <c r="F175" s="45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47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</row>
    <row r="176" spans="1:268" s="34" customFormat="1">
      <c r="A176" s="45"/>
      <c r="B176" s="45"/>
      <c r="C176" s="45"/>
      <c r="D176" s="45"/>
      <c r="E176" s="45"/>
      <c r="F176" s="45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47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</row>
    <row r="177" spans="1:268" s="34" customFormat="1">
      <c r="A177" s="45"/>
      <c r="B177" s="45"/>
      <c r="C177" s="45"/>
      <c r="D177" s="45"/>
      <c r="E177" s="45"/>
      <c r="F177" s="45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47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</row>
    <row r="178" spans="1:268" s="34" customFormat="1">
      <c r="A178" s="45"/>
      <c r="B178" s="45"/>
      <c r="C178" s="45"/>
      <c r="D178" s="45"/>
      <c r="E178" s="45"/>
      <c r="F178" s="45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47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</row>
    <row r="179" spans="1:268" s="34" customFormat="1">
      <c r="A179" s="45"/>
      <c r="B179" s="45"/>
      <c r="C179" s="45"/>
      <c r="D179" s="45"/>
      <c r="E179" s="45"/>
      <c r="F179" s="45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47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</row>
    <row r="180" spans="1:268" s="34" customFormat="1">
      <c r="A180" s="45"/>
      <c r="B180" s="45"/>
      <c r="C180" s="45"/>
      <c r="D180" s="45"/>
      <c r="E180" s="45"/>
      <c r="F180" s="45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47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</row>
    <row r="181" spans="1:268" s="34" customFormat="1">
      <c r="A181" s="45"/>
      <c r="B181" s="45"/>
      <c r="C181" s="45"/>
      <c r="D181" s="45"/>
      <c r="E181" s="45"/>
      <c r="F181" s="45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47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</row>
    <row r="182" spans="1:268" s="34" customFormat="1">
      <c r="A182" s="45"/>
      <c r="B182" s="45"/>
      <c r="C182" s="45"/>
      <c r="D182" s="45"/>
      <c r="E182" s="45"/>
      <c r="F182" s="45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47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</row>
    <row r="183" spans="1:268" s="34" customFormat="1">
      <c r="A183" s="45"/>
      <c r="B183" s="45"/>
      <c r="C183" s="45"/>
      <c r="D183" s="45"/>
      <c r="E183" s="45"/>
      <c r="F183" s="45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47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</row>
    <row r="184" spans="1:268" s="34" customFormat="1">
      <c r="A184" s="45"/>
      <c r="B184" s="45"/>
      <c r="C184" s="45"/>
      <c r="D184" s="45"/>
      <c r="E184" s="45"/>
      <c r="F184" s="45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47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</row>
    <row r="185" spans="1:268" s="34" customFormat="1">
      <c r="A185" s="45"/>
      <c r="B185" s="45"/>
      <c r="C185" s="45"/>
      <c r="D185" s="45"/>
      <c r="E185" s="45"/>
      <c r="F185" s="45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47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</row>
    <row r="186" spans="1:268" s="34" customFormat="1">
      <c r="A186" s="45"/>
      <c r="B186" s="45"/>
      <c r="C186" s="45"/>
      <c r="D186" s="45"/>
      <c r="E186" s="45"/>
      <c r="F186" s="45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47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</row>
    <row r="187" spans="1:268" s="34" customFormat="1">
      <c r="A187" s="45"/>
      <c r="B187" s="45"/>
      <c r="C187" s="45"/>
      <c r="D187" s="45"/>
      <c r="E187" s="45"/>
      <c r="F187" s="45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47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</row>
    <row r="188" spans="1:268" s="34" customFormat="1">
      <c r="A188" s="45"/>
      <c r="B188" s="45"/>
      <c r="C188" s="45"/>
      <c r="D188" s="45"/>
      <c r="E188" s="45"/>
      <c r="F188" s="45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47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</row>
    <row r="189" spans="1:268" s="34" customFormat="1">
      <c r="A189" s="45"/>
      <c r="B189" s="45"/>
      <c r="C189" s="45"/>
      <c r="D189" s="45"/>
      <c r="E189" s="45"/>
      <c r="F189" s="45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47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</row>
    <row r="190" spans="1:268" s="34" customFormat="1">
      <c r="A190" s="45"/>
      <c r="B190" s="45"/>
      <c r="C190" s="45"/>
      <c r="D190" s="45"/>
      <c r="E190" s="45"/>
      <c r="F190" s="45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47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</row>
    <row r="191" spans="1:268" s="34" customFormat="1">
      <c r="A191" s="45"/>
      <c r="B191" s="45"/>
      <c r="C191" s="45"/>
      <c r="D191" s="45"/>
      <c r="E191" s="45"/>
      <c r="F191" s="45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47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</row>
    <row r="192" spans="1:268" s="34" customFormat="1">
      <c r="A192" s="45"/>
      <c r="B192" s="45"/>
      <c r="C192" s="45"/>
      <c r="D192" s="45"/>
      <c r="E192" s="45"/>
      <c r="F192" s="45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47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</row>
    <row r="193" spans="1:268" s="34" customFormat="1">
      <c r="A193" s="45"/>
      <c r="B193" s="45"/>
      <c r="C193" s="45"/>
      <c r="D193" s="45"/>
      <c r="E193" s="45"/>
      <c r="F193" s="45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47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</row>
    <row r="194" spans="1:268" s="34" customFormat="1">
      <c r="A194" s="45"/>
      <c r="B194" s="45"/>
      <c r="C194" s="45"/>
      <c r="D194" s="45"/>
      <c r="E194" s="45"/>
      <c r="F194" s="45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47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</row>
    <row r="195" spans="1:268" s="34" customFormat="1">
      <c r="A195" s="45"/>
      <c r="B195" s="45"/>
      <c r="C195" s="45"/>
      <c r="D195" s="45"/>
      <c r="E195" s="45"/>
      <c r="F195" s="45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47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</row>
    <row r="196" spans="1:268" s="34" customFormat="1">
      <c r="A196" s="45"/>
      <c r="B196" s="45"/>
      <c r="C196" s="45"/>
      <c r="D196" s="45"/>
      <c r="E196" s="45"/>
      <c r="F196" s="45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47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</row>
    <row r="197" spans="1:268" s="34" customFormat="1">
      <c r="A197" s="45"/>
      <c r="B197" s="45"/>
      <c r="C197" s="45"/>
      <c r="D197" s="45"/>
      <c r="E197" s="45"/>
      <c r="F197" s="45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47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</row>
    <row r="198" spans="1:268" s="34" customFormat="1">
      <c r="A198" s="45"/>
      <c r="B198" s="45"/>
      <c r="C198" s="45"/>
      <c r="D198" s="45"/>
      <c r="E198" s="45"/>
      <c r="F198" s="45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47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</row>
    <row r="199" spans="1:268" s="34" customFormat="1">
      <c r="A199" s="45"/>
      <c r="B199" s="45"/>
      <c r="C199" s="45"/>
      <c r="D199" s="45"/>
      <c r="E199" s="45"/>
      <c r="F199" s="45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47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</row>
    <row r="200" spans="1:268" s="34" customFormat="1">
      <c r="A200" s="45"/>
      <c r="B200" s="45"/>
      <c r="C200" s="45"/>
      <c r="D200" s="45"/>
      <c r="E200" s="45"/>
      <c r="F200" s="45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47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</row>
    <row r="201" spans="1:268" s="34" customFormat="1">
      <c r="A201" s="45"/>
      <c r="B201" s="45"/>
      <c r="C201" s="45"/>
      <c r="D201" s="45"/>
      <c r="E201" s="45"/>
      <c r="F201" s="45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47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</row>
    <row r="202" spans="1:268" s="34" customFormat="1">
      <c r="A202" s="45"/>
      <c r="B202" s="45"/>
      <c r="C202" s="45"/>
      <c r="D202" s="45"/>
      <c r="E202" s="45"/>
      <c r="F202" s="45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47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</row>
    <row r="203" spans="1:268" s="34" customFormat="1">
      <c r="A203" s="45"/>
      <c r="B203" s="45"/>
      <c r="C203" s="45"/>
      <c r="D203" s="45"/>
      <c r="E203" s="45"/>
      <c r="F203" s="45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47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</row>
    <row r="204" spans="1:268" s="34" customFormat="1">
      <c r="A204" s="45"/>
      <c r="B204" s="45"/>
      <c r="C204" s="45"/>
      <c r="D204" s="45"/>
      <c r="E204" s="45"/>
      <c r="F204" s="45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47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</row>
    <row r="205" spans="1:268" s="34" customFormat="1">
      <c r="A205" s="45"/>
      <c r="B205" s="45"/>
      <c r="C205" s="45"/>
      <c r="D205" s="45"/>
      <c r="E205" s="45"/>
      <c r="F205" s="45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47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</row>
    <row r="206" spans="1:268" s="34" customFormat="1">
      <c r="A206" s="45"/>
      <c r="B206" s="45"/>
      <c r="C206" s="45"/>
      <c r="D206" s="45"/>
      <c r="E206" s="45"/>
      <c r="F206" s="45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47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</row>
    <row r="207" spans="1:268" s="34" customFormat="1">
      <c r="A207" s="45"/>
      <c r="B207" s="45"/>
      <c r="C207" s="45"/>
      <c r="D207" s="45"/>
      <c r="E207" s="45"/>
      <c r="F207" s="45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47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</row>
    <row r="208" spans="1:268" s="34" customFormat="1">
      <c r="A208" s="45"/>
      <c r="B208" s="45"/>
      <c r="C208" s="45"/>
      <c r="D208" s="45"/>
      <c r="E208" s="45"/>
      <c r="F208" s="45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47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</row>
    <row r="209" spans="1:268" s="34" customFormat="1">
      <c r="A209" s="45"/>
      <c r="B209" s="45"/>
      <c r="C209" s="45"/>
      <c r="D209" s="45"/>
      <c r="E209" s="45"/>
      <c r="F209" s="45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47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</row>
    <row r="210" spans="1:268" s="34" customFormat="1">
      <c r="A210" s="45"/>
      <c r="B210" s="45"/>
      <c r="C210" s="45"/>
      <c r="D210" s="45"/>
      <c r="E210" s="45"/>
      <c r="F210" s="45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47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</row>
    <row r="211" spans="1:268" s="34" customFormat="1">
      <c r="A211" s="45"/>
      <c r="B211" s="45"/>
      <c r="C211" s="45"/>
      <c r="D211" s="45"/>
      <c r="E211" s="45"/>
      <c r="F211" s="45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47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</row>
    <row r="212" spans="1:268" s="34" customFormat="1">
      <c r="A212" s="45"/>
      <c r="B212" s="45"/>
      <c r="C212" s="45"/>
      <c r="D212" s="45"/>
      <c r="E212" s="45"/>
      <c r="F212" s="45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47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</row>
    <row r="213" spans="1:268" s="34" customFormat="1">
      <c r="A213" s="45"/>
      <c r="B213" s="45"/>
      <c r="C213" s="45"/>
      <c r="D213" s="45"/>
      <c r="E213" s="45"/>
      <c r="F213" s="45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47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</row>
    <row r="214" spans="1:268" s="34" customFormat="1">
      <c r="A214" s="45"/>
      <c r="B214" s="45"/>
      <c r="C214" s="45"/>
      <c r="D214" s="45"/>
      <c r="E214" s="45"/>
      <c r="F214" s="45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47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</row>
    <row r="215" spans="1:268" s="34" customFormat="1">
      <c r="A215" s="45"/>
      <c r="B215" s="45"/>
      <c r="C215" s="45"/>
      <c r="D215" s="45"/>
      <c r="E215" s="45"/>
      <c r="F215" s="45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47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</row>
    <row r="216" spans="1:268" s="34" customFormat="1">
      <c r="A216" s="45"/>
      <c r="B216" s="45"/>
      <c r="C216" s="45"/>
      <c r="D216" s="45"/>
      <c r="E216" s="45"/>
      <c r="F216" s="45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47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</row>
    <row r="217" spans="1:268" s="34" customFormat="1">
      <c r="A217" s="45"/>
      <c r="B217" s="45"/>
      <c r="C217" s="45"/>
      <c r="D217" s="45"/>
      <c r="E217" s="45"/>
      <c r="F217" s="45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47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</row>
    <row r="218" spans="1:268" s="34" customFormat="1">
      <c r="A218" s="45"/>
      <c r="B218" s="45"/>
      <c r="C218" s="45"/>
      <c r="D218" s="45"/>
      <c r="E218" s="45"/>
      <c r="F218" s="45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47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</row>
    <row r="219" spans="1:268" s="34" customFormat="1">
      <c r="A219" s="45"/>
      <c r="B219" s="45"/>
      <c r="C219" s="45"/>
      <c r="D219" s="45"/>
      <c r="E219" s="45"/>
      <c r="F219" s="45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47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</row>
    <row r="220" spans="1:268" s="34" customFormat="1">
      <c r="A220" s="45"/>
      <c r="B220" s="45"/>
      <c r="C220" s="45"/>
      <c r="D220" s="45"/>
      <c r="E220" s="45"/>
      <c r="F220" s="45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47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</row>
    <row r="221" spans="1:268" s="34" customFormat="1">
      <c r="A221" s="45"/>
      <c r="B221" s="45"/>
      <c r="C221" s="45"/>
      <c r="D221" s="45"/>
      <c r="E221" s="45"/>
      <c r="F221" s="45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47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</row>
    <row r="222" spans="1:268" s="34" customFormat="1">
      <c r="A222" s="45"/>
      <c r="B222" s="45"/>
      <c r="C222" s="45"/>
      <c r="D222" s="45"/>
      <c r="E222" s="45"/>
      <c r="F222" s="45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47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</row>
    <row r="223" spans="1:268" s="34" customFormat="1">
      <c r="A223" s="45"/>
      <c r="B223" s="45"/>
      <c r="C223" s="45"/>
      <c r="D223" s="45"/>
      <c r="E223" s="45"/>
      <c r="F223" s="45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47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</row>
    <row r="224" spans="1:268" s="34" customFormat="1">
      <c r="A224" s="45"/>
      <c r="B224" s="45"/>
      <c r="C224" s="45"/>
      <c r="D224" s="45"/>
      <c r="E224" s="45"/>
      <c r="F224" s="45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47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</row>
    <row r="225" spans="1:268" s="34" customFormat="1">
      <c r="A225" s="45"/>
      <c r="B225" s="45"/>
      <c r="C225" s="45"/>
      <c r="D225" s="45"/>
      <c r="E225" s="45"/>
      <c r="F225" s="45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47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</row>
    <row r="226" spans="1:268" s="34" customFormat="1">
      <c r="A226" s="45"/>
      <c r="B226" s="45"/>
      <c r="C226" s="45"/>
      <c r="D226" s="45"/>
      <c r="E226" s="45"/>
      <c r="F226" s="45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47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</row>
    <row r="227" spans="1:268" s="34" customFormat="1">
      <c r="A227" s="45"/>
      <c r="B227" s="45"/>
      <c r="C227" s="45"/>
      <c r="D227" s="45"/>
      <c r="E227" s="45"/>
      <c r="F227" s="45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47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</row>
    <row r="228" spans="1:268" s="34" customFormat="1">
      <c r="A228" s="45"/>
      <c r="B228" s="45"/>
      <c r="C228" s="45"/>
      <c r="D228" s="45"/>
      <c r="E228" s="45"/>
      <c r="F228" s="45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47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</row>
    <row r="229" spans="1:268" s="34" customFormat="1">
      <c r="A229" s="45"/>
      <c r="B229" s="45"/>
      <c r="C229" s="45"/>
      <c r="D229" s="45"/>
      <c r="E229" s="45"/>
      <c r="F229" s="45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47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</row>
    <row r="230" spans="1:268" s="34" customFormat="1">
      <c r="A230" s="45"/>
      <c r="B230" s="45"/>
      <c r="C230" s="45"/>
      <c r="D230" s="45"/>
      <c r="E230" s="45"/>
      <c r="F230" s="45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47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</row>
    <row r="231" spans="1:268" s="34" customFormat="1">
      <c r="A231" s="45"/>
      <c r="B231" s="45"/>
      <c r="C231" s="45"/>
      <c r="D231" s="45"/>
      <c r="E231" s="45"/>
      <c r="F231" s="45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47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</row>
    <row r="232" spans="1:268" s="34" customFormat="1">
      <c r="A232" s="45"/>
      <c r="B232" s="45"/>
      <c r="C232" s="45"/>
      <c r="D232" s="45"/>
      <c r="E232" s="45"/>
      <c r="F232" s="45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47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</row>
    <row r="233" spans="1:268" s="34" customFormat="1">
      <c r="A233" s="45"/>
      <c r="B233" s="45"/>
      <c r="C233" s="45"/>
      <c r="D233" s="45"/>
      <c r="E233" s="45"/>
      <c r="F233" s="45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47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</row>
    <row r="234" spans="1:268" s="34" customFormat="1">
      <c r="A234" s="45"/>
      <c r="B234" s="45"/>
      <c r="C234" s="45"/>
      <c r="D234" s="45"/>
      <c r="E234" s="45"/>
      <c r="F234" s="45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47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</row>
    <row r="235" spans="1:268" s="34" customFormat="1">
      <c r="A235" s="45"/>
      <c r="B235" s="45"/>
      <c r="C235" s="45"/>
      <c r="D235" s="45"/>
      <c r="E235" s="45"/>
      <c r="F235" s="45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47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</row>
    <row r="236" spans="1:268" s="34" customFormat="1">
      <c r="A236" s="45"/>
      <c r="B236" s="45"/>
      <c r="C236" s="45"/>
      <c r="D236" s="45"/>
      <c r="E236" s="45"/>
      <c r="F236" s="45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47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</row>
    <row r="237" spans="1:268" s="34" customFormat="1">
      <c r="A237" s="45"/>
      <c r="B237" s="45"/>
      <c r="C237" s="45"/>
      <c r="D237" s="45"/>
      <c r="E237" s="45"/>
      <c r="F237" s="45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47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</row>
    <row r="238" spans="1:268" s="34" customFormat="1">
      <c r="A238" s="45"/>
      <c r="B238" s="45"/>
      <c r="C238" s="45"/>
      <c r="D238" s="45"/>
      <c r="E238" s="45"/>
      <c r="F238" s="45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47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</row>
    <row r="239" spans="1:268" s="34" customFormat="1">
      <c r="A239" s="45"/>
      <c r="B239" s="45"/>
      <c r="C239" s="45"/>
      <c r="D239" s="45"/>
      <c r="E239" s="45"/>
      <c r="F239" s="45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47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</row>
    <row r="240" spans="1:268" s="34" customFormat="1">
      <c r="A240" s="45"/>
      <c r="B240" s="45"/>
      <c r="C240" s="45"/>
      <c r="D240" s="45"/>
      <c r="E240" s="45"/>
      <c r="F240" s="45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47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</row>
    <row r="241" spans="1:268" s="34" customFormat="1">
      <c r="A241" s="45"/>
      <c r="B241" s="45"/>
      <c r="C241" s="45"/>
      <c r="D241" s="45"/>
      <c r="E241" s="45"/>
      <c r="F241" s="45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47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</row>
    <row r="242" spans="1:268" s="34" customFormat="1">
      <c r="A242" s="45"/>
      <c r="B242" s="45"/>
      <c r="C242" s="45"/>
      <c r="D242" s="45"/>
      <c r="E242" s="45"/>
      <c r="F242" s="45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47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</row>
    <row r="243" spans="1:268" s="34" customFormat="1">
      <c r="A243" s="45"/>
      <c r="B243" s="45"/>
      <c r="C243" s="45"/>
      <c r="D243" s="45"/>
      <c r="E243" s="45"/>
      <c r="F243" s="45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47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</row>
    <row r="244" spans="1:268" s="34" customFormat="1">
      <c r="A244" s="45"/>
      <c r="B244" s="45"/>
      <c r="C244" s="45"/>
      <c r="D244" s="45"/>
      <c r="E244" s="45"/>
      <c r="F244" s="45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47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</row>
    <row r="245" spans="1:268" s="34" customFormat="1">
      <c r="A245" s="45"/>
      <c r="B245" s="45"/>
      <c r="C245" s="45"/>
      <c r="D245" s="45"/>
      <c r="E245" s="45"/>
      <c r="F245" s="45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47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</row>
    <row r="246" spans="1:268" s="34" customFormat="1">
      <c r="A246" s="45"/>
      <c r="B246" s="45"/>
      <c r="C246" s="45"/>
      <c r="D246" s="45"/>
      <c r="E246" s="45"/>
      <c r="F246" s="45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47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</row>
    <row r="247" spans="1:268" s="34" customFormat="1">
      <c r="A247" s="45"/>
      <c r="B247" s="45"/>
      <c r="C247" s="45"/>
      <c r="D247" s="45"/>
      <c r="E247" s="45"/>
      <c r="F247" s="45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47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</row>
    <row r="248" spans="1:268" s="34" customFormat="1">
      <c r="A248" s="45"/>
      <c r="B248" s="45"/>
      <c r="C248" s="45"/>
      <c r="D248" s="45"/>
      <c r="E248" s="45"/>
      <c r="F248" s="45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47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</row>
    <row r="249" spans="1:268" s="34" customFormat="1">
      <c r="A249" s="45"/>
      <c r="B249" s="45"/>
      <c r="C249" s="45"/>
      <c r="D249" s="45"/>
      <c r="E249" s="45"/>
      <c r="F249" s="45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47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</row>
    <row r="250" spans="1:268" s="34" customFormat="1">
      <c r="A250" s="45"/>
      <c r="B250" s="45"/>
      <c r="C250" s="45"/>
      <c r="D250" s="45"/>
      <c r="E250" s="45"/>
      <c r="F250" s="45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47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</row>
    <row r="251" spans="1:268" s="34" customFormat="1">
      <c r="A251" s="45"/>
      <c r="B251" s="45"/>
      <c r="C251" s="45"/>
      <c r="D251" s="45"/>
      <c r="E251" s="45"/>
      <c r="F251" s="45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47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</row>
    <row r="252" spans="1:268" s="34" customFormat="1">
      <c r="A252" s="45"/>
      <c r="B252" s="45"/>
      <c r="C252" s="45"/>
      <c r="D252" s="45"/>
      <c r="E252" s="45"/>
      <c r="F252" s="45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47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</row>
    <row r="253" spans="1:268" s="34" customFormat="1">
      <c r="A253" s="45"/>
      <c r="B253" s="45"/>
      <c r="C253" s="45"/>
      <c r="D253" s="45"/>
      <c r="E253" s="45"/>
      <c r="F253" s="45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47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</row>
    <row r="254" spans="1:268" s="34" customFormat="1">
      <c r="A254" s="45"/>
      <c r="B254" s="45"/>
      <c r="C254" s="45"/>
      <c r="D254" s="45"/>
      <c r="E254" s="45"/>
      <c r="F254" s="45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47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</row>
    <row r="255" spans="1:268" s="34" customFormat="1">
      <c r="A255" s="45"/>
      <c r="B255" s="45"/>
      <c r="C255" s="45"/>
      <c r="D255" s="45"/>
      <c r="E255" s="45"/>
      <c r="F255" s="45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47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</row>
    <row r="256" spans="1:268" s="34" customFormat="1">
      <c r="A256" s="45"/>
      <c r="B256" s="45"/>
      <c r="C256" s="45"/>
      <c r="D256" s="45"/>
      <c r="E256" s="45"/>
      <c r="F256" s="45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47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</row>
    <row r="257" spans="1:268" s="34" customFormat="1">
      <c r="A257" s="45"/>
      <c r="B257" s="45"/>
      <c r="C257" s="45"/>
      <c r="D257" s="45"/>
      <c r="E257" s="45"/>
      <c r="F257" s="45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47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</row>
    <row r="258" spans="1:268" s="34" customFormat="1">
      <c r="A258" s="45"/>
      <c r="B258" s="45"/>
      <c r="C258" s="45"/>
      <c r="D258" s="45"/>
      <c r="E258" s="45"/>
      <c r="F258" s="45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47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</row>
    <row r="259" spans="1:268" s="34" customFormat="1">
      <c r="A259" s="45"/>
      <c r="B259" s="45"/>
      <c r="C259" s="45"/>
      <c r="D259" s="45"/>
      <c r="E259" s="45"/>
      <c r="F259" s="45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47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</row>
    <row r="260" spans="1:268" s="34" customFormat="1">
      <c r="A260" s="45"/>
      <c r="B260" s="45"/>
      <c r="C260" s="45"/>
      <c r="D260" s="45"/>
      <c r="E260" s="45"/>
      <c r="F260" s="45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47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</row>
    <row r="261" spans="1:268" s="34" customFormat="1">
      <c r="A261" s="45"/>
      <c r="B261" s="45"/>
      <c r="C261" s="45"/>
      <c r="D261" s="45"/>
      <c r="E261" s="45"/>
      <c r="F261" s="45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47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</row>
    <row r="262" spans="1:268" s="34" customFormat="1">
      <c r="A262" s="45"/>
      <c r="B262" s="45"/>
      <c r="C262" s="45"/>
      <c r="D262" s="45"/>
      <c r="E262" s="45"/>
      <c r="F262" s="45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47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</row>
    <row r="263" spans="1:268" s="34" customFormat="1">
      <c r="A263" s="45"/>
      <c r="B263" s="45"/>
      <c r="C263" s="45"/>
      <c r="D263" s="45"/>
      <c r="E263" s="45"/>
      <c r="F263" s="45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47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</row>
    <row r="264" spans="1:268" s="34" customFormat="1">
      <c r="A264" s="45"/>
      <c r="B264" s="45"/>
      <c r="C264" s="45"/>
      <c r="D264" s="45"/>
      <c r="E264" s="45"/>
      <c r="F264" s="45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47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</row>
    <row r="265" spans="1:268" s="34" customFormat="1">
      <c r="A265" s="45"/>
      <c r="B265" s="45"/>
      <c r="C265" s="45"/>
      <c r="D265" s="45"/>
      <c r="E265" s="45"/>
      <c r="F265" s="45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47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  <c r="HG265" s="35"/>
      <c r="HH265" s="35"/>
      <c r="HI265" s="35"/>
      <c r="HJ265" s="35"/>
      <c r="HK265" s="35"/>
      <c r="HL265" s="35"/>
      <c r="HM265" s="35"/>
      <c r="HN265" s="35"/>
      <c r="HO265" s="35"/>
      <c r="HP265" s="35"/>
      <c r="HQ265" s="35"/>
      <c r="HR265" s="35"/>
      <c r="HS265" s="35"/>
      <c r="HT265" s="35"/>
      <c r="HU265" s="35"/>
      <c r="HV265" s="35"/>
      <c r="HW265" s="35"/>
      <c r="HX265" s="35"/>
      <c r="HY265" s="35"/>
      <c r="HZ265" s="35"/>
      <c r="IA265" s="35"/>
      <c r="IB265" s="35"/>
      <c r="IC265" s="35"/>
      <c r="ID265" s="35"/>
      <c r="IE265" s="35"/>
      <c r="IF265" s="35"/>
      <c r="IG265" s="35"/>
      <c r="IH265" s="35"/>
      <c r="II265" s="35"/>
      <c r="IJ265" s="35"/>
      <c r="IK265" s="35"/>
      <c r="IL265" s="35"/>
      <c r="IM265" s="35"/>
      <c r="IN265" s="35"/>
      <c r="IO265" s="35"/>
      <c r="IP265" s="35"/>
      <c r="IQ265" s="35"/>
      <c r="IR265" s="35"/>
      <c r="IS265" s="35"/>
      <c r="IT265" s="35"/>
      <c r="IU265" s="35"/>
      <c r="IV265" s="35"/>
      <c r="IW265" s="35"/>
      <c r="IX265" s="35"/>
      <c r="IY265" s="35"/>
      <c r="IZ265" s="35"/>
      <c r="JA265" s="35"/>
      <c r="JB265" s="35"/>
      <c r="JC265" s="35"/>
      <c r="JD265" s="35"/>
      <c r="JE265" s="35"/>
      <c r="JF265" s="35"/>
      <c r="JG265" s="35"/>
      <c r="JH265" s="35"/>
    </row>
    <row r="266" spans="1:268" s="34" customFormat="1">
      <c r="A266" s="45"/>
      <c r="B266" s="45"/>
      <c r="C266" s="45"/>
      <c r="D266" s="45"/>
      <c r="E266" s="45"/>
      <c r="F266" s="45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47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  <c r="HG266" s="35"/>
      <c r="HH266" s="35"/>
      <c r="HI266" s="35"/>
      <c r="HJ266" s="35"/>
      <c r="HK266" s="35"/>
      <c r="HL266" s="35"/>
      <c r="HM266" s="35"/>
      <c r="HN266" s="35"/>
      <c r="HO266" s="35"/>
      <c r="HP266" s="35"/>
      <c r="HQ266" s="35"/>
      <c r="HR266" s="35"/>
      <c r="HS266" s="35"/>
      <c r="HT266" s="35"/>
      <c r="HU266" s="35"/>
      <c r="HV266" s="35"/>
      <c r="HW266" s="35"/>
      <c r="HX266" s="35"/>
      <c r="HY266" s="35"/>
      <c r="HZ266" s="35"/>
      <c r="IA266" s="35"/>
      <c r="IB266" s="35"/>
      <c r="IC266" s="35"/>
      <c r="ID266" s="35"/>
      <c r="IE266" s="35"/>
      <c r="IF266" s="35"/>
      <c r="IG266" s="35"/>
      <c r="IH266" s="35"/>
      <c r="II266" s="35"/>
      <c r="IJ266" s="35"/>
      <c r="IK266" s="35"/>
      <c r="IL266" s="35"/>
      <c r="IM266" s="35"/>
      <c r="IN266" s="35"/>
      <c r="IO266" s="35"/>
      <c r="IP266" s="35"/>
      <c r="IQ266" s="35"/>
      <c r="IR266" s="35"/>
      <c r="IS266" s="35"/>
      <c r="IT266" s="35"/>
      <c r="IU266" s="35"/>
      <c r="IV266" s="35"/>
      <c r="IW266" s="35"/>
      <c r="IX266" s="35"/>
      <c r="IY266" s="35"/>
      <c r="IZ266" s="35"/>
      <c r="JA266" s="35"/>
      <c r="JB266" s="35"/>
      <c r="JC266" s="35"/>
      <c r="JD266" s="35"/>
      <c r="JE266" s="35"/>
      <c r="JF266" s="35"/>
      <c r="JG266" s="35"/>
      <c r="JH266" s="35"/>
    </row>
    <row r="267" spans="1:268" s="34" customFormat="1">
      <c r="A267" s="45"/>
      <c r="B267" s="45"/>
      <c r="C267" s="45"/>
      <c r="D267" s="45"/>
      <c r="E267" s="45"/>
      <c r="F267" s="45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47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  <c r="HG267" s="35"/>
      <c r="HH267" s="35"/>
      <c r="HI267" s="35"/>
      <c r="HJ267" s="35"/>
      <c r="HK267" s="35"/>
      <c r="HL267" s="35"/>
      <c r="HM267" s="35"/>
      <c r="HN267" s="35"/>
      <c r="HO267" s="35"/>
      <c r="HP267" s="35"/>
      <c r="HQ267" s="35"/>
      <c r="HR267" s="35"/>
      <c r="HS267" s="35"/>
      <c r="HT267" s="35"/>
      <c r="HU267" s="35"/>
      <c r="HV267" s="35"/>
      <c r="HW267" s="35"/>
      <c r="HX267" s="35"/>
      <c r="HY267" s="35"/>
      <c r="HZ267" s="35"/>
      <c r="IA267" s="35"/>
      <c r="IB267" s="35"/>
      <c r="IC267" s="35"/>
      <c r="ID267" s="35"/>
      <c r="IE267" s="35"/>
      <c r="IF267" s="35"/>
      <c r="IG267" s="35"/>
      <c r="IH267" s="35"/>
      <c r="II267" s="35"/>
      <c r="IJ267" s="35"/>
      <c r="IK267" s="35"/>
      <c r="IL267" s="35"/>
      <c r="IM267" s="35"/>
      <c r="IN267" s="35"/>
      <c r="IO267" s="35"/>
      <c r="IP267" s="35"/>
      <c r="IQ267" s="35"/>
      <c r="IR267" s="35"/>
      <c r="IS267" s="35"/>
      <c r="IT267" s="35"/>
      <c r="IU267" s="35"/>
      <c r="IV267" s="35"/>
      <c r="IW267" s="35"/>
      <c r="IX267" s="35"/>
      <c r="IY267" s="35"/>
      <c r="IZ267" s="35"/>
      <c r="JA267" s="35"/>
      <c r="JB267" s="35"/>
      <c r="JC267" s="35"/>
      <c r="JD267" s="35"/>
      <c r="JE267" s="35"/>
      <c r="JF267" s="35"/>
      <c r="JG267" s="35"/>
      <c r="JH267" s="35"/>
    </row>
    <row r="268" spans="1:268" s="34" customFormat="1">
      <c r="A268" s="45"/>
      <c r="B268" s="45"/>
      <c r="C268" s="45"/>
      <c r="D268" s="45"/>
      <c r="E268" s="45"/>
      <c r="F268" s="45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47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  <c r="HG268" s="35"/>
      <c r="HH268" s="35"/>
      <c r="HI268" s="35"/>
      <c r="HJ268" s="35"/>
      <c r="HK268" s="35"/>
      <c r="HL268" s="35"/>
      <c r="HM268" s="35"/>
      <c r="HN268" s="35"/>
      <c r="HO268" s="35"/>
      <c r="HP268" s="35"/>
      <c r="HQ268" s="35"/>
      <c r="HR268" s="35"/>
      <c r="HS268" s="35"/>
      <c r="HT268" s="35"/>
      <c r="HU268" s="35"/>
      <c r="HV268" s="35"/>
      <c r="HW268" s="35"/>
      <c r="HX268" s="35"/>
      <c r="HY268" s="35"/>
      <c r="HZ268" s="35"/>
      <c r="IA268" s="35"/>
      <c r="IB268" s="35"/>
      <c r="IC268" s="35"/>
      <c r="ID268" s="35"/>
      <c r="IE268" s="35"/>
      <c r="IF268" s="35"/>
      <c r="IG268" s="35"/>
      <c r="IH268" s="35"/>
      <c r="II268" s="35"/>
      <c r="IJ268" s="35"/>
      <c r="IK268" s="35"/>
      <c r="IL268" s="35"/>
      <c r="IM268" s="35"/>
      <c r="IN268" s="35"/>
      <c r="IO268" s="35"/>
      <c r="IP268" s="35"/>
      <c r="IQ268" s="35"/>
      <c r="IR268" s="35"/>
      <c r="IS268" s="35"/>
      <c r="IT268" s="35"/>
      <c r="IU268" s="35"/>
      <c r="IV268" s="35"/>
      <c r="IW268" s="35"/>
      <c r="IX268" s="35"/>
      <c r="IY268" s="35"/>
      <c r="IZ268" s="35"/>
      <c r="JA268" s="35"/>
      <c r="JB268" s="35"/>
      <c r="JC268" s="35"/>
      <c r="JD268" s="35"/>
      <c r="JE268" s="35"/>
      <c r="JF268" s="35"/>
      <c r="JG268" s="35"/>
      <c r="JH268" s="35"/>
    </row>
    <row r="269" spans="1:268" s="34" customFormat="1">
      <c r="A269" s="45"/>
      <c r="B269" s="45"/>
      <c r="C269" s="45"/>
      <c r="D269" s="45"/>
      <c r="E269" s="45"/>
      <c r="F269" s="45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47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  <c r="HG269" s="35"/>
      <c r="HH269" s="35"/>
      <c r="HI269" s="35"/>
      <c r="HJ269" s="35"/>
      <c r="HK269" s="35"/>
      <c r="HL269" s="35"/>
      <c r="HM269" s="35"/>
      <c r="HN269" s="35"/>
      <c r="HO269" s="35"/>
      <c r="HP269" s="35"/>
      <c r="HQ269" s="35"/>
      <c r="HR269" s="35"/>
      <c r="HS269" s="35"/>
      <c r="HT269" s="35"/>
      <c r="HU269" s="35"/>
      <c r="HV269" s="35"/>
      <c r="HW269" s="35"/>
      <c r="HX269" s="35"/>
      <c r="HY269" s="35"/>
      <c r="HZ269" s="35"/>
      <c r="IA269" s="35"/>
      <c r="IB269" s="35"/>
      <c r="IC269" s="35"/>
      <c r="ID269" s="35"/>
      <c r="IE269" s="35"/>
      <c r="IF269" s="35"/>
      <c r="IG269" s="35"/>
      <c r="IH269" s="35"/>
      <c r="II269" s="35"/>
      <c r="IJ269" s="35"/>
      <c r="IK269" s="35"/>
      <c r="IL269" s="35"/>
      <c r="IM269" s="35"/>
      <c r="IN269" s="35"/>
      <c r="IO269" s="35"/>
      <c r="IP269" s="35"/>
      <c r="IQ269" s="35"/>
      <c r="IR269" s="35"/>
      <c r="IS269" s="35"/>
      <c r="IT269" s="35"/>
      <c r="IU269" s="35"/>
      <c r="IV269" s="35"/>
      <c r="IW269" s="35"/>
      <c r="IX269" s="35"/>
      <c r="IY269" s="35"/>
      <c r="IZ269" s="35"/>
      <c r="JA269" s="35"/>
      <c r="JB269" s="35"/>
      <c r="JC269" s="35"/>
      <c r="JD269" s="35"/>
      <c r="JE269" s="35"/>
      <c r="JF269" s="35"/>
      <c r="JG269" s="35"/>
      <c r="JH269" s="35"/>
    </row>
    <row r="270" spans="1:268" s="34" customFormat="1">
      <c r="A270" s="45"/>
      <c r="B270" s="45"/>
      <c r="C270" s="45"/>
      <c r="D270" s="45"/>
      <c r="E270" s="45"/>
      <c r="F270" s="45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47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  <c r="HG270" s="35"/>
      <c r="HH270" s="35"/>
      <c r="HI270" s="35"/>
      <c r="HJ270" s="35"/>
      <c r="HK270" s="35"/>
      <c r="HL270" s="35"/>
      <c r="HM270" s="35"/>
      <c r="HN270" s="35"/>
      <c r="HO270" s="35"/>
      <c r="HP270" s="35"/>
      <c r="HQ270" s="35"/>
      <c r="HR270" s="35"/>
      <c r="HS270" s="35"/>
      <c r="HT270" s="35"/>
      <c r="HU270" s="35"/>
      <c r="HV270" s="35"/>
      <c r="HW270" s="35"/>
      <c r="HX270" s="35"/>
      <c r="HY270" s="35"/>
      <c r="HZ270" s="35"/>
      <c r="IA270" s="35"/>
      <c r="IB270" s="35"/>
      <c r="IC270" s="35"/>
      <c r="ID270" s="35"/>
      <c r="IE270" s="35"/>
      <c r="IF270" s="35"/>
      <c r="IG270" s="35"/>
      <c r="IH270" s="35"/>
      <c r="II270" s="35"/>
      <c r="IJ270" s="35"/>
      <c r="IK270" s="35"/>
      <c r="IL270" s="35"/>
      <c r="IM270" s="35"/>
      <c r="IN270" s="35"/>
      <c r="IO270" s="35"/>
      <c r="IP270" s="35"/>
      <c r="IQ270" s="35"/>
      <c r="IR270" s="35"/>
      <c r="IS270" s="35"/>
      <c r="IT270" s="35"/>
      <c r="IU270" s="35"/>
      <c r="IV270" s="35"/>
      <c r="IW270" s="35"/>
      <c r="IX270" s="35"/>
      <c r="IY270" s="35"/>
      <c r="IZ270" s="35"/>
      <c r="JA270" s="35"/>
      <c r="JB270" s="35"/>
      <c r="JC270" s="35"/>
      <c r="JD270" s="35"/>
      <c r="JE270" s="35"/>
      <c r="JF270" s="35"/>
      <c r="JG270" s="35"/>
      <c r="JH270" s="35"/>
    </row>
    <row r="271" spans="1:268" s="34" customFormat="1">
      <c r="A271" s="45"/>
      <c r="B271" s="45"/>
      <c r="C271" s="45"/>
      <c r="D271" s="45"/>
      <c r="E271" s="45"/>
      <c r="F271" s="45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47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  <c r="HG271" s="35"/>
      <c r="HH271" s="35"/>
      <c r="HI271" s="35"/>
      <c r="HJ271" s="35"/>
      <c r="HK271" s="35"/>
      <c r="HL271" s="35"/>
      <c r="HM271" s="35"/>
      <c r="HN271" s="35"/>
      <c r="HO271" s="35"/>
      <c r="HP271" s="35"/>
      <c r="HQ271" s="35"/>
      <c r="HR271" s="35"/>
      <c r="HS271" s="35"/>
      <c r="HT271" s="35"/>
      <c r="HU271" s="35"/>
      <c r="HV271" s="35"/>
      <c r="HW271" s="35"/>
      <c r="HX271" s="35"/>
      <c r="HY271" s="35"/>
      <c r="HZ271" s="35"/>
      <c r="IA271" s="35"/>
      <c r="IB271" s="35"/>
      <c r="IC271" s="35"/>
      <c r="ID271" s="35"/>
      <c r="IE271" s="35"/>
      <c r="IF271" s="35"/>
      <c r="IG271" s="35"/>
      <c r="IH271" s="35"/>
      <c r="II271" s="35"/>
      <c r="IJ271" s="35"/>
      <c r="IK271" s="35"/>
      <c r="IL271" s="35"/>
      <c r="IM271" s="35"/>
      <c r="IN271" s="35"/>
      <c r="IO271" s="35"/>
      <c r="IP271" s="35"/>
      <c r="IQ271" s="35"/>
      <c r="IR271" s="35"/>
      <c r="IS271" s="35"/>
      <c r="IT271" s="35"/>
      <c r="IU271" s="35"/>
      <c r="IV271" s="35"/>
      <c r="IW271" s="35"/>
      <c r="IX271" s="35"/>
      <c r="IY271" s="35"/>
      <c r="IZ271" s="35"/>
      <c r="JA271" s="35"/>
      <c r="JB271" s="35"/>
      <c r="JC271" s="35"/>
      <c r="JD271" s="35"/>
      <c r="JE271" s="35"/>
      <c r="JF271" s="35"/>
      <c r="JG271" s="35"/>
      <c r="JH271" s="35"/>
    </row>
    <row r="272" spans="1:268" s="34" customFormat="1">
      <c r="A272" s="45"/>
      <c r="B272" s="45"/>
      <c r="C272" s="45"/>
      <c r="D272" s="45"/>
      <c r="E272" s="45"/>
      <c r="F272" s="45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47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  <c r="HG272" s="35"/>
      <c r="HH272" s="35"/>
      <c r="HI272" s="35"/>
      <c r="HJ272" s="35"/>
      <c r="HK272" s="35"/>
      <c r="HL272" s="35"/>
      <c r="HM272" s="35"/>
      <c r="HN272" s="35"/>
      <c r="HO272" s="35"/>
      <c r="HP272" s="35"/>
      <c r="HQ272" s="35"/>
      <c r="HR272" s="35"/>
      <c r="HS272" s="35"/>
      <c r="HT272" s="35"/>
      <c r="HU272" s="35"/>
      <c r="HV272" s="35"/>
      <c r="HW272" s="35"/>
      <c r="HX272" s="35"/>
      <c r="HY272" s="35"/>
      <c r="HZ272" s="35"/>
      <c r="IA272" s="35"/>
      <c r="IB272" s="35"/>
      <c r="IC272" s="35"/>
      <c r="ID272" s="35"/>
      <c r="IE272" s="35"/>
      <c r="IF272" s="35"/>
      <c r="IG272" s="35"/>
      <c r="IH272" s="35"/>
      <c r="II272" s="35"/>
      <c r="IJ272" s="35"/>
      <c r="IK272" s="35"/>
      <c r="IL272" s="35"/>
      <c r="IM272" s="35"/>
      <c r="IN272" s="35"/>
      <c r="IO272" s="35"/>
      <c r="IP272" s="35"/>
      <c r="IQ272" s="35"/>
      <c r="IR272" s="35"/>
      <c r="IS272" s="35"/>
      <c r="IT272" s="35"/>
      <c r="IU272" s="35"/>
      <c r="IV272" s="35"/>
      <c r="IW272" s="35"/>
      <c r="IX272" s="35"/>
      <c r="IY272" s="35"/>
      <c r="IZ272" s="35"/>
      <c r="JA272" s="35"/>
      <c r="JB272" s="35"/>
      <c r="JC272" s="35"/>
      <c r="JD272" s="35"/>
      <c r="JE272" s="35"/>
      <c r="JF272" s="35"/>
      <c r="JG272" s="35"/>
      <c r="JH272" s="35"/>
    </row>
    <row r="273" spans="1:268" s="34" customFormat="1">
      <c r="A273" s="45"/>
      <c r="B273" s="45"/>
      <c r="C273" s="45"/>
      <c r="D273" s="45"/>
      <c r="E273" s="45"/>
      <c r="F273" s="45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47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  <c r="HF273" s="35"/>
      <c r="HG273" s="35"/>
      <c r="HH273" s="35"/>
      <c r="HI273" s="35"/>
      <c r="HJ273" s="35"/>
      <c r="HK273" s="35"/>
      <c r="HL273" s="35"/>
      <c r="HM273" s="35"/>
      <c r="HN273" s="35"/>
      <c r="HO273" s="35"/>
      <c r="HP273" s="35"/>
      <c r="HQ273" s="35"/>
      <c r="HR273" s="35"/>
      <c r="HS273" s="35"/>
      <c r="HT273" s="35"/>
      <c r="HU273" s="35"/>
      <c r="HV273" s="35"/>
      <c r="HW273" s="35"/>
      <c r="HX273" s="35"/>
      <c r="HY273" s="35"/>
      <c r="HZ273" s="35"/>
      <c r="IA273" s="35"/>
      <c r="IB273" s="35"/>
      <c r="IC273" s="35"/>
      <c r="ID273" s="35"/>
      <c r="IE273" s="35"/>
      <c r="IF273" s="35"/>
      <c r="IG273" s="35"/>
      <c r="IH273" s="35"/>
      <c r="II273" s="35"/>
      <c r="IJ273" s="35"/>
      <c r="IK273" s="35"/>
      <c r="IL273" s="35"/>
      <c r="IM273" s="35"/>
      <c r="IN273" s="35"/>
      <c r="IO273" s="35"/>
      <c r="IP273" s="35"/>
      <c r="IQ273" s="35"/>
      <c r="IR273" s="35"/>
      <c r="IS273" s="35"/>
      <c r="IT273" s="35"/>
      <c r="IU273" s="35"/>
      <c r="IV273" s="35"/>
      <c r="IW273" s="35"/>
      <c r="IX273" s="35"/>
      <c r="IY273" s="35"/>
      <c r="IZ273" s="35"/>
      <c r="JA273" s="35"/>
      <c r="JB273" s="35"/>
      <c r="JC273" s="35"/>
      <c r="JD273" s="35"/>
      <c r="JE273" s="35"/>
      <c r="JF273" s="35"/>
      <c r="JG273" s="35"/>
      <c r="JH273" s="35"/>
    </row>
    <row r="274" spans="1:268" s="34" customFormat="1">
      <c r="A274" s="45"/>
      <c r="B274" s="45"/>
      <c r="C274" s="45"/>
      <c r="D274" s="45"/>
      <c r="E274" s="45"/>
      <c r="F274" s="45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47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  <c r="HG274" s="35"/>
      <c r="HH274" s="35"/>
      <c r="HI274" s="35"/>
      <c r="HJ274" s="35"/>
      <c r="HK274" s="35"/>
      <c r="HL274" s="35"/>
      <c r="HM274" s="35"/>
      <c r="HN274" s="35"/>
      <c r="HO274" s="35"/>
      <c r="HP274" s="35"/>
      <c r="HQ274" s="35"/>
      <c r="HR274" s="35"/>
      <c r="HS274" s="35"/>
      <c r="HT274" s="35"/>
      <c r="HU274" s="35"/>
      <c r="HV274" s="35"/>
      <c r="HW274" s="35"/>
      <c r="HX274" s="35"/>
      <c r="HY274" s="35"/>
      <c r="HZ274" s="35"/>
      <c r="IA274" s="35"/>
      <c r="IB274" s="35"/>
      <c r="IC274" s="35"/>
      <c r="ID274" s="35"/>
      <c r="IE274" s="35"/>
      <c r="IF274" s="35"/>
      <c r="IG274" s="35"/>
      <c r="IH274" s="35"/>
      <c r="II274" s="35"/>
      <c r="IJ274" s="35"/>
      <c r="IK274" s="35"/>
      <c r="IL274" s="35"/>
      <c r="IM274" s="35"/>
      <c r="IN274" s="35"/>
      <c r="IO274" s="35"/>
      <c r="IP274" s="35"/>
      <c r="IQ274" s="35"/>
      <c r="IR274" s="35"/>
      <c r="IS274" s="35"/>
      <c r="IT274" s="35"/>
      <c r="IU274" s="35"/>
      <c r="IV274" s="35"/>
      <c r="IW274" s="35"/>
      <c r="IX274" s="35"/>
      <c r="IY274" s="35"/>
      <c r="IZ274" s="35"/>
      <c r="JA274" s="35"/>
      <c r="JB274" s="35"/>
      <c r="JC274" s="35"/>
      <c r="JD274" s="35"/>
      <c r="JE274" s="35"/>
      <c r="JF274" s="35"/>
      <c r="JG274" s="35"/>
      <c r="JH274" s="35"/>
    </row>
    <row r="275" spans="1:268" s="34" customFormat="1">
      <c r="A275" s="45"/>
      <c r="B275" s="45"/>
      <c r="C275" s="45"/>
      <c r="D275" s="45"/>
      <c r="E275" s="45"/>
      <c r="F275" s="45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47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  <c r="HG275" s="35"/>
      <c r="HH275" s="35"/>
      <c r="HI275" s="35"/>
      <c r="HJ275" s="35"/>
      <c r="HK275" s="35"/>
      <c r="HL275" s="35"/>
      <c r="HM275" s="35"/>
      <c r="HN275" s="35"/>
      <c r="HO275" s="35"/>
      <c r="HP275" s="35"/>
      <c r="HQ275" s="35"/>
      <c r="HR275" s="35"/>
      <c r="HS275" s="35"/>
      <c r="HT275" s="35"/>
      <c r="HU275" s="35"/>
      <c r="HV275" s="35"/>
      <c r="HW275" s="35"/>
      <c r="HX275" s="35"/>
      <c r="HY275" s="35"/>
      <c r="HZ275" s="35"/>
      <c r="IA275" s="35"/>
      <c r="IB275" s="35"/>
      <c r="IC275" s="35"/>
      <c r="ID275" s="35"/>
      <c r="IE275" s="35"/>
      <c r="IF275" s="35"/>
      <c r="IG275" s="35"/>
      <c r="IH275" s="35"/>
      <c r="II275" s="35"/>
      <c r="IJ275" s="35"/>
      <c r="IK275" s="35"/>
      <c r="IL275" s="35"/>
      <c r="IM275" s="35"/>
      <c r="IN275" s="35"/>
      <c r="IO275" s="35"/>
      <c r="IP275" s="35"/>
      <c r="IQ275" s="35"/>
      <c r="IR275" s="35"/>
      <c r="IS275" s="35"/>
      <c r="IT275" s="35"/>
      <c r="IU275" s="35"/>
      <c r="IV275" s="35"/>
      <c r="IW275" s="35"/>
      <c r="IX275" s="35"/>
      <c r="IY275" s="35"/>
      <c r="IZ275" s="35"/>
      <c r="JA275" s="35"/>
      <c r="JB275" s="35"/>
      <c r="JC275" s="35"/>
      <c r="JD275" s="35"/>
      <c r="JE275" s="35"/>
      <c r="JF275" s="35"/>
      <c r="JG275" s="35"/>
      <c r="JH275" s="35"/>
    </row>
    <row r="276" spans="1:268" s="34" customFormat="1">
      <c r="A276" s="45"/>
      <c r="B276" s="45"/>
      <c r="C276" s="45"/>
      <c r="D276" s="45"/>
      <c r="E276" s="45"/>
      <c r="F276" s="45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47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  <c r="HG276" s="35"/>
      <c r="HH276" s="35"/>
      <c r="HI276" s="35"/>
      <c r="HJ276" s="35"/>
      <c r="HK276" s="35"/>
      <c r="HL276" s="35"/>
      <c r="HM276" s="35"/>
      <c r="HN276" s="35"/>
      <c r="HO276" s="35"/>
      <c r="HP276" s="35"/>
      <c r="HQ276" s="35"/>
      <c r="HR276" s="35"/>
      <c r="HS276" s="35"/>
      <c r="HT276" s="35"/>
      <c r="HU276" s="35"/>
      <c r="HV276" s="35"/>
      <c r="HW276" s="35"/>
      <c r="HX276" s="35"/>
      <c r="HY276" s="35"/>
      <c r="HZ276" s="35"/>
      <c r="IA276" s="35"/>
      <c r="IB276" s="35"/>
      <c r="IC276" s="35"/>
      <c r="ID276" s="35"/>
      <c r="IE276" s="35"/>
      <c r="IF276" s="35"/>
      <c r="IG276" s="35"/>
      <c r="IH276" s="35"/>
      <c r="II276" s="35"/>
      <c r="IJ276" s="35"/>
      <c r="IK276" s="35"/>
      <c r="IL276" s="35"/>
      <c r="IM276" s="35"/>
      <c r="IN276" s="35"/>
      <c r="IO276" s="35"/>
      <c r="IP276" s="35"/>
      <c r="IQ276" s="35"/>
      <c r="IR276" s="35"/>
      <c r="IS276" s="35"/>
      <c r="IT276" s="35"/>
      <c r="IU276" s="35"/>
      <c r="IV276" s="35"/>
      <c r="IW276" s="35"/>
      <c r="IX276" s="35"/>
      <c r="IY276" s="35"/>
      <c r="IZ276" s="35"/>
      <c r="JA276" s="35"/>
      <c r="JB276" s="35"/>
      <c r="JC276" s="35"/>
      <c r="JD276" s="35"/>
      <c r="JE276" s="35"/>
      <c r="JF276" s="35"/>
      <c r="JG276" s="35"/>
      <c r="JH276" s="35"/>
    </row>
    <row r="277" spans="1:268" s="34" customFormat="1">
      <c r="A277" s="45"/>
      <c r="B277" s="45"/>
      <c r="C277" s="45"/>
      <c r="D277" s="45"/>
      <c r="E277" s="45"/>
      <c r="F277" s="45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47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  <c r="HG277" s="35"/>
      <c r="HH277" s="35"/>
      <c r="HI277" s="35"/>
      <c r="HJ277" s="35"/>
      <c r="HK277" s="35"/>
      <c r="HL277" s="35"/>
      <c r="HM277" s="35"/>
      <c r="HN277" s="35"/>
      <c r="HO277" s="35"/>
      <c r="HP277" s="35"/>
      <c r="HQ277" s="35"/>
      <c r="HR277" s="35"/>
      <c r="HS277" s="35"/>
      <c r="HT277" s="35"/>
      <c r="HU277" s="35"/>
      <c r="HV277" s="35"/>
      <c r="HW277" s="35"/>
      <c r="HX277" s="35"/>
      <c r="HY277" s="35"/>
      <c r="HZ277" s="35"/>
      <c r="IA277" s="35"/>
      <c r="IB277" s="35"/>
      <c r="IC277" s="35"/>
      <c r="ID277" s="35"/>
      <c r="IE277" s="35"/>
      <c r="IF277" s="35"/>
      <c r="IG277" s="35"/>
      <c r="IH277" s="35"/>
      <c r="II277" s="35"/>
      <c r="IJ277" s="35"/>
      <c r="IK277" s="35"/>
      <c r="IL277" s="35"/>
      <c r="IM277" s="35"/>
      <c r="IN277" s="35"/>
      <c r="IO277" s="35"/>
      <c r="IP277" s="35"/>
      <c r="IQ277" s="35"/>
      <c r="IR277" s="35"/>
      <c r="IS277" s="35"/>
      <c r="IT277" s="35"/>
      <c r="IU277" s="35"/>
      <c r="IV277" s="35"/>
      <c r="IW277" s="35"/>
      <c r="IX277" s="35"/>
      <c r="IY277" s="35"/>
      <c r="IZ277" s="35"/>
      <c r="JA277" s="35"/>
      <c r="JB277" s="35"/>
      <c r="JC277" s="35"/>
      <c r="JD277" s="35"/>
      <c r="JE277" s="35"/>
      <c r="JF277" s="35"/>
      <c r="JG277" s="35"/>
      <c r="JH277" s="35"/>
    </row>
    <row r="278" spans="1:268" s="34" customFormat="1">
      <c r="A278" s="45"/>
      <c r="B278" s="45"/>
      <c r="C278" s="45"/>
      <c r="D278" s="45"/>
      <c r="E278" s="45"/>
      <c r="F278" s="45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47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  <c r="HG278" s="35"/>
      <c r="HH278" s="35"/>
      <c r="HI278" s="35"/>
      <c r="HJ278" s="35"/>
      <c r="HK278" s="35"/>
      <c r="HL278" s="35"/>
      <c r="HM278" s="35"/>
      <c r="HN278" s="35"/>
      <c r="HO278" s="35"/>
      <c r="HP278" s="35"/>
      <c r="HQ278" s="35"/>
      <c r="HR278" s="35"/>
      <c r="HS278" s="35"/>
      <c r="HT278" s="35"/>
      <c r="HU278" s="35"/>
      <c r="HV278" s="35"/>
      <c r="HW278" s="35"/>
      <c r="HX278" s="35"/>
      <c r="HY278" s="35"/>
      <c r="HZ278" s="35"/>
      <c r="IA278" s="35"/>
      <c r="IB278" s="35"/>
      <c r="IC278" s="35"/>
      <c r="ID278" s="35"/>
      <c r="IE278" s="35"/>
      <c r="IF278" s="35"/>
      <c r="IG278" s="35"/>
      <c r="IH278" s="35"/>
      <c r="II278" s="35"/>
      <c r="IJ278" s="35"/>
      <c r="IK278" s="35"/>
      <c r="IL278" s="35"/>
      <c r="IM278" s="35"/>
      <c r="IN278" s="35"/>
      <c r="IO278" s="35"/>
      <c r="IP278" s="35"/>
      <c r="IQ278" s="35"/>
      <c r="IR278" s="35"/>
      <c r="IS278" s="35"/>
      <c r="IT278" s="35"/>
      <c r="IU278" s="35"/>
      <c r="IV278" s="35"/>
      <c r="IW278" s="35"/>
      <c r="IX278" s="35"/>
      <c r="IY278" s="35"/>
      <c r="IZ278" s="35"/>
      <c r="JA278" s="35"/>
      <c r="JB278" s="35"/>
      <c r="JC278" s="35"/>
      <c r="JD278" s="35"/>
      <c r="JE278" s="35"/>
      <c r="JF278" s="35"/>
      <c r="JG278" s="35"/>
      <c r="JH278" s="35"/>
    </row>
    <row r="279" spans="1:268" s="34" customFormat="1">
      <c r="A279" s="45"/>
      <c r="B279" s="45"/>
      <c r="C279" s="45"/>
      <c r="D279" s="45"/>
      <c r="E279" s="45"/>
      <c r="F279" s="45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47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  <c r="HG279" s="35"/>
      <c r="HH279" s="35"/>
      <c r="HI279" s="35"/>
      <c r="HJ279" s="35"/>
      <c r="HK279" s="35"/>
      <c r="HL279" s="35"/>
      <c r="HM279" s="35"/>
      <c r="HN279" s="35"/>
      <c r="HO279" s="35"/>
      <c r="HP279" s="35"/>
      <c r="HQ279" s="35"/>
      <c r="HR279" s="35"/>
      <c r="HS279" s="35"/>
      <c r="HT279" s="35"/>
      <c r="HU279" s="35"/>
      <c r="HV279" s="35"/>
      <c r="HW279" s="35"/>
      <c r="HX279" s="35"/>
      <c r="HY279" s="35"/>
      <c r="HZ279" s="35"/>
      <c r="IA279" s="35"/>
      <c r="IB279" s="35"/>
      <c r="IC279" s="35"/>
      <c r="ID279" s="35"/>
      <c r="IE279" s="35"/>
      <c r="IF279" s="35"/>
      <c r="IG279" s="35"/>
      <c r="IH279" s="35"/>
      <c r="II279" s="35"/>
      <c r="IJ279" s="35"/>
      <c r="IK279" s="35"/>
      <c r="IL279" s="35"/>
      <c r="IM279" s="35"/>
      <c r="IN279" s="35"/>
      <c r="IO279" s="35"/>
      <c r="IP279" s="35"/>
      <c r="IQ279" s="35"/>
      <c r="IR279" s="35"/>
      <c r="IS279" s="35"/>
      <c r="IT279" s="35"/>
      <c r="IU279" s="35"/>
      <c r="IV279" s="35"/>
      <c r="IW279" s="35"/>
      <c r="IX279" s="35"/>
      <c r="IY279" s="35"/>
      <c r="IZ279" s="35"/>
      <c r="JA279" s="35"/>
      <c r="JB279" s="35"/>
      <c r="JC279" s="35"/>
      <c r="JD279" s="35"/>
      <c r="JE279" s="35"/>
      <c r="JF279" s="35"/>
      <c r="JG279" s="35"/>
      <c r="JH279" s="35"/>
    </row>
    <row r="280" spans="1:268" s="34" customFormat="1">
      <c r="A280" s="45"/>
      <c r="B280" s="45"/>
      <c r="C280" s="45"/>
      <c r="D280" s="45"/>
      <c r="E280" s="45"/>
      <c r="F280" s="45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47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  <c r="HG280" s="35"/>
      <c r="HH280" s="35"/>
      <c r="HI280" s="35"/>
      <c r="HJ280" s="35"/>
      <c r="HK280" s="35"/>
      <c r="HL280" s="35"/>
      <c r="HM280" s="35"/>
      <c r="HN280" s="35"/>
      <c r="HO280" s="35"/>
      <c r="HP280" s="35"/>
      <c r="HQ280" s="35"/>
      <c r="HR280" s="35"/>
      <c r="HS280" s="35"/>
      <c r="HT280" s="35"/>
      <c r="HU280" s="35"/>
      <c r="HV280" s="35"/>
      <c r="HW280" s="35"/>
      <c r="HX280" s="35"/>
      <c r="HY280" s="35"/>
      <c r="HZ280" s="35"/>
      <c r="IA280" s="35"/>
      <c r="IB280" s="35"/>
      <c r="IC280" s="35"/>
      <c r="ID280" s="35"/>
      <c r="IE280" s="35"/>
      <c r="IF280" s="35"/>
      <c r="IG280" s="35"/>
      <c r="IH280" s="35"/>
      <c r="II280" s="35"/>
      <c r="IJ280" s="35"/>
      <c r="IK280" s="35"/>
      <c r="IL280" s="35"/>
      <c r="IM280" s="35"/>
      <c r="IN280" s="35"/>
      <c r="IO280" s="35"/>
      <c r="IP280" s="35"/>
      <c r="IQ280" s="35"/>
      <c r="IR280" s="35"/>
      <c r="IS280" s="35"/>
      <c r="IT280" s="35"/>
      <c r="IU280" s="35"/>
      <c r="IV280" s="35"/>
      <c r="IW280" s="35"/>
      <c r="IX280" s="35"/>
      <c r="IY280" s="35"/>
      <c r="IZ280" s="35"/>
      <c r="JA280" s="35"/>
      <c r="JB280" s="35"/>
      <c r="JC280" s="35"/>
      <c r="JD280" s="35"/>
      <c r="JE280" s="35"/>
      <c r="JF280" s="35"/>
      <c r="JG280" s="35"/>
      <c r="JH280" s="35"/>
    </row>
    <row r="281" spans="1:268" s="34" customFormat="1">
      <c r="A281" s="45"/>
      <c r="B281" s="45"/>
      <c r="C281" s="45"/>
      <c r="D281" s="45"/>
      <c r="E281" s="45"/>
      <c r="F281" s="45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47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  <c r="HH281" s="35"/>
      <c r="HI281" s="35"/>
      <c r="HJ281" s="35"/>
      <c r="HK281" s="35"/>
      <c r="HL281" s="35"/>
      <c r="HM281" s="35"/>
      <c r="HN281" s="35"/>
      <c r="HO281" s="35"/>
      <c r="HP281" s="35"/>
      <c r="HQ281" s="35"/>
      <c r="HR281" s="35"/>
      <c r="HS281" s="35"/>
      <c r="HT281" s="35"/>
      <c r="HU281" s="35"/>
      <c r="HV281" s="35"/>
      <c r="HW281" s="35"/>
      <c r="HX281" s="35"/>
      <c r="HY281" s="35"/>
      <c r="HZ281" s="35"/>
      <c r="IA281" s="35"/>
      <c r="IB281" s="35"/>
      <c r="IC281" s="35"/>
      <c r="ID281" s="35"/>
      <c r="IE281" s="35"/>
      <c r="IF281" s="35"/>
      <c r="IG281" s="35"/>
      <c r="IH281" s="35"/>
      <c r="II281" s="35"/>
      <c r="IJ281" s="35"/>
      <c r="IK281" s="35"/>
      <c r="IL281" s="35"/>
      <c r="IM281" s="35"/>
      <c r="IN281" s="35"/>
      <c r="IO281" s="35"/>
      <c r="IP281" s="35"/>
      <c r="IQ281" s="35"/>
      <c r="IR281" s="35"/>
      <c r="IS281" s="35"/>
      <c r="IT281" s="35"/>
      <c r="IU281" s="35"/>
      <c r="IV281" s="35"/>
      <c r="IW281" s="35"/>
      <c r="IX281" s="35"/>
      <c r="IY281" s="35"/>
      <c r="IZ281" s="35"/>
      <c r="JA281" s="35"/>
      <c r="JB281" s="35"/>
      <c r="JC281" s="35"/>
      <c r="JD281" s="35"/>
      <c r="JE281" s="35"/>
      <c r="JF281" s="35"/>
      <c r="JG281" s="35"/>
      <c r="JH281" s="35"/>
    </row>
    <row r="282" spans="1:268" s="34" customFormat="1">
      <c r="A282" s="45"/>
      <c r="B282" s="45"/>
      <c r="C282" s="45"/>
      <c r="D282" s="45"/>
      <c r="E282" s="45"/>
      <c r="F282" s="45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47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  <c r="HF282" s="35"/>
      <c r="HG282" s="35"/>
      <c r="HH282" s="35"/>
      <c r="HI282" s="35"/>
      <c r="HJ282" s="35"/>
      <c r="HK282" s="35"/>
      <c r="HL282" s="35"/>
      <c r="HM282" s="35"/>
      <c r="HN282" s="35"/>
      <c r="HO282" s="35"/>
      <c r="HP282" s="35"/>
      <c r="HQ282" s="35"/>
      <c r="HR282" s="35"/>
      <c r="HS282" s="35"/>
      <c r="HT282" s="35"/>
      <c r="HU282" s="35"/>
      <c r="HV282" s="35"/>
      <c r="HW282" s="35"/>
      <c r="HX282" s="35"/>
      <c r="HY282" s="35"/>
      <c r="HZ282" s="35"/>
      <c r="IA282" s="35"/>
      <c r="IB282" s="35"/>
      <c r="IC282" s="35"/>
      <c r="ID282" s="35"/>
      <c r="IE282" s="35"/>
      <c r="IF282" s="35"/>
      <c r="IG282" s="35"/>
      <c r="IH282" s="35"/>
      <c r="II282" s="35"/>
      <c r="IJ282" s="35"/>
      <c r="IK282" s="35"/>
      <c r="IL282" s="35"/>
      <c r="IM282" s="35"/>
      <c r="IN282" s="35"/>
      <c r="IO282" s="35"/>
      <c r="IP282" s="35"/>
      <c r="IQ282" s="35"/>
      <c r="IR282" s="35"/>
      <c r="IS282" s="35"/>
      <c r="IT282" s="35"/>
      <c r="IU282" s="35"/>
      <c r="IV282" s="35"/>
      <c r="IW282" s="35"/>
      <c r="IX282" s="35"/>
      <c r="IY282" s="35"/>
      <c r="IZ282" s="35"/>
      <c r="JA282" s="35"/>
      <c r="JB282" s="35"/>
      <c r="JC282" s="35"/>
      <c r="JD282" s="35"/>
      <c r="JE282" s="35"/>
      <c r="JF282" s="35"/>
      <c r="JG282" s="35"/>
      <c r="JH282" s="35"/>
    </row>
    <row r="283" spans="1:268" s="34" customFormat="1">
      <c r="A283" s="45"/>
      <c r="B283" s="45"/>
      <c r="C283" s="45"/>
      <c r="D283" s="45"/>
      <c r="E283" s="45"/>
      <c r="F283" s="45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47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  <c r="GY283" s="35"/>
      <c r="GZ283" s="35"/>
      <c r="HA283" s="35"/>
      <c r="HB283" s="35"/>
      <c r="HC283" s="35"/>
      <c r="HD283" s="35"/>
      <c r="HE283" s="35"/>
      <c r="HF283" s="35"/>
      <c r="HG283" s="35"/>
      <c r="HH283" s="35"/>
      <c r="HI283" s="35"/>
      <c r="HJ283" s="35"/>
      <c r="HK283" s="35"/>
      <c r="HL283" s="35"/>
      <c r="HM283" s="35"/>
      <c r="HN283" s="35"/>
      <c r="HO283" s="35"/>
      <c r="HP283" s="35"/>
      <c r="HQ283" s="35"/>
      <c r="HR283" s="35"/>
      <c r="HS283" s="35"/>
      <c r="HT283" s="35"/>
      <c r="HU283" s="35"/>
      <c r="HV283" s="35"/>
      <c r="HW283" s="35"/>
      <c r="HX283" s="35"/>
      <c r="HY283" s="35"/>
      <c r="HZ283" s="35"/>
      <c r="IA283" s="35"/>
      <c r="IB283" s="35"/>
      <c r="IC283" s="35"/>
      <c r="ID283" s="35"/>
      <c r="IE283" s="35"/>
      <c r="IF283" s="35"/>
      <c r="IG283" s="35"/>
      <c r="IH283" s="35"/>
      <c r="II283" s="35"/>
      <c r="IJ283" s="35"/>
      <c r="IK283" s="35"/>
      <c r="IL283" s="35"/>
      <c r="IM283" s="35"/>
      <c r="IN283" s="35"/>
      <c r="IO283" s="35"/>
      <c r="IP283" s="35"/>
      <c r="IQ283" s="35"/>
      <c r="IR283" s="35"/>
      <c r="IS283" s="35"/>
      <c r="IT283" s="35"/>
      <c r="IU283" s="35"/>
      <c r="IV283" s="35"/>
      <c r="IW283" s="35"/>
      <c r="IX283" s="35"/>
      <c r="IY283" s="35"/>
      <c r="IZ283" s="35"/>
      <c r="JA283" s="35"/>
      <c r="JB283" s="35"/>
      <c r="JC283" s="35"/>
      <c r="JD283" s="35"/>
      <c r="JE283" s="35"/>
      <c r="JF283" s="35"/>
      <c r="JG283" s="35"/>
      <c r="JH283" s="35"/>
    </row>
    <row r="284" spans="1:268" s="2" customFormat="1">
      <c r="A284" s="48"/>
      <c r="B284" s="48"/>
      <c r="C284" s="48"/>
      <c r="D284" s="48"/>
      <c r="E284" s="48"/>
      <c r="F284" s="48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DX284" s="1"/>
    </row>
    <row r="285" spans="1:268" s="2" customFormat="1">
      <c r="A285" s="48"/>
      <c r="B285" s="48"/>
      <c r="C285" s="48"/>
      <c r="D285" s="48"/>
      <c r="E285" s="48"/>
      <c r="F285" s="48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DX285" s="1"/>
    </row>
    <row r="286" spans="1:268" s="2" customFormat="1">
      <c r="A286" s="48"/>
      <c r="B286" s="48"/>
      <c r="C286" s="48"/>
      <c r="D286" s="48"/>
      <c r="E286" s="48"/>
      <c r="F286" s="48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DX286" s="1"/>
    </row>
    <row r="287" spans="1:268" s="2" customFormat="1">
      <c r="A287" s="48"/>
      <c r="B287" s="48"/>
      <c r="C287" s="48"/>
      <c r="D287" s="48"/>
      <c r="E287" s="48"/>
      <c r="F287" s="48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DX287" s="1"/>
    </row>
    <row r="288" spans="1:268" s="2" customFormat="1">
      <c r="A288" s="48"/>
      <c r="B288" s="48"/>
      <c r="C288" s="48"/>
      <c r="D288" s="48"/>
      <c r="E288" s="48"/>
      <c r="F288" s="48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DX288" s="1"/>
    </row>
    <row r="289" spans="1:128" s="2" customFormat="1">
      <c r="A289" s="48"/>
      <c r="B289" s="48"/>
      <c r="C289" s="48"/>
      <c r="D289" s="48"/>
      <c r="E289" s="48"/>
      <c r="F289" s="48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DX289" s="1"/>
    </row>
    <row r="290" spans="1:128" s="2" customFormat="1">
      <c r="A290" s="48"/>
      <c r="B290" s="48"/>
      <c r="C290" s="48"/>
      <c r="D290" s="48"/>
      <c r="E290" s="48"/>
      <c r="F290" s="48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DX290" s="1"/>
    </row>
    <row r="291" spans="1:128" s="2" customFormat="1">
      <c r="A291" s="48"/>
      <c r="B291" s="48"/>
      <c r="C291" s="48"/>
      <c r="D291" s="48"/>
      <c r="E291" s="48"/>
      <c r="F291" s="48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DX291" s="1"/>
    </row>
    <row r="292" spans="1:128" s="2" customFormat="1">
      <c r="A292" s="48"/>
      <c r="B292" s="48"/>
      <c r="C292" s="48"/>
      <c r="D292" s="48"/>
      <c r="E292" s="48"/>
      <c r="F292" s="48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DX292" s="1"/>
    </row>
    <row r="293" spans="1:128" s="2" customFormat="1">
      <c r="A293" s="48"/>
      <c r="B293" s="48"/>
      <c r="C293" s="48"/>
      <c r="D293" s="48"/>
      <c r="E293" s="48"/>
      <c r="F293" s="48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DX293" s="1"/>
    </row>
    <row r="294" spans="1:128" s="2" customFormat="1">
      <c r="A294" s="48"/>
      <c r="B294" s="48"/>
      <c r="C294" s="48"/>
      <c r="D294" s="48"/>
      <c r="E294" s="48"/>
      <c r="F294" s="48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DX294" s="1"/>
    </row>
    <row r="295" spans="1:128" s="2" customFormat="1">
      <c r="A295" s="48"/>
      <c r="B295" s="48"/>
      <c r="C295" s="48"/>
      <c r="D295" s="48"/>
      <c r="E295" s="48"/>
      <c r="F295" s="48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DX295" s="1"/>
    </row>
    <row r="296" spans="1:128" s="2" customFormat="1">
      <c r="A296" s="48"/>
      <c r="B296" s="48"/>
      <c r="C296" s="48"/>
      <c r="D296" s="48"/>
      <c r="E296" s="48"/>
      <c r="F296" s="48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DX296" s="1"/>
    </row>
    <row r="297" spans="1:128" s="2" customFormat="1">
      <c r="A297" s="48"/>
      <c r="B297" s="48"/>
      <c r="C297" s="48"/>
      <c r="D297" s="48"/>
      <c r="E297" s="48"/>
      <c r="F297" s="48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DX297" s="1"/>
    </row>
    <row r="298" spans="1:128" s="2" customFormat="1">
      <c r="A298" s="48"/>
      <c r="B298" s="48"/>
      <c r="C298" s="48"/>
      <c r="D298" s="48"/>
      <c r="E298" s="48"/>
      <c r="F298" s="48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DX298" s="1"/>
    </row>
    <row r="299" spans="1:128" s="2" customFormat="1">
      <c r="A299" s="48"/>
      <c r="B299" s="48"/>
      <c r="C299" s="48"/>
      <c r="D299" s="48"/>
      <c r="E299" s="48"/>
      <c r="F299" s="48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DX299" s="1"/>
    </row>
    <row r="300" spans="1:128" s="2" customFormat="1">
      <c r="A300" s="48"/>
      <c r="B300" s="48"/>
      <c r="C300" s="48"/>
      <c r="D300" s="48"/>
      <c r="E300" s="48"/>
      <c r="F300" s="48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DX300" s="1"/>
    </row>
    <row r="301" spans="1:128" s="2" customFormat="1">
      <c r="A301" s="48"/>
      <c r="B301" s="48"/>
      <c r="C301" s="48"/>
      <c r="D301" s="48"/>
      <c r="E301" s="48"/>
      <c r="F301" s="48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DX301" s="1"/>
    </row>
    <row r="302" spans="1:128" s="2" customFormat="1">
      <c r="A302" s="48"/>
      <c r="B302" s="48"/>
      <c r="C302" s="48"/>
      <c r="D302" s="48"/>
      <c r="E302" s="48"/>
      <c r="F302" s="48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DX302" s="1"/>
    </row>
    <row r="303" spans="1:128" s="2" customFormat="1">
      <c r="A303" s="48"/>
      <c r="B303" s="48"/>
      <c r="C303" s="48"/>
      <c r="D303" s="48"/>
      <c r="E303" s="48"/>
      <c r="F303" s="48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DX303" s="1"/>
    </row>
    <row r="304" spans="1:128" s="2" customFormat="1">
      <c r="A304" s="48"/>
      <c r="B304" s="48"/>
      <c r="C304" s="48"/>
      <c r="D304" s="48"/>
      <c r="E304" s="48"/>
      <c r="F304" s="48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DX304" s="1"/>
    </row>
    <row r="305" spans="1:128" s="2" customFormat="1">
      <c r="A305" s="48"/>
      <c r="B305" s="48"/>
      <c r="C305" s="48"/>
      <c r="D305" s="48"/>
      <c r="E305" s="48"/>
      <c r="F305" s="48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DX305" s="1"/>
    </row>
    <row r="306" spans="1:128" s="2" customFormat="1">
      <c r="A306" s="48"/>
      <c r="B306" s="48"/>
      <c r="C306" s="48"/>
      <c r="D306" s="48"/>
      <c r="E306" s="48"/>
      <c r="F306" s="48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DX306" s="1"/>
    </row>
    <row r="307" spans="1:128" s="2" customFormat="1">
      <c r="A307" s="48"/>
      <c r="B307" s="48"/>
      <c r="C307" s="48"/>
      <c r="D307" s="48"/>
      <c r="E307" s="48"/>
      <c r="F307" s="48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DX307" s="1"/>
    </row>
    <row r="308" spans="1:128" s="2" customFormat="1">
      <c r="A308" s="48"/>
      <c r="B308" s="48"/>
      <c r="C308" s="48"/>
      <c r="D308" s="48"/>
      <c r="E308" s="48"/>
      <c r="F308" s="48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DX308" s="1"/>
    </row>
    <row r="309" spans="1:128" s="2" customFormat="1">
      <c r="A309" s="48"/>
      <c r="B309" s="48"/>
      <c r="C309" s="48"/>
      <c r="D309" s="48"/>
      <c r="E309" s="48"/>
      <c r="F309" s="48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DX309" s="1"/>
    </row>
    <row r="310" spans="1:128" s="2" customFormat="1">
      <c r="A310" s="48"/>
      <c r="B310" s="48"/>
      <c r="C310" s="48"/>
      <c r="D310" s="48"/>
      <c r="E310" s="48"/>
      <c r="F310" s="48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DX310" s="1"/>
    </row>
    <row r="311" spans="1:128" s="2" customFormat="1">
      <c r="A311" s="48"/>
      <c r="B311" s="48"/>
      <c r="C311" s="48"/>
      <c r="D311" s="48"/>
      <c r="E311" s="48"/>
      <c r="F311" s="48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DX311" s="1"/>
    </row>
    <row r="312" spans="1:128" s="2" customFormat="1">
      <c r="A312" s="48"/>
      <c r="B312" s="48"/>
      <c r="C312" s="48"/>
      <c r="D312" s="48"/>
      <c r="E312" s="48"/>
      <c r="F312" s="48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DX312" s="1"/>
    </row>
    <row r="313" spans="1:128" s="2" customFormat="1">
      <c r="A313" s="48"/>
      <c r="B313" s="48"/>
      <c r="C313" s="48"/>
      <c r="D313" s="48"/>
      <c r="E313" s="48"/>
      <c r="F313" s="48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DX313" s="1"/>
    </row>
    <row r="314" spans="1:128" s="2" customFormat="1">
      <c r="A314" s="48"/>
      <c r="B314" s="48"/>
      <c r="C314" s="48"/>
      <c r="D314" s="48"/>
      <c r="E314" s="48"/>
      <c r="F314" s="48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DX314" s="1"/>
    </row>
    <row r="315" spans="1:128" s="2" customFormat="1">
      <c r="A315" s="48"/>
      <c r="B315" s="48"/>
      <c r="C315" s="48"/>
      <c r="D315" s="48"/>
      <c r="E315" s="48"/>
      <c r="F315" s="48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DX315" s="1"/>
    </row>
    <row r="316" spans="1:128" s="2" customFormat="1">
      <c r="A316" s="48"/>
      <c r="B316" s="48"/>
      <c r="C316" s="48"/>
      <c r="D316" s="48"/>
      <c r="E316" s="48"/>
      <c r="F316" s="48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DX316" s="1"/>
    </row>
    <row r="317" spans="1:128" s="2" customFormat="1">
      <c r="A317" s="48"/>
      <c r="B317" s="48"/>
      <c r="C317" s="48"/>
      <c r="D317" s="48"/>
      <c r="E317" s="48"/>
      <c r="F317" s="48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DX317" s="1"/>
    </row>
    <row r="318" spans="1:128" s="2" customFormat="1">
      <c r="A318" s="48"/>
      <c r="B318" s="48"/>
      <c r="C318" s="48"/>
      <c r="D318" s="48"/>
      <c r="E318" s="48"/>
      <c r="F318" s="48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DX318" s="1"/>
    </row>
    <row r="319" spans="1:128" s="2" customFormat="1">
      <c r="A319" s="48"/>
      <c r="B319" s="48"/>
      <c r="C319" s="48"/>
      <c r="D319" s="48"/>
      <c r="E319" s="48"/>
      <c r="F319" s="48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DX319" s="1"/>
    </row>
    <row r="320" spans="1:128" s="2" customFormat="1">
      <c r="A320" s="48"/>
      <c r="B320" s="48"/>
      <c r="C320" s="48"/>
      <c r="D320" s="48"/>
      <c r="E320" s="48"/>
      <c r="F320" s="48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DX320" s="1"/>
    </row>
    <row r="321" spans="1:128" s="2" customFormat="1">
      <c r="A321" s="48"/>
      <c r="B321" s="48"/>
      <c r="C321" s="48"/>
      <c r="D321" s="48"/>
      <c r="E321" s="48"/>
      <c r="F321" s="48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DX321" s="1"/>
    </row>
    <row r="322" spans="1:128" s="2" customFormat="1">
      <c r="A322" s="48"/>
      <c r="B322" s="48"/>
      <c r="C322" s="48"/>
      <c r="D322" s="48"/>
      <c r="E322" s="48"/>
      <c r="F322" s="48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DX322" s="1"/>
    </row>
    <row r="323" spans="1:128" s="2" customFormat="1">
      <c r="A323" s="48"/>
      <c r="B323" s="48"/>
      <c r="C323" s="48"/>
      <c r="D323" s="48"/>
      <c r="E323" s="48"/>
      <c r="F323" s="48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DX323" s="1"/>
    </row>
    <row r="324" spans="1:128" s="2" customFormat="1">
      <c r="A324" s="48"/>
      <c r="B324" s="48"/>
      <c r="C324" s="48"/>
      <c r="D324" s="48"/>
      <c r="E324" s="48"/>
      <c r="F324" s="48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DX324" s="1"/>
    </row>
  </sheetData>
  <sheetProtection formatColumns="0" formatRows="0"/>
  <mergeCells count="233">
    <mergeCell ref="A44:B44"/>
    <mergeCell ref="A46:B46"/>
    <mergeCell ref="A12:B12"/>
    <mergeCell ref="A13:B13"/>
    <mergeCell ref="A16:B16"/>
    <mergeCell ref="E3:DT3"/>
    <mergeCell ref="E4:DT4"/>
    <mergeCell ref="DU2:DX5"/>
    <mergeCell ref="DM8:DN8"/>
    <mergeCell ref="CU8:CV8"/>
    <mergeCell ref="DA8:DB8"/>
    <mergeCell ref="DG8:DH8"/>
    <mergeCell ref="CC8:CD8"/>
    <mergeCell ref="CI8:CJ8"/>
    <mergeCell ref="CO8:CP8"/>
    <mergeCell ref="CY8:CZ8"/>
    <mergeCell ref="DC8:DD8"/>
    <mergeCell ref="DE8:DF8"/>
    <mergeCell ref="DI8:DJ8"/>
    <mergeCell ref="CQ8:CR8"/>
    <mergeCell ref="BS8:BT8"/>
    <mergeCell ref="BU8:BV8"/>
    <mergeCell ref="BY8:BZ8"/>
    <mergeCell ref="CA8:CB8"/>
    <mergeCell ref="A1:T1"/>
    <mergeCell ref="E6:F6"/>
    <mergeCell ref="G6:AZ6"/>
    <mergeCell ref="E7:F8"/>
    <mergeCell ref="G7:H8"/>
    <mergeCell ref="I7:AZ7"/>
    <mergeCell ref="BA7:BB8"/>
    <mergeCell ref="BI8:BJ8"/>
    <mergeCell ref="BO8:BP8"/>
    <mergeCell ref="O8:P8"/>
    <mergeCell ref="Q8:R8"/>
    <mergeCell ref="AY8:AZ8"/>
    <mergeCell ref="BE8:BF8"/>
    <mergeCell ref="BG8:BH8"/>
    <mergeCell ref="M8:N8"/>
    <mergeCell ref="U8:V8"/>
    <mergeCell ref="AC8:AD8"/>
    <mergeCell ref="AG8:AH8"/>
    <mergeCell ref="AO8:AP8"/>
    <mergeCell ref="AS8:AT8"/>
    <mergeCell ref="AW8:AX8"/>
    <mergeCell ref="BA6:DX6"/>
    <mergeCell ref="DU1:DX1"/>
    <mergeCell ref="BM8:BN8"/>
    <mergeCell ref="BK113:BL113"/>
    <mergeCell ref="AM113:AN113"/>
    <mergeCell ref="AQ113:AR113"/>
    <mergeCell ref="AU113:AV113"/>
    <mergeCell ref="W113:X113"/>
    <mergeCell ref="AY113:AZ113"/>
    <mergeCell ref="BA113:BB113"/>
    <mergeCell ref="BC113:BD113"/>
    <mergeCell ref="BI113:BJ113"/>
    <mergeCell ref="AO113:AP113"/>
    <mergeCell ref="AS113:AT113"/>
    <mergeCell ref="AW113:AX113"/>
    <mergeCell ref="AA113:AB113"/>
    <mergeCell ref="AE113:AF113"/>
    <mergeCell ref="AI113:AJ113"/>
    <mergeCell ref="CS8:CT8"/>
    <mergeCell ref="BM113:BN113"/>
    <mergeCell ref="DW113:DX113"/>
    <mergeCell ref="DU7:DV8"/>
    <mergeCell ref="DU113:DV113"/>
    <mergeCell ref="DQ8:DR8"/>
    <mergeCell ref="CW8:CX8"/>
    <mergeCell ref="DS113:DT113"/>
    <mergeCell ref="BO113:BP113"/>
    <mergeCell ref="BS113:BT113"/>
    <mergeCell ref="BY113:BZ113"/>
    <mergeCell ref="CE113:CF113"/>
    <mergeCell ref="CK113:CL113"/>
    <mergeCell ref="CQ113:CR113"/>
    <mergeCell ref="CW113:CX113"/>
    <mergeCell ref="DC113:DD113"/>
    <mergeCell ref="BQ113:BR113"/>
    <mergeCell ref="BW113:BX113"/>
    <mergeCell ref="DM113:DN113"/>
    <mergeCell ref="CU113:CV113"/>
    <mergeCell ref="DQ113:DR113"/>
    <mergeCell ref="BU113:BV113"/>
    <mergeCell ref="CA113:CB113"/>
    <mergeCell ref="DI113:DJ113"/>
    <mergeCell ref="CE8:CF8"/>
    <mergeCell ref="CG8:CH8"/>
    <mergeCell ref="BW8:BX8"/>
    <mergeCell ref="AQ8:AR8"/>
    <mergeCell ref="AU8:AV8"/>
    <mergeCell ref="DS7:DT8"/>
    <mergeCell ref="I8:J8"/>
    <mergeCell ref="K8:L8"/>
    <mergeCell ref="S8:T8"/>
    <mergeCell ref="W8:X8"/>
    <mergeCell ref="AA8:AB8"/>
    <mergeCell ref="AE8:AF8"/>
    <mergeCell ref="AI8:AJ8"/>
    <mergeCell ref="AM8:AN8"/>
    <mergeCell ref="AK8:AL8"/>
    <mergeCell ref="BC7:BD8"/>
    <mergeCell ref="BE7:DR7"/>
    <mergeCell ref="DK8:DL8"/>
    <mergeCell ref="DO8:DP8"/>
    <mergeCell ref="BK8:BL8"/>
    <mergeCell ref="Y8:Z8"/>
    <mergeCell ref="BQ8:BR8"/>
    <mergeCell ref="CK8:CL8"/>
    <mergeCell ref="CM8:CN8"/>
    <mergeCell ref="DW7:DX8"/>
    <mergeCell ref="DO113:DP113"/>
    <mergeCell ref="A20:B20"/>
    <mergeCell ref="A23:B23"/>
    <mergeCell ref="A24:B24"/>
    <mergeCell ref="A25:B25"/>
    <mergeCell ref="CG113:CH113"/>
    <mergeCell ref="CM113:CN113"/>
    <mergeCell ref="CS113:CT113"/>
    <mergeCell ref="CY113:CZ113"/>
    <mergeCell ref="DE113:DF113"/>
    <mergeCell ref="DK113:DL113"/>
    <mergeCell ref="BE113:BF113"/>
    <mergeCell ref="BG113:BH113"/>
    <mergeCell ref="DA113:DB113"/>
    <mergeCell ref="DG113:DH113"/>
    <mergeCell ref="CC113:CD113"/>
    <mergeCell ref="CI113:CJ113"/>
    <mergeCell ref="A55:B55"/>
    <mergeCell ref="A58:B58"/>
    <mergeCell ref="A47:B47"/>
    <mergeCell ref="A49:B49"/>
    <mergeCell ref="A51:B51"/>
    <mergeCell ref="CO113:CP113"/>
    <mergeCell ref="A6:B9"/>
    <mergeCell ref="A10:B10"/>
    <mergeCell ref="A26:B26"/>
    <mergeCell ref="A32:B32"/>
    <mergeCell ref="A33:B33"/>
    <mergeCell ref="A37:B37"/>
    <mergeCell ref="A38:B38"/>
    <mergeCell ref="A41:B41"/>
    <mergeCell ref="A43:B43"/>
    <mergeCell ref="A17:B17"/>
    <mergeCell ref="A18:B18"/>
    <mergeCell ref="A19:B19"/>
    <mergeCell ref="A15:B15"/>
    <mergeCell ref="A52:B52"/>
    <mergeCell ref="A53:B53"/>
    <mergeCell ref="A54:B54"/>
    <mergeCell ref="A59:B59"/>
    <mergeCell ref="A61:B61"/>
    <mergeCell ref="A63:B63"/>
    <mergeCell ref="A56:B56"/>
    <mergeCell ref="A57:B57"/>
    <mergeCell ref="A71:B71"/>
    <mergeCell ref="A62:B62"/>
    <mergeCell ref="A64:B64"/>
    <mergeCell ref="A68:B68"/>
    <mergeCell ref="A69:B69"/>
    <mergeCell ref="A70:B70"/>
    <mergeCell ref="A81:B81"/>
    <mergeCell ref="A84:B84"/>
    <mergeCell ref="A87:B87"/>
    <mergeCell ref="A88:B88"/>
    <mergeCell ref="A89:B89"/>
    <mergeCell ref="A72:B72"/>
    <mergeCell ref="A60:B60"/>
    <mergeCell ref="A74:B74"/>
    <mergeCell ref="A75:B75"/>
    <mergeCell ref="A76:B76"/>
    <mergeCell ref="A77:B77"/>
    <mergeCell ref="A78:B78"/>
    <mergeCell ref="A79:B79"/>
    <mergeCell ref="A80:B80"/>
    <mergeCell ref="A73:B73"/>
    <mergeCell ref="A102:B102"/>
    <mergeCell ref="A97:B97"/>
    <mergeCell ref="A98:B98"/>
    <mergeCell ref="A99:B99"/>
    <mergeCell ref="A100:B100"/>
    <mergeCell ref="A82:B82"/>
    <mergeCell ref="A83:B83"/>
    <mergeCell ref="A85:B85"/>
    <mergeCell ref="A86:B86"/>
    <mergeCell ref="C6:D6"/>
    <mergeCell ref="C7:D8"/>
    <mergeCell ref="C113:D113"/>
    <mergeCell ref="E113:F113"/>
    <mergeCell ref="G113:H113"/>
    <mergeCell ref="A119:B119"/>
    <mergeCell ref="A103:B103"/>
    <mergeCell ref="A104:B104"/>
    <mergeCell ref="A105:B105"/>
    <mergeCell ref="A106:B106"/>
    <mergeCell ref="A107:B107"/>
    <mergeCell ref="A108:B108"/>
    <mergeCell ref="A112:B112"/>
    <mergeCell ref="A114:B114"/>
    <mergeCell ref="A118:B118"/>
    <mergeCell ref="A90:B90"/>
    <mergeCell ref="A91:B91"/>
    <mergeCell ref="A92:B92"/>
    <mergeCell ref="A94:B94"/>
    <mergeCell ref="A95:B95"/>
    <mergeCell ref="A96:B96"/>
    <mergeCell ref="A93:B93"/>
    <mergeCell ref="A45:B45"/>
    <mergeCell ref="A101:B101"/>
    <mergeCell ref="A128:B128"/>
    <mergeCell ref="A129:B129"/>
    <mergeCell ref="A130:B130"/>
    <mergeCell ref="U113:V113"/>
    <mergeCell ref="Y113:Z113"/>
    <mergeCell ref="AC113:AD113"/>
    <mergeCell ref="AG113:AH113"/>
    <mergeCell ref="AK113:AL113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13:B113"/>
    <mergeCell ref="I113:J113"/>
    <mergeCell ref="K113:L113"/>
    <mergeCell ref="O113:P113"/>
    <mergeCell ref="S113:T113"/>
    <mergeCell ref="M113:N113"/>
    <mergeCell ref="Q113:R113"/>
  </mergeCells>
  <printOptions horizontalCentered="1"/>
  <pageMargins left="0.15748031496062992" right="0" top="0" bottom="0.15748031496062992" header="0" footer="0"/>
  <pageSetup paperSize="9" scale="40" fitToWidth="3" fitToHeight="5" orientation="landscape" r:id="rId1"/>
  <headerFooter differentFirst="1" alignWithMargins="0"/>
  <rowBreaks count="2" manualBreakCount="2">
    <brk id="54" max="16383" man="1"/>
    <brk id="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62"/>
  <sheetViews>
    <sheetView view="pageBreakPreview" zoomScale="86" zoomScaleSheetLayoutView="86" zoomScalePageLayoutView="6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64" sqref="H64"/>
    </sheetView>
  </sheetViews>
  <sheetFormatPr defaultColWidth="9.33203125" defaultRowHeight="15"/>
  <cols>
    <col min="1" max="1" width="57.83203125" style="50" customWidth="1"/>
    <col min="2" max="2" width="13.6640625" style="50" customWidth="1"/>
    <col min="3" max="3" width="30.6640625" style="1" customWidth="1"/>
    <col min="4" max="4" width="33.33203125" style="1" customWidth="1"/>
    <col min="5" max="6" width="29.1640625" style="1" customWidth="1"/>
    <col min="7" max="7" width="29.83203125" style="1" customWidth="1"/>
    <col min="8" max="8" width="31.1640625" style="1" customWidth="1"/>
    <col min="9" max="25" width="12.33203125" style="2" customWidth="1"/>
    <col min="26" max="144" width="9.33203125" style="2"/>
    <col min="145" max="16384" width="9.33203125" style="3"/>
  </cols>
  <sheetData>
    <row r="1" spans="1:144" ht="18.75" customHeight="1">
      <c r="A1" s="212"/>
      <c r="B1" s="212"/>
      <c r="C1" s="212"/>
      <c r="D1" s="212"/>
      <c r="E1" s="212"/>
      <c r="F1" s="212"/>
      <c r="G1" s="212"/>
      <c r="H1" s="212"/>
    </row>
    <row r="2" spans="1:144" ht="18.75" customHeight="1">
      <c r="A2" s="227"/>
      <c r="B2" s="212"/>
      <c r="C2" s="212"/>
      <c r="D2" s="212"/>
      <c r="E2" s="212"/>
      <c r="F2" s="212"/>
      <c r="G2" s="212"/>
      <c r="H2" s="212"/>
    </row>
    <row r="3" spans="1:144" ht="16.5" customHeight="1">
      <c r="A3" s="374" t="s">
        <v>215</v>
      </c>
      <c r="B3" s="374"/>
      <c r="C3" s="374"/>
      <c r="D3" s="374"/>
      <c r="E3" s="374"/>
      <c r="F3" s="374"/>
      <c r="G3" s="374"/>
      <c r="H3" s="374"/>
    </row>
    <row r="4" spans="1:144" ht="16.5" customHeight="1"/>
    <row r="5" spans="1:144" ht="30.75" customHeight="1">
      <c r="A5" s="4"/>
      <c r="B5" s="4"/>
    </row>
    <row r="6" spans="1:144" ht="15.75" customHeight="1">
      <c r="A6" s="332" t="s">
        <v>3</v>
      </c>
      <c r="B6" s="332"/>
      <c r="C6" s="384" t="s">
        <v>214</v>
      </c>
      <c r="D6" s="384"/>
      <c r="E6" s="384" t="s">
        <v>216</v>
      </c>
      <c r="F6" s="384"/>
      <c r="G6" s="384" t="s">
        <v>217</v>
      </c>
      <c r="H6" s="384"/>
    </row>
    <row r="7" spans="1:144" s="120" customFormat="1" ht="16.5" customHeight="1">
      <c r="A7" s="332"/>
      <c r="B7" s="332"/>
      <c r="C7" s="384"/>
      <c r="D7" s="384"/>
      <c r="E7" s="384"/>
      <c r="F7" s="384"/>
      <c r="G7" s="384"/>
      <c r="H7" s="384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</row>
    <row r="8" spans="1:144" s="120" customFormat="1" ht="79.5" customHeight="1">
      <c r="A8" s="332"/>
      <c r="B8" s="332"/>
      <c r="C8" s="384"/>
      <c r="D8" s="384"/>
      <c r="E8" s="384"/>
      <c r="F8" s="384"/>
      <c r="G8" s="384"/>
      <c r="H8" s="384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</row>
    <row r="9" spans="1:144" s="12" customFormat="1" ht="52.5" customHeight="1">
      <c r="A9" s="332"/>
      <c r="B9" s="332"/>
      <c r="C9" s="95" t="s">
        <v>175</v>
      </c>
      <c r="D9" s="95" t="s">
        <v>181</v>
      </c>
      <c r="E9" s="95" t="s">
        <v>175</v>
      </c>
      <c r="F9" s="95" t="s">
        <v>181</v>
      </c>
      <c r="G9" s="95" t="s">
        <v>175</v>
      </c>
      <c r="H9" s="95" t="s">
        <v>181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</row>
    <row r="10" spans="1:144" s="18" customFormat="1" ht="16.5">
      <c r="A10" s="341" t="s">
        <v>29</v>
      </c>
      <c r="B10" s="280"/>
      <c r="C10" s="252">
        <v>-5.23</v>
      </c>
      <c r="D10" s="252">
        <v>-0.28000000000000003</v>
      </c>
      <c r="E10" s="252" t="s">
        <v>238</v>
      </c>
      <c r="F10" s="252">
        <v>0.01</v>
      </c>
      <c r="G10" s="252">
        <v>34.53</v>
      </c>
      <c r="H10" s="252">
        <v>38.5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</row>
    <row r="11" spans="1:144" s="18" customFormat="1" ht="16.5">
      <c r="A11" s="224" t="s">
        <v>183</v>
      </c>
      <c r="B11" s="221"/>
      <c r="C11" s="252">
        <v>-2.78</v>
      </c>
      <c r="D11" s="252">
        <v>-5.23</v>
      </c>
      <c r="E11" s="252">
        <v>0.05</v>
      </c>
      <c r="F11" s="252">
        <v>0.06</v>
      </c>
      <c r="G11" s="252">
        <v>-4.07</v>
      </c>
      <c r="H11" s="252">
        <v>-4.67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</row>
    <row r="12" spans="1:144" s="59" customFormat="1" ht="18" customHeight="1">
      <c r="A12" s="354" t="s">
        <v>30</v>
      </c>
      <c r="B12" s="315"/>
      <c r="C12" s="254">
        <f>(конс.!DK12/конс.!AW12*100)-100</f>
        <v>-1.1948847084382663</v>
      </c>
      <c r="D12" s="254">
        <f>(конс.!DL12/конс.!AX12*100)-100</f>
        <v>-100</v>
      </c>
      <c r="E12" s="253">
        <f>(конс.!DS11/конс.!BA11*100)-100</f>
        <v>-6.8780225685115539</v>
      </c>
      <c r="F12" s="253" t="e">
        <f>(конс.!DT11/конс.!BB11*100)-100</f>
        <v>#DIV/0!</v>
      </c>
      <c r="G12" s="253">
        <f>(конс.!BA12/конс.!G12*100)-100</f>
        <v>-0.60985499724267811</v>
      </c>
      <c r="H12" s="253">
        <f>(конс.!BB12/конс.!H12*100)-100</f>
        <v>-100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</row>
    <row r="13" spans="1:144" s="62" customFormat="1" ht="18" customHeight="1">
      <c r="A13" s="364" t="s">
        <v>31</v>
      </c>
      <c r="B13" s="313"/>
      <c r="C13" s="254">
        <f>(конс.!DK13/конс.!AW13*100)-100</f>
        <v>5.0275359744181856</v>
      </c>
      <c r="D13" s="254">
        <f>(конс.!DL13/конс.!AX13*100)-100</f>
        <v>-100</v>
      </c>
      <c r="E13" s="253">
        <f>(конс.!DS12/конс.!BA12*100)-100</f>
        <v>-9.9568088601673139</v>
      </c>
      <c r="F13" s="253" t="e">
        <f>(конс.!DT12/конс.!BB12*100)-100</f>
        <v>#DIV/0!</v>
      </c>
      <c r="G13" s="253">
        <f>(конс.!BA13/конс.!G13*100)-100</f>
        <v>2.699505855803281</v>
      </c>
      <c r="H13" s="253">
        <f>(конс.!BB13/конс.!H13*100)-100</f>
        <v>-100</v>
      </c>
      <c r="I13" s="60"/>
      <c r="J13" s="60"/>
      <c r="K13" s="60"/>
      <c r="L13" s="60"/>
      <c r="M13" s="60"/>
      <c r="N13" s="60"/>
      <c r="O13" s="60"/>
      <c r="P13" s="60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</row>
    <row r="14" spans="1:144" s="62" customFormat="1" ht="18" customHeight="1">
      <c r="A14" s="213" t="s">
        <v>225</v>
      </c>
      <c r="B14" s="214">
        <f>'бюджет округа (района)'!B12</f>
        <v>0</v>
      </c>
      <c r="C14" s="254" t="e">
        <f>(конс.!DK14/конс.!AW14*100)-100</f>
        <v>#DIV/0!</v>
      </c>
      <c r="D14" s="254" t="e">
        <f>(конс.!DL14/конс.!AX14*100)-100</f>
        <v>#DIV/0!</v>
      </c>
      <c r="E14" s="253">
        <f>(конс.!DS13/конс.!BA13*100)-100</f>
        <v>-13.72770394168549</v>
      </c>
      <c r="F14" s="253" t="e">
        <f>(конс.!DT13/конс.!BB13*100)-100</f>
        <v>#DIV/0!</v>
      </c>
      <c r="G14" s="253" t="e">
        <f>(конс.!BA14/конс.!G14*100)-100</f>
        <v>#DIV/0!</v>
      </c>
      <c r="H14" s="253" t="e">
        <f>(конс.!BB14/конс.!H14*100)-100</f>
        <v>#DIV/0!</v>
      </c>
      <c r="I14" s="60"/>
      <c r="J14" s="60"/>
      <c r="K14" s="60"/>
      <c r="L14" s="60"/>
      <c r="M14" s="60"/>
      <c r="N14" s="60"/>
      <c r="O14" s="60"/>
      <c r="P14" s="60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</row>
    <row r="15" spans="1:144" s="62" customFormat="1" ht="42.75" customHeight="1">
      <c r="A15" s="364" t="s">
        <v>246</v>
      </c>
      <c r="B15" s="313"/>
      <c r="C15" s="254">
        <f>(конс.!DK15/конс.!AW15*100)-100</f>
        <v>1.1299435028248439</v>
      </c>
      <c r="D15" s="254">
        <f>(конс.!DL15/конс.!AX15*100)-100</f>
        <v>-100</v>
      </c>
      <c r="E15" s="253" t="e">
        <f>(конс.!DS14/конс.!BA14*100)-100</f>
        <v>#DIV/0!</v>
      </c>
      <c r="F15" s="253" t="e">
        <f>(конс.!DT14/конс.!BB14*100)-100</f>
        <v>#DIV/0!</v>
      </c>
      <c r="G15" s="253">
        <f>(конс.!BA15/конс.!G15*100)-100</f>
        <v>17.419354838709666</v>
      </c>
      <c r="H15" s="253">
        <f>(конс.!BB15/конс.!H15*100)-100</f>
        <v>-100</v>
      </c>
      <c r="I15" s="60"/>
      <c r="J15" s="60"/>
      <c r="K15" s="60"/>
      <c r="L15" s="60"/>
      <c r="M15" s="60"/>
      <c r="N15" s="60"/>
      <c r="O15" s="60"/>
      <c r="P15" s="60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s="62" customFormat="1" ht="40.5" customHeight="1">
      <c r="A16" s="364" t="s">
        <v>32</v>
      </c>
      <c r="B16" s="313"/>
      <c r="C16" s="254">
        <f>(конс.!DK16/конс.!AW16*100)-100</f>
        <v>-275</v>
      </c>
      <c r="D16" s="254">
        <f>(конс.!DL16/конс.!AX16*100)-100</f>
        <v>-100</v>
      </c>
      <c r="E16" s="253">
        <f>(конс.!DS15/конс.!BA15*100)-100</f>
        <v>0</v>
      </c>
      <c r="F16" s="253" t="e">
        <f>(конс.!DT15/конс.!BB15*100)-100</f>
        <v>#DIV/0!</v>
      </c>
      <c r="G16" s="253">
        <f>(конс.!BA16/конс.!G16*100)-100</f>
        <v>-100</v>
      </c>
      <c r="H16" s="253">
        <f>(конс.!BB16/конс.!H16*100)-100</f>
        <v>-100</v>
      </c>
      <c r="I16" s="60"/>
      <c r="J16" s="60"/>
      <c r="K16" s="60"/>
      <c r="L16" s="60"/>
      <c r="M16" s="60"/>
      <c r="N16" s="60"/>
      <c r="O16" s="60"/>
      <c r="P16" s="60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</row>
    <row r="17" spans="1:144" s="62" customFormat="1" ht="34.5" customHeight="1">
      <c r="A17" s="364" t="s">
        <v>80</v>
      </c>
      <c r="B17" s="313"/>
      <c r="C17" s="254">
        <f>(конс.!DK17/конс.!AW17*100)-100</f>
        <v>-100</v>
      </c>
      <c r="D17" s="254">
        <f>(конс.!DL17/конс.!AX17*100)-100</f>
        <v>-100</v>
      </c>
      <c r="E17" s="253" t="e">
        <f>(конс.!DS16/конс.!BA16*100)-100</f>
        <v>#DIV/0!</v>
      </c>
      <c r="F17" s="253" t="e">
        <f>(конс.!DT16/конс.!BB16*100)-100</f>
        <v>#DIV/0!</v>
      </c>
      <c r="G17" s="253">
        <f>(конс.!BA17/конс.!G17*100)-100</f>
        <v>2.0408163265306172</v>
      </c>
      <c r="H17" s="253">
        <f>(конс.!BB17/конс.!H17*100)-100</f>
        <v>-100</v>
      </c>
      <c r="I17" s="60"/>
      <c r="J17" s="60"/>
      <c r="K17" s="60"/>
      <c r="L17" s="60"/>
      <c r="M17" s="60"/>
      <c r="N17" s="60"/>
      <c r="O17" s="60"/>
      <c r="P17" s="60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</row>
    <row r="18" spans="1:144" s="62" customFormat="1" ht="64.5" customHeight="1">
      <c r="A18" s="364" t="s">
        <v>33</v>
      </c>
      <c r="B18" s="313"/>
      <c r="C18" s="254">
        <f>(конс.!DK18/конс.!AW18*100)-100</f>
        <v>-197.01492537313433</v>
      </c>
      <c r="D18" s="254" t="e">
        <f>(конс.!DL18/конс.!AX18*100)-100</f>
        <v>#DIV/0!</v>
      </c>
      <c r="E18" s="253">
        <f>(конс.!DS17/конс.!BA17*100)-100</f>
        <v>0</v>
      </c>
      <c r="F18" s="253" t="e">
        <f>(конс.!DT17/конс.!BB17*100)-100</f>
        <v>#DIV/0!</v>
      </c>
      <c r="G18" s="253">
        <f>(конс.!BA18/конс.!G18*100)-100</f>
        <v>0</v>
      </c>
      <c r="H18" s="253" t="e">
        <f>(конс.!BB18/конс.!H18*100)-100</f>
        <v>#DIV/0!</v>
      </c>
      <c r="I18" s="60"/>
      <c r="J18" s="60"/>
      <c r="K18" s="60"/>
      <c r="L18" s="60"/>
      <c r="M18" s="60"/>
      <c r="N18" s="60"/>
      <c r="O18" s="60"/>
      <c r="P18" s="60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</row>
    <row r="19" spans="1:144" s="62" customFormat="1" ht="54.75" customHeight="1">
      <c r="A19" s="364" t="s">
        <v>244</v>
      </c>
      <c r="B19" s="313"/>
      <c r="C19" s="254" t="e">
        <f>(конс.!DK19/конс.!AW19*100)-100</f>
        <v>#DIV/0!</v>
      </c>
      <c r="D19" s="254" t="e">
        <f>(конс.!DL19/конс.!AX19*100)-100</f>
        <v>#DIV/0!</v>
      </c>
      <c r="E19" s="253">
        <f>(конс.!DS18/конс.!BA18*100)-100</f>
        <v>0</v>
      </c>
      <c r="F19" s="253" t="e">
        <f>(конс.!DT18/конс.!BB18*100)-100</f>
        <v>#DIV/0!</v>
      </c>
      <c r="G19" s="253" t="e">
        <f>(конс.!BA19/конс.!G19*100)-100</f>
        <v>#DIV/0!</v>
      </c>
      <c r="H19" s="253" t="e">
        <f>(конс.!BB19/конс.!H19*100)-100</f>
        <v>#DIV/0!</v>
      </c>
      <c r="I19" s="60"/>
      <c r="J19" s="60"/>
      <c r="K19" s="60"/>
      <c r="L19" s="60"/>
      <c r="M19" s="60"/>
      <c r="N19" s="60"/>
      <c r="O19" s="60"/>
      <c r="P19" s="60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</row>
    <row r="20" spans="1:144" s="62" customFormat="1" ht="42" customHeight="1">
      <c r="A20" s="364" t="s">
        <v>219</v>
      </c>
      <c r="B20" s="313"/>
      <c r="C20" s="254">
        <f>(конс.!DK20/конс.!AW20*100)-100</f>
        <v>2.3470839260312886</v>
      </c>
      <c r="D20" s="254" t="e">
        <f>(конс.!DL20/конс.!AX20*100)-100</f>
        <v>#DIV/0!</v>
      </c>
      <c r="E20" s="253" t="e">
        <f>(конс.!DS19/конс.!BA19*100)-100</f>
        <v>#DIV/0!</v>
      </c>
      <c r="F20" s="253" t="e">
        <f>(конс.!DT19/конс.!BB19*100)-100</f>
        <v>#DIV/0!</v>
      </c>
      <c r="G20" s="253">
        <f>(конс.!BA20/конс.!G20*100)-100</f>
        <v>2.3689665383476353</v>
      </c>
      <c r="H20" s="253" t="e">
        <f>(конс.!BB20/конс.!H20*100)-100</f>
        <v>#DIV/0!</v>
      </c>
      <c r="I20" s="60"/>
      <c r="J20" s="60"/>
      <c r="K20" s="60"/>
      <c r="L20" s="60"/>
      <c r="M20" s="60"/>
      <c r="N20" s="60"/>
      <c r="O20" s="60"/>
      <c r="P20" s="60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</row>
    <row r="21" spans="1:144" s="62" customFormat="1" ht="36.75" customHeight="1">
      <c r="A21" s="213" t="s">
        <v>221</v>
      </c>
      <c r="B21" s="220"/>
      <c r="C21" s="254">
        <f>(конс.!DK21/конс.!AW21*100)-100</f>
        <v>17.012448132780094</v>
      </c>
      <c r="D21" s="254" t="e">
        <f>(конс.!DL21/конс.!AX21*100)-100</f>
        <v>#DIV/0!</v>
      </c>
      <c r="E21" s="253">
        <f>(конс.!DS20/конс.!BA20*100)-100</f>
        <v>-4.9898756146948244</v>
      </c>
      <c r="F21" s="253" t="e">
        <f>(конс.!DT20/конс.!BB20*100)-100</f>
        <v>#DIV/0!</v>
      </c>
      <c r="G21" s="253">
        <f>(конс.!BA21/конс.!G21*100)-100</f>
        <v>3.0598584815452199</v>
      </c>
      <c r="H21" s="253" t="e">
        <f>(конс.!BB21/конс.!H21*100)-100</f>
        <v>#DIV/0!</v>
      </c>
      <c r="I21" s="60"/>
      <c r="J21" s="60"/>
      <c r="K21" s="60"/>
      <c r="L21" s="60"/>
      <c r="M21" s="60"/>
      <c r="N21" s="60"/>
      <c r="O21" s="60"/>
      <c r="P21" s="60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</row>
    <row r="22" spans="1:144" s="62" customFormat="1" ht="41.25" customHeight="1">
      <c r="A22" s="213" t="s">
        <v>220</v>
      </c>
      <c r="B22" s="220"/>
      <c r="C22" s="254">
        <f>(конс.!DK22/конс.!AW22*100)-100</f>
        <v>-85.572139303482587</v>
      </c>
      <c r="D22" s="254" t="e">
        <f>(конс.!DL22/конс.!AX22*100)-100</f>
        <v>#DIV/0!</v>
      </c>
      <c r="E22" s="253">
        <f>(конс.!DS21/конс.!BA21*100)-100</f>
        <v>0</v>
      </c>
      <c r="F22" s="253" t="e">
        <f>(конс.!DT21/конс.!BB21*100)-100</f>
        <v>#DIV/0!</v>
      </c>
      <c r="G22" s="253">
        <f>(конс.!BA22/конс.!G22*100)-100</f>
        <v>0</v>
      </c>
      <c r="H22" s="253" t="e">
        <f>(конс.!BB22/конс.!H22*100)-100</f>
        <v>#DIV/0!</v>
      </c>
      <c r="I22" s="60"/>
      <c r="J22" s="60"/>
      <c r="K22" s="60"/>
      <c r="L22" s="60"/>
      <c r="M22" s="60"/>
      <c r="N22" s="60"/>
      <c r="O22" s="60"/>
      <c r="P22" s="60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</row>
    <row r="23" spans="1:144" s="62" customFormat="1" ht="45.75" customHeight="1">
      <c r="A23" s="364" t="s">
        <v>36</v>
      </c>
      <c r="B23" s="313"/>
      <c r="C23" s="254">
        <f>(конс.!DK23/конс.!AW23*100)-100</f>
        <v>-118.90145395799676</v>
      </c>
      <c r="D23" s="254">
        <f>(конс.!DL23/конс.!AX23*100)-100</f>
        <v>-100</v>
      </c>
      <c r="E23" s="253">
        <f>(конс.!DS22/конс.!BA22*100)-100</f>
        <v>-22.622950819672127</v>
      </c>
      <c r="F23" s="253" t="e">
        <f>(конс.!DT22/конс.!BB22*100)-100</f>
        <v>#DIV/0!</v>
      </c>
      <c r="G23" s="253">
        <f>(конс.!BA23/конс.!G23*100)-100</f>
        <v>26.262626262626256</v>
      </c>
      <c r="H23" s="253">
        <f>(конс.!BB23/конс.!H23*100)-100</f>
        <v>-100</v>
      </c>
      <c r="I23" s="60"/>
      <c r="J23" s="60"/>
      <c r="K23" s="60"/>
      <c r="L23" s="60"/>
      <c r="M23" s="60"/>
      <c r="N23" s="60"/>
      <c r="O23" s="60"/>
      <c r="P23" s="60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</row>
    <row r="24" spans="1:144" s="62" customFormat="1" ht="42.75" customHeight="1">
      <c r="A24" s="364" t="s">
        <v>37</v>
      </c>
      <c r="B24" s="313"/>
      <c r="C24" s="254">
        <f>(конс.!DK24/конс.!AW24*100)-100</f>
        <v>-76.335877862595424</v>
      </c>
      <c r="D24" s="254">
        <f>(конс.!DL24/конс.!AX24*100)-100</f>
        <v>-100</v>
      </c>
      <c r="E24" s="253">
        <f>(конс.!DS23/конс.!BA23*100)-100</f>
        <v>0</v>
      </c>
      <c r="F24" s="253" t="e">
        <f>(конс.!DT23/конс.!BB23*100)-100</f>
        <v>#DIV/0!</v>
      </c>
      <c r="G24" s="253">
        <f>(конс.!BA24/конс.!G24*100)-100</f>
        <v>-8.46958796599084</v>
      </c>
      <c r="H24" s="253">
        <f>(конс.!BB24/конс.!H24*100)-100</f>
        <v>-100</v>
      </c>
      <c r="I24" s="60"/>
      <c r="J24" s="60"/>
      <c r="K24" s="60"/>
      <c r="L24" s="60"/>
      <c r="M24" s="60"/>
      <c r="N24" s="60"/>
      <c r="O24" s="60"/>
      <c r="P24" s="60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</row>
    <row r="25" spans="1:144" s="62" customFormat="1" ht="27" customHeight="1">
      <c r="A25" s="364" t="s">
        <v>38</v>
      </c>
      <c r="B25" s="313"/>
      <c r="C25" s="254">
        <f>(конс.!DK25/конс.!AW25*100)-100</f>
        <v>3.0774672798019083</v>
      </c>
      <c r="D25" s="254" t="e">
        <f>(конс.!DL25/конс.!AX25*100)-100</f>
        <v>#DIV/0!</v>
      </c>
      <c r="E25" s="253">
        <f>(конс.!DS24/конс.!BA24*100)-100</f>
        <v>-6.8238656663093877</v>
      </c>
      <c r="F25" s="253" t="e">
        <f>(конс.!DT24/конс.!BB24*100)-100</f>
        <v>#DIV/0!</v>
      </c>
      <c r="G25" s="253">
        <f>(конс.!BA25/конс.!G25*100)-100</f>
        <v>-14.287973432434569</v>
      </c>
      <c r="H25" s="253" t="e">
        <f>(конс.!BB25/конс.!H25*100)-100</f>
        <v>#DIV/0!</v>
      </c>
      <c r="I25" s="60"/>
      <c r="J25" s="60"/>
      <c r="K25" s="60"/>
      <c r="L25" s="60"/>
      <c r="M25" s="60"/>
      <c r="N25" s="60"/>
      <c r="O25" s="60"/>
      <c r="P25" s="60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</row>
    <row r="26" spans="1:144" s="62" customFormat="1" ht="18" customHeight="1">
      <c r="A26" s="364" t="s">
        <v>222</v>
      </c>
      <c r="B26" s="313"/>
      <c r="C26" s="254">
        <f>(конс.!DK26/конс.!AW26*100)-100</f>
        <v>-23.235294117647058</v>
      </c>
      <c r="D26" s="254">
        <f>(конс.!DL26/конс.!AX26*100)-100</f>
        <v>-100</v>
      </c>
      <c r="E26" s="253">
        <f>(конс.!DS25/конс.!BA25*100)-100</f>
        <v>0</v>
      </c>
      <c r="F26" s="253" t="e">
        <f>(конс.!DT25/конс.!BB25*100)-100</f>
        <v>#DIV/0!</v>
      </c>
      <c r="G26" s="253">
        <f>(конс.!BA26/конс.!G26*100)-100</f>
        <v>-2.1161781822030434E-2</v>
      </c>
      <c r="H26" s="253">
        <f>(конс.!BB26/конс.!H26*100)-100</f>
        <v>-100</v>
      </c>
      <c r="I26" s="60"/>
      <c r="J26" s="60"/>
      <c r="K26" s="60"/>
      <c r="L26" s="60"/>
      <c r="M26" s="60"/>
      <c r="N26" s="60"/>
      <c r="O26" s="60"/>
      <c r="P26" s="60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</row>
    <row r="27" spans="1:144" s="62" customFormat="1" ht="40.5" customHeight="1">
      <c r="A27" s="213" t="s">
        <v>223</v>
      </c>
      <c r="B27" s="220"/>
      <c r="C27" s="254">
        <f>(конс.!DK27/конс.!AW27*100)-100</f>
        <v>5.7803468208092568</v>
      </c>
      <c r="D27" s="254">
        <f>(конс.!DL27/конс.!AX27*100)-100</f>
        <v>-100</v>
      </c>
      <c r="E27" s="253">
        <f>(конс.!DS26/конс.!BA26*100)-100</f>
        <v>2.1166260979981644E-2</v>
      </c>
      <c r="F27" s="253" t="e">
        <f>(конс.!DT26/конс.!BB26*100)-100</f>
        <v>#DIV/0!</v>
      </c>
      <c r="G27" s="253">
        <f>(конс.!BA27/конс.!G27*100)-100</f>
        <v>0</v>
      </c>
      <c r="H27" s="253">
        <f>(конс.!BB27/конс.!H27*100)-100</f>
        <v>-100</v>
      </c>
      <c r="I27" s="60"/>
      <c r="J27" s="60"/>
      <c r="K27" s="60"/>
      <c r="L27" s="60"/>
      <c r="M27" s="60"/>
      <c r="N27" s="60"/>
      <c r="O27" s="60"/>
      <c r="P27" s="60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</row>
    <row r="28" spans="1:144" s="62" customFormat="1" ht="33" customHeight="1">
      <c r="A28" s="213" t="s">
        <v>224</v>
      </c>
      <c r="B28" s="220"/>
      <c r="C28" s="254">
        <f>(конс.!DK28/конс.!AW28*100)-100</f>
        <v>-5.5172413793103487</v>
      </c>
      <c r="D28" s="254">
        <f>(конс.!DL28/конс.!AX28*100)-100</f>
        <v>-100</v>
      </c>
      <c r="E28" s="253">
        <f>(конс.!DS27/конс.!BA27*100)-100</f>
        <v>4.5537340619318911E-2</v>
      </c>
      <c r="F28" s="253" t="e">
        <f>(конс.!DT27/конс.!BB27*100)-100</f>
        <v>#DIV/0!</v>
      </c>
      <c r="G28" s="253">
        <f>(конс.!BA28/конс.!G28*100)-100</f>
        <v>-0.18148820326679527</v>
      </c>
      <c r="H28" s="253">
        <f>(конс.!BB28/конс.!H28*100)-100</f>
        <v>-100</v>
      </c>
      <c r="I28" s="60"/>
      <c r="J28" s="60"/>
      <c r="K28" s="60"/>
      <c r="L28" s="60"/>
      <c r="M28" s="60"/>
      <c r="N28" s="60"/>
      <c r="O28" s="60"/>
      <c r="P28" s="60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</row>
    <row r="29" spans="1:144" s="62" customFormat="1" ht="62.25" customHeight="1">
      <c r="A29" s="213" t="s">
        <v>226</v>
      </c>
      <c r="B29" s="220"/>
      <c r="C29" s="254">
        <f>(конс.!DK29/конс.!AW29*100)-100</f>
        <v>-95.081967213114751</v>
      </c>
      <c r="D29" s="254">
        <f>(конс.!DL29/конс.!AX29*100)-100</f>
        <v>-100</v>
      </c>
      <c r="E29" s="253">
        <f>(конс.!DS28/конс.!BA28*100)-100</f>
        <v>0</v>
      </c>
      <c r="F29" s="253" t="e">
        <f>(конс.!DT28/конс.!BB28*100)-100</f>
        <v>#DIV/0!</v>
      </c>
      <c r="G29" s="253">
        <f>(конс.!BA29/конс.!G29*100)-100</f>
        <v>-77.577319587628864</v>
      </c>
      <c r="H29" s="253">
        <f>(конс.!BB29/конс.!H29*100)-100</f>
        <v>-100</v>
      </c>
      <c r="I29" s="60"/>
      <c r="J29" s="60"/>
      <c r="K29" s="60"/>
      <c r="L29" s="60"/>
      <c r="M29" s="60"/>
      <c r="N29" s="60"/>
      <c r="O29" s="60"/>
      <c r="P29" s="60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</row>
    <row r="30" spans="1:144" s="62" customFormat="1" ht="36.75" customHeight="1">
      <c r="A30" s="213" t="s">
        <v>227</v>
      </c>
      <c r="B30" s="220"/>
      <c r="C30" s="254">
        <f>(конс.!DK30/конс.!AW30*100)-100</f>
        <v>-161.53846153846155</v>
      </c>
      <c r="D30" s="254">
        <f>(конс.!DL30/конс.!AX30*100)-100</f>
        <v>-100</v>
      </c>
      <c r="E30" s="253">
        <f>(конс.!DS29/конс.!BA29*100)-100</f>
        <v>0</v>
      </c>
      <c r="F30" s="253" t="e">
        <f>(конс.!DT29/конс.!BB29*100)-100</f>
        <v>#DIV/0!</v>
      </c>
      <c r="G30" s="253">
        <f>(конс.!BA30/конс.!G30*100)-100</f>
        <v>42.070773263433836</v>
      </c>
      <c r="H30" s="253">
        <f>(конс.!BB30/конс.!H30*100)-100</f>
        <v>-100</v>
      </c>
      <c r="I30" s="60"/>
      <c r="J30" s="60"/>
      <c r="K30" s="60"/>
      <c r="L30" s="60"/>
      <c r="M30" s="60"/>
      <c r="N30" s="60"/>
      <c r="O30" s="60"/>
      <c r="P30" s="60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</row>
    <row r="31" spans="1:144" s="59" customFormat="1" ht="33">
      <c r="A31" s="213" t="s">
        <v>228</v>
      </c>
      <c r="B31" s="220"/>
      <c r="C31" s="254">
        <f>(конс.!DK31/конс.!AW31*100)-100</f>
        <v>-41.784702549575073</v>
      </c>
      <c r="D31" s="254">
        <f>(конс.!DL31/конс.!AX31*100)-100</f>
        <v>-100</v>
      </c>
      <c r="E31" s="253">
        <f>(конс.!DS30/конс.!BA30*100)-100</f>
        <v>0</v>
      </c>
      <c r="F31" s="253" t="e">
        <f>(конс.!DT30/конс.!BB30*100)-100</f>
        <v>#DIV/0!</v>
      </c>
      <c r="G31" s="253">
        <f>(конс.!BA31/конс.!G31*100)-100</f>
        <v>-0.62555853440572662</v>
      </c>
      <c r="H31" s="253">
        <f>(конс.!BB31/конс.!H31*100)-100</f>
        <v>-100</v>
      </c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</row>
    <row r="32" spans="1:144" s="59" customFormat="1" ht="34.5" customHeight="1">
      <c r="A32" s="364" t="s">
        <v>40</v>
      </c>
      <c r="B32" s="313"/>
      <c r="C32" s="254">
        <f>(конс.!DK32/конс.!AW32*100)-100</f>
        <v>-18.238993710691815</v>
      </c>
      <c r="D32" s="254">
        <f>(конс.!DL32/конс.!AX32*100)-100</f>
        <v>-100</v>
      </c>
      <c r="E32" s="253">
        <f>(конс.!DS31/конс.!BA31*100)-100</f>
        <v>0</v>
      </c>
      <c r="F32" s="253" t="e">
        <f>(конс.!DT31/конс.!BB31*100)-100</f>
        <v>#DIV/0!</v>
      </c>
      <c r="G32" s="253">
        <f>(конс.!BA32/конс.!G32*100)-100</f>
        <v>-15.037593984962399</v>
      </c>
      <c r="H32" s="253">
        <f>(конс.!BB32/конс.!H32*100)-100</f>
        <v>-100</v>
      </c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</row>
    <row r="33" spans="1:144" s="64" customFormat="1" ht="33" customHeight="1">
      <c r="A33" s="364" t="s">
        <v>232</v>
      </c>
      <c r="B33" s="313"/>
      <c r="C33" s="254">
        <f>(конс.!DK33/конс.!AW33*100)-100</f>
        <v>-7.5363044566850306</v>
      </c>
      <c r="D33" s="254">
        <f>(конс.!DL33/конс.!AX33*100)-100</f>
        <v>-100</v>
      </c>
      <c r="E33" s="253">
        <f>(конс.!DS32/конс.!BA32*100)-100</f>
        <v>0</v>
      </c>
      <c r="F33" s="253" t="e">
        <f>(конс.!DT32/конс.!BB32*100)-100</f>
        <v>#DIV/0!</v>
      </c>
      <c r="G33" s="253">
        <f>(конс.!BA33/конс.!G33*100)-100</f>
        <v>0.86468446601941196</v>
      </c>
      <c r="H33" s="253">
        <f>(конс.!BB33/конс.!H33*100)-100</f>
        <v>-100</v>
      </c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</row>
    <row r="34" spans="1:144" s="64" customFormat="1" ht="38.25" customHeight="1">
      <c r="A34" s="213" t="s">
        <v>239</v>
      </c>
      <c r="B34" s="220"/>
      <c r="C34" s="254">
        <f>(конс.!DK34/конс.!AW34*100)-100</f>
        <v>-7.489979959919836</v>
      </c>
      <c r="D34" s="254">
        <f>(конс.!DL34/конс.!AX34*100)-100</f>
        <v>-100</v>
      </c>
      <c r="E34" s="253">
        <f>(конс.!DS33/конс.!BA33*100)-100</f>
        <v>0</v>
      </c>
      <c r="F34" s="253" t="e">
        <f>(конс.!DT33/конс.!BB33*100)-100</f>
        <v>#DIV/0!</v>
      </c>
      <c r="G34" s="253">
        <f>(конс.!BA34/конс.!G34*100)-100</f>
        <v>4.8400064319022391</v>
      </c>
      <c r="H34" s="253">
        <f>(конс.!BB34/конс.!H34*100)-100</f>
        <v>-100</v>
      </c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</row>
    <row r="35" spans="1:144" s="64" customFormat="1" ht="53.25" customHeight="1">
      <c r="A35" s="213" t="s">
        <v>240</v>
      </c>
      <c r="B35" s="220"/>
      <c r="C35" s="254" t="e">
        <f>(конс.!DK35/конс.!AW35*100)-100</f>
        <v>#DIV/0!</v>
      </c>
      <c r="D35" s="254" t="e">
        <f>(конс.!DL35/конс.!AX35*100)-100</f>
        <v>#DIV/0!</v>
      </c>
      <c r="E35" s="253">
        <f>(конс.!DS34/конс.!BA34*100)-100</f>
        <v>0</v>
      </c>
      <c r="F35" s="253" t="e">
        <f>(конс.!DT34/конс.!BB34*100)-100</f>
        <v>#DIV/0!</v>
      </c>
      <c r="G35" s="253">
        <f>(конс.!BA35/конс.!G35*100)-100</f>
        <v>-60.06191950464396</v>
      </c>
      <c r="H35" s="253">
        <f>(конс.!BB35/конс.!H35*100)-100</f>
        <v>-100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</row>
    <row r="36" spans="1:144" s="64" customFormat="1" ht="18" customHeight="1">
      <c r="A36" s="213" t="s">
        <v>243</v>
      </c>
      <c r="B36" s="220"/>
      <c r="C36" s="254">
        <f>(конс.!DK36/конс.!AW36*100)-100</f>
        <v>-100</v>
      </c>
      <c r="D36" s="254" t="e">
        <f>(конс.!DL36/конс.!AX36*100)-100</f>
        <v>#DIV/0!</v>
      </c>
      <c r="E36" s="253">
        <f>(конс.!DS35/конс.!BA35*100)-100</f>
        <v>0</v>
      </c>
      <c r="F36" s="253" t="e">
        <f>(конс.!DT35/конс.!BB35*100)-100</f>
        <v>#DIV/0!</v>
      </c>
      <c r="G36" s="253">
        <f>(конс.!BA36/конс.!G36*100)-100</f>
        <v>-100</v>
      </c>
      <c r="H36" s="253">
        <f>(конс.!BB36/конс.!H36*100)-100</f>
        <v>-100</v>
      </c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</row>
    <row r="37" spans="1:144" s="64" customFormat="1" ht="39.75" customHeight="1">
      <c r="A37" s="364" t="s">
        <v>89</v>
      </c>
      <c r="B37" s="313"/>
      <c r="C37" s="254">
        <f>(конс.!DK37/конс.!AW37*100)-100</f>
        <v>-98.008849557522126</v>
      </c>
      <c r="D37" s="254">
        <f>(конс.!DL37/конс.!AX37*100)-100</f>
        <v>-100</v>
      </c>
      <c r="E37" s="253" t="e">
        <f>(конс.!DS36/конс.!BA36*100)-100</f>
        <v>#DIV/0!</v>
      </c>
      <c r="F37" s="253" t="e">
        <f>(конс.!DT36/конс.!BB36*100)-100</f>
        <v>#DIV/0!</v>
      </c>
      <c r="G37" s="253">
        <f>(конс.!BA37/конс.!G37*100)-100</f>
        <v>-100</v>
      </c>
      <c r="H37" s="253">
        <f>(конс.!BB37/конс.!H37*100)-100</f>
        <v>-100</v>
      </c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</row>
    <row r="38" spans="1:144" s="64" customFormat="1" ht="18" customHeight="1">
      <c r="A38" s="364" t="s">
        <v>229</v>
      </c>
      <c r="B38" s="313"/>
      <c r="C38" s="254">
        <f>(конс.!DK38/конс.!AW38*100)-100</f>
        <v>-81.818181818181813</v>
      </c>
      <c r="D38" s="254">
        <f>(конс.!DL38/конс.!AX38*100)-100</f>
        <v>-100</v>
      </c>
      <c r="E38" s="253" t="e">
        <f>(конс.!DS37/конс.!BA37*100)-100</f>
        <v>#DIV/0!</v>
      </c>
      <c r="F38" s="253" t="e">
        <f>(конс.!DT37/конс.!BB37*100)-100</f>
        <v>#DIV/0!</v>
      </c>
      <c r="G38" s="253">
        <f>(конс.!BA38/конс.!G38*100)-100</f>
        <v>-71.735443753533076</v>
      </c>
      <c r="H38" s="253">
        <f>(конс.!BB38/конс.!H38*100)-100</f>
        <v>-100</v>
      </c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</row>
    <row r="39" spans="1:144" s="64" customFormat="1" ht="34.5" customHeight="1">
      <c r="A39" s="213" t="s">
        <v>230</v>
      </c>
      <c r="B39" s="220"/>
      <c r="C39" s="254">
        <f>(конс.!DK39/конс.!AW39*100)-100</f>
        <v>-76.744186046511629</v>
      </c>
      <c r="D39" s="254">
        <f>(конс.!DL39/конс.!AX39*100)-100</f>
        <v>-100</v>
      </c>
      <c r="E39" s="253">
        <f>(конс.!DS38/конс.!BA38*100)-100</f>
        <v>0</v>
      </c>
      <c r="F39" s="253" t="e">
        <f>(конс.!DT38/конс.!BB38*100)-100</f>
        <v>#DIV/0!</v>
      </c>
      <c r="G39" s="253">
        <f>(конс.!BA39/конс.!G39*100)-100</f>
        <v>-71.14829774956722</v>
      </c>
      <c r="H39" s="253">
        <f>(конс.!BB39/конс.!H39*100)-100</f>
        <v>-100</v>
      </c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</row>
    <row r="40" spans="1:144" s="66" customFormat="1" ht="31.9" customHeight="1">
      <c r="A40" s="213" t="s">
        <v>231</v>
      </c>
      <c r="B40" s="220"/>
      <c r="C40" s="254">
        <f>(конс.!DK40/конс.!AW40*100)-100</f>
        <v>-100</v>
      </c>
      <c r="D40" s="254">
        <f>(конс.!DL40/конс.!AX40*100)-100</f>
        <v>-100</v>
      </c>
      <c r="E40" s="253">
        <f>(конс.!DS39/конс.!BA39*100)-100</f>
        <v>0</v>
      </c>
      <c r="F40" s="253" t="e">
        <f>(конс.!DT39/конс.!BB39*100)-100</f>
        <v>#DIV/0!</v>
      </c>
      <c r="G40" s="253">
        <f>(конс.!BA40/конс.!G40*100)-100</f>
        <v>-100</v>
      </c>
      <c r="H40" s="253">
        <f>(конс.!BB40/конс.!H40*100)-100</f>
        <v>-100</v>
      </c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</row>
    <row r="41" spans="1:144" s="66" customFormat="1" ht="42" customHeight="1">
      <c r="A41" s="364" t="s">
        <v>233</v>
      </c>
      <c r="B41" s="313"/>
      <c r="C41" s="254">
        <f>(конс.!DK41/конс.!AW41*100)-100</f>
        <v>36.25</v>
      </c>
      <c r="D41" s="254">
        <f>(конс.!DL41/конс.!AX41*100)-100</f>
        <v>-100</v>
      </c>
      <c r="E41" s="253" t="e">
        <f>(конс.!DS40/конс.!BA40*100)-100</f>
        <v>#DIV/0!</v>
      </c>
      <c r="F41" s="253" t="e">
        <f>(конс.!DT40/конс.!BB40*100)-100</f>
        <v>#DIV/0!</v>
      </c>
      <c r="G41" s="253">
        <f>(конс.!BA41/конс.!G41*100)-100</f>
        <v>-32.024793388429757</v>
      </c>
      <c r="H41" s="253">
        <f>(конс.!BB41/конс.!H41*100)-100</f>
        <v>-100</v>
      </c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</row>
    <row r="42" spans="1:144" s="18" customFormat="1" ht="33">
      <c r="A42" s="213" t="s">
        <v>234</v>
      </c>
      <c r="B42" s="220"/>
      <c r="C42" s="254">
        <f>(конс.!DK42/конс.!AW42*100)-100</f>
        <v>-100</v>
      </c>
      <c r="D42" s="254">
        <f>(конс.!DL42/конс.!AX42*100)-100</f>
        <v>-100</v>
      </c>
      <c r="E42" s="253">
        <f>(конс.!DS41/конс.!BA41*100)-100</f>
        <v>0</v>
      </c>
      <c r="F42" s="253" t="e">
        <f>(конс.!DT41/конс.!BB41*100)-100</f>
        <v>#DIV/0!</v>
      </c>
      <c r="G42" s="253">
        <f>(конс.!BA42/конс.!G42*100)-100</f>
        <v>-25.423728813559322</v>
      </c>
      <c r="H42" s="253">
        <f>(конс.!BB42/конс.!H42*100)-100</f>
        <v>-100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</row>
    <row r="43" spans="1:144" s="18" customFormat="1" ht="26.25" customHeight="1">
      <c r="A43" s="364" t="s">
        <v>43</v>
      </c>
      <c r="B43" s="313"/>
      <c r="C43" s="254">
        <f>(конс.!DK43/конс.!AW43*100)-100</f>
        <v>-1817.3913043478262</v>
      </c>
      <c r="D43" s="254">
        <f>(конс.!DL43/конс.!AX43*100)-100</f>
        <v>-100</v>
      </c>
      <c r="E43" s="253">
        <f>(конс.!DS42/конс.!BA42*100)-100</f>
        <v>0</v>
      </c>
      <c r="F43" s="253" t="e">
        <f>(конс.!DT42/конс.!BB42*100)-100</f>
        <v>#DIV/0!</v>
      </c>
      <c r="G43" s="253">
        <f>(конс.!BA43/конс.!G43*100)-100</f>
        <v>-100</v>
      </c>
      <c r="H43" s="253">
        <f>(конс.!BB43/конс.!H43*100)-100</f>
        <v>-100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</row>
    <row r="44" spans="1:144" s="18" customFormat="1" ht="24.6" customHeight="1">
      <c r="A44" s="354" t="s">
        <v>44</v>
      </c>
      <c r="B44" s="315"/>
      <c r="C44" s="254">
        <f>(конс.!DK44/конс.!AW44*100)-100</f>
        <v>-5.7123963579022359</v>
      </c>
      <c r="D44" s="254">
        <f>(конс.!DL44/конс.!AX44*100)-100</f>
        <v>-100</v>
      </c>
      <c r="E44" s="253">
        <f>(конс.!DS44/конс.!BA44*100)-100</f>
        <v>10.701909868391908</v>
      </c>
      <c r="F44" s="253" t="e">
        <f>(конс.!DT44/конс.!BB44*100)-100</f>
        <v>#DIV/0!</v>
      </c>
      <c r="G44" s="253">
        <f>(конс.!BA44/конс.!G44*100)-100</f>
        <v>-50.45169166184548</v>
      </c>
      <c r="H44" s="253">
        <f>(конс.!BB44/конс.!H44*100)-100</f>
        <v>-100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</row>
    <row r="45" spans="1:144" s="68" customFormat="1" ht="17.25" customHeight="1">
      <c r="A45" s="354" t="s">
        <v>184</v>
      </c>
      <c r="B45" s="315"/>
      <c r="C45" s="254">
        <f>(конс.!DK45/конс.!AW45*100)-100</f>
        <v>20.122942341224118</v>
      </c>
      <c r="D45" s="254">
        <f>(конс.!DL45/конс.!AX45*100)-100</f>
        <v>-100</v>
      </c>
      <c r="E45" s="253">
        <f>(конс.!DS44/конс.!BA44*100)-100</f>
        <v>10.701909868391908</v>
      </c>
      <c r="F45" s="253" t="e">
        <f>(конс.!DT44/конс.!BB44*100)-100</f>
        <v>#DIV/0!</v>
      </c>
      <c r="G45" s="253">
        <f>(конс.!BA45/конс.!G45*100)-100</f>
        <v>-22.21255919914546</v>
      </c>
      <c r="H45" s="253">
        <f>(конс.!BB45/конс.!H45*100)-100</f>
        <v>-100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</row>
    <row r="46" spans="1:144" s="64" customFormat="1" ht="18" customHeight="1">
      <c r="A46" s="353" t="s">
        <v>188</v>
      </c>
      <c r="B46" s="299"/>
      <c r="C46" s="254">
        <f>(конс.!DK46/конс.!AW46*100)-100</f>
        <v>24.630759986084328</v>
      </c>
      <c r="D46" s="254">
        <f>(конс.!DL46/конс.!AX46*100)-100</f>
        <v>-100</v>
      </c>
      <c r="E46" s="253">
        <f>(конс.!DS45/конс.!BA45*100)-100</f>
        <v>0</v>
      </c>
      <c r="F46" s="253" t="e">
        <f>(конс.!DT45/конс.!BB45*100)-100</f>
        <v>#DIV/0!</v>
      </c>
      <c r="G46" s="253">
        <f>(конс.!BA46/конс.!G46*100)-100</f>
        <v>6.40422232499931</v>
      </c>
      <c r="H46" s="253">
        <f>(конс.!BB46/конс.!H46*100)-100</f>
        <v>-100</v>
      </c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</row>
    <row r="47" spans="1:144" s="68" customFormat="1" ht="18" customHeight="1">
      <c r="A47" s="353" t="s">
        <v>189</v>
      </c>
      <c r="B47" s="299"/>
      <c r="C47" s="254" t="e">
        <f>(конс.!DK47/конс.!AW47*100)-100</f>
        <v>#DIV/0!</v>
      </c>
      <c r="D47" s="254" t="e">
        <f>(конс.!DL47/конс.!AX47*100)-100</f>
        <v>#DIV/0!</v>
      </c>
      <c r="E47" s="253">
        <f>(конс.!DS46/конс.!BA46*100)-100</f>
        <v>0</v>
      </c>
      <c r="F47" s="253" t="e">
        <f>(конс.!DT46/конс.!BB46*100)-100</f>
        <v>#DIV/0!</v>
      </c>
      <c r="G47" s="253">
        <f>(конс.!BA47/конс.!G47*100)-100</f>
        <v>-100</v>
      </c>
      <c r="H47" s="253">
        <f>(конс.!BB47/конс.!H47*100)-100</f>
        <v>-100</v>
      </c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</row>
    <row r="48" spans="1:144" s="68" customFormat="1" ht="18" customHeight="1">
      <c r="A48" s="226" t="s">
        <v>190</v>
      </c>
      <c r="B48" s="223"/>
      <c r="C48" s="254">
        <f>(конс.!DK48/конс.!AW48*100)-100</f>
        <v>-100</v>
      </c>
      <c r="D48" s="254">
        <f>(конс.!DL48/конс.!AX48*100)-100</f>
        <v>-100</v>
      </c>
      <c r="E48" s="253" t="e">
        <f>(конс.!DS47/конс.!BA47*100)-100</f>
        <v>#DIV/0!</v>
      </c>
      <c r="F48" s="253" t="e">
        <f>(конс.!DT47/конс.!BB47*100)-100</f>
        <v>#DIV/0!</v>
      </c>
      <c r="G48" s="253">
        <f>(конс.!BA48/конс.!G48*100)-100</f>
        <v>-100</v>
      </c>
      <c r="H48" s="253">
        <f>(конс.!BB48/конс.!H48*100)-100</f>
        <v>-100</v>
      </c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</row>
    <row r="49" spans="1:144" s="68" customFormat="1" ht="36.75" customHeight="1">
      <c r="A49" s="353" t="s">
        <v>191</v>
      </c>
      <c r="B49" s="299"/>
      <c r="C49" s="254" t="e">
        <f>(конс.!DK49/конс.!AW49*100)-100</f>
        <v>#DIV/0!</v>
      </c>
      <c r="D49" s="254" t="e">
        <f>(конс.!DL49/конс.!AX49*100)-100</f>
        <v>#DIV/0!</v>
      </c>
      <c r="E49" s="253" t="e">
        <f>(конс.!DS48/конс.!BA48*100)-100</f>
        <v>#DIV/0!</v>
      </c>
      <c r="F49" s="253" t="e">
        <f>(конс.!DT48/конс.!BB48*100)-100</f>
        <v>#DIV/0!</v>
      </c>
      <c r="G49" s="253" t="e">
        <f>(конс.!BA49/конс.!G49*100)-100</f>
        <v>#DIV/0!</v>
      </c>
      <c r="H49" s="253" t="e">
        <f>(конс.!BB49/конс.!H49*100)-100</f>
        <v>#DIV/0!</v>
      </c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</row>
    <row r="50" spans="1:144" s="68" customFormat="1" ht="49.5">
      <c r="A50" s="226" t="s">
        <v>192</v>
      </c>
      <c r="B50" s="223"/>
      <c r="C50" s="254">
        <f>(конс.!DK50/конс.!AW50*100)-100</f>
        <v>2.3966942148760211</v>
      </c>
      <c r="D50" s="254">
        <f>(конс.!DL50/конс.!AX50*100)-100</f>
        <v>-100</v>
      </c>
      <c r="E50" s="253" t="e">
        <f>(конс.!DS49/конс.!BA49*100)-100</f>
        <v>#DIV/0!</v>
      </c>
      <c r="F50" s="253" t="e">
        <f>(конс.!DT49/конс.!BB49*100)-100</f>
        <v>#DIV/0!</v>
      </c>
      <c r="G50" s="253">
        <f>(конс.!BA50/конс.!G50*100)-100</f>
        <v>-44.951272333513806</v>
      </c>
      <c r="H50" s="253">
        <f>(конс.!BB50/конс.!H50*100)-100</f>
        <v>-100</v>
      </c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</row>
    <row r="51" spans="1:144" s="68" customFormat="1" ht="42.75" customHeight="1">
      <c r="A51" s="353" t="s">
        <v>193</v>
      </c>
      <c r="B51" s="299"/>
      <c r="C51" s="254" t="e">
        <f>(конс.!DK51/конс.!AW51*100)-100</f>
        <v>#DIV/0!</v>
      </c>
      <c r="D51" s="254">
        <f>(конс.!DL51/конс.!AX51*100)-100</f>
        <v>-100</v>
      </c>
      <c r="E51" s="253">
        <f>(конс.!DS50/конс.!BA50*100)-100</f>
        <v>0</v>
      </c>
      <c r="F51" s="253" t="e">
        <f>(конс.!DT50/конс.!BB50*100)-100</f>
        <v>#DIV/0!</v>
      </c>
      <c r="G51" s="253" t="e">
        <f>(конс.!BA51/конс.!G51*100)-100</f>
        <v>#DIV/0!</v>
      </c>
      <c r="H51" s="253">
        <f>(конс.!BB51/конс.!H51*100)-100</f>
        <v>-100</v>
      </c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</row>
    <row r="52" spans="1:144" s="68" customFormat="1" ht="17.25">
      <c r="A52" s="354" t="s">
        <v>185</v>
      </c>
      <c r="B52" s="315"/>
      <c r="C52" s="254">
        <f>(конс.!DK52/конс.!AW52*100)-100</f>
        <v>-23.166540943759955</v>
      </c>
      <c r="D52" s="254">
        <f>(конс.!DL52/конс.!AX52*100)-100</f>
        <v>-100</v>
      </c>
      <c r="E52" s="253" t="e">
        <f>(конс.!DS51/конс.!BA51*100)-100</f>
        <v>#DIV/0!</v>
      </c>
      <c r="F52" s="253" t="e">
        <f>(конс.!DT51/конс.!BB51*100)-100</f>
        <v>#DIV/0!</v>
      </c>
      <c r="G52" s="253">
        <f>(конс.!BA52/конс.!G52*100)-100</f>
        <v>-52.600432996231071</v>
      </c>
      <c r="H52" s="253">
        <f>(конс.!BB52/конс.!H52*100)-100</f>
        <v>-100</v>
      </c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</row>
    <row r="53" spans="1:144" s="68" customFormat="1" ht="17.25">
      <c r="A53" s="354" t="s">
        <v>186</v>
      </c>
      <c r="B53" s="315"/>
      <c r="C53" s="254">
        <f>(конс.!DK53/конс.!AW53*100)-100</f>
        <v>-100</v>
      </c>
      <c r="D53" s="254" t="e">
        <f>(конс.!DL53/конс.!AX53*100)-100</f>
        <v>#DIV/0!</v>
      </c>
      <c r="E53" s="253">
        <f>(конс.!DS52/конс.!BA52*100)-100</f>
        <v>12.189785203794926</v>
      </c>
      <c r="F53" s="253" t="e">
        <f>(конс.!DT52/конс.!BB52*100)-100</f>
        <v>#DIV/0!</v>
      </c>
      <c r="G53" s="253">
        <f>(конс.!BA53/конс.!G53*100)-100</f>
        <v>-95.305164319248831</v>
      </c>
      <c r="H53" s="253">
        <f>(конс.!BB53/конс.!H53*100)-100</f>
        <v>-100</v>
      </c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</row>
    <row r="54" spans="1:144" s="68" customFormat="1" ht="17.25">
      <c r="A54" s="354" t="s">
        <v>187</v>
      </c>
      <c r="B54" s="315"/>
      <c r="C54" s="254">
        <v>0</v>
      </c>
      <c r="D54" s="254" t="e">
        <f>(конс.!DL54/конс.!AX54*100)-100</f>
        <v>#DIV/0!</v>
      </c>
      <c r="E54" s="253">
        <f>(конс.!DS53/конс.!BA53*100)-100</f>
        <v>0</v>
      </c>
      <c r="F54" s="253" t="e">
        <f>(конс.!DT53/конс.!BB53*100)-100</f>
        <v>#DIV/0!</v>
      </c>
      <c r="G54" s="253">
        <v>0</v>
      </c>
      <c r="H54" s="253" t="e">
        <f>(конс.!BB54/конс.!H54*100)-100</f>
        <v>#DIV/0!</v>
      </c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</row>
    <row r="55" spans="1:144" s="68" customFormat="1" ht="17.25" customHeight="1">
      <c r="A55" s="341" t="s">
        <v>49</v>
      </c>
      <c r="B55" s="280"/>
      <c r="C55" s="252">
        <v>2.48</v>
      </c>
      <c r="D55" s="252">
        <v>1.79</v>
      </c>
      <c r="E55" s="252">
        <v>0.53</v>
      </c>
      <c r="F55" s="252">
        <v>0.55000000000000004</v>
      </c>
      <c r="G55" s="252">
        <v>40.21</v>
      </c>
      <c r="H55" s="252">
        <v>39.97</v>
      </c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</row>
    <row r="56" spans="1:144" s="68" customFormat="1" ht="16.5">
      <c r="A56" s="356" t="s">
        <v>174</v>
      </c>
      <c r="B56" s="303"/>
      <c r="C56" s="252">
        <v>2.44</v>
      </c>
      <c r="D56" s="252">
        <v>2.13</v>
      </c>
      <c r="E56" s="252">
        <v>0</v>
      </c>
      <c r="F56" s="252">
        <v>0</v>
      </c>
      <c r="G56" s="252">
        <v>53.04</v>
      </c>
      <c r="H56" s="252">
        <v>53.62</v>
      </c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</row>
    <row r="57" spans="1:144" s="68" customFormat="1" ht="17.25" customHeight="1">
      <c r="A57" s="356" t="s">
        <v>197</v>
      </c>
      <c r="B57" s="303"/>
      <c r="C57" s="252">
        <v>2.54</v>
      </c>
      <c r="D57" s="252">
        <v>1.07</v>
      </c>
      <c r="E57" s="252">
        <v>2.4</v>
      </c>
      <c r="F57" s="252">
        <v>2.88</v>
      </c>
      <c r="G57" s="252">
        <v>7.98</v>
      </c>
      <c r="H57" s="252">
        <v>1.59</v>
      </c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</row>
    <row r="58" spans="1:144" s="64" customFormat="1" ht="31.5" customHeight="1">
      <c r="A58" s="367" t="s">
        <v>100</v>
      </c>
      <c r="B58" s="311"/>
      <c r="C58" s="254">
        <f>(конс.!DK58/конс.!AW58*100)-100</f>
        <v>13.894590236035768</v>
      </c>
      <c r="D58" s="254">
        <f>(конс.!DL58/конс.!AX58*100)-100</f>
        <v>-100</v>
      </c>
      <c r="E58" s="253">
        <f>(конс.!DS57/конс.!BA57*100)-100</f>
        <v>4.6298504531298192</v>
      </c>
      <c r="F58" s="253" t="e">
        <f>(конс.!DT57/конс.!BB57*100)-100</f>
        <v>#DIV/0!</v>
      </c>
      <c r="G58" s="253">
        <f>(конс.!BA58/конс.!G58*100)-100</f>
        <v>-1.5569202467265484</v>
      </c>
      <c r="H58" s="253">
        <f>(конс.!BB58/конс.!H58*100)-100</f>
        <v>-100</v>
      </c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</row>
    <row r="59" spans="1:144" s="64" customFormat="1" ht="51" customHeight="1">
      <c r="A59" s="358" t="s">
        <v>194</v>
      </c>
      <c r="B59" s="309"/>
      <c r="C59" s="254">
        <f>(конс.!DK59/конс.!AW59*100)-100</f>
        <v>15.095239988865458</v>
      </c>
      <c r="D59" s="254">
        <f>(конс.!DL59/конс.!AX59*100)-100</f>
        <v>-100</v>
      </c>
      <c r="E59" s="253">
        <f>(конс.!DS58/конс.!BA58*100)-100</f>
        <v>2.0006320678236165</v>
      </c>
      <c r="F59" s="253" t="e">
        <f>(конс.!DT58/конс.!BB58*100)-100</f>
        <v>#DIV/0!</v>
      </c>
      <c r="G59" s="253">
        <f>(конс.!BA59/конс.!G59*100)-100</f>
        <v>1.0115177716907056</v>
      </c>
      <c r="H59" s="253">
        <f>(конс.!BB59/конс.!H59*100)-100</f>
        <v>-100</v>
      </c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</row>
    <row r="60" spans="1:144" s="64" customFormat="1" ht="16.5" customHeight="1">
      <c r="A60" s="358" t="s">
        <v>195</v>
      </c>
      <c r="B60" s="309"/>
      <c r="C60" s="254" t="e">
        <f>(конс.!DK60/конс.!AW60*100)-100</f>
        <v>#DIV/0!</v>
      </c>
      <c r="D60" s="254">
        <f>(конс.!DL60/конс.!AX60*100)-100</f>
        <v>-100</v>
      </c>
      <c r="E60" s="253">
        <f>(конс.!DS59/конс.!BA59*100)-100</f>
        <v>0</v>
      </c>
      <c r="F60" s="253" t="e">
        <f>(конс.!DT59/конс.!BB59*100)-100</f>
        <v>#DIV/0!</v>
      </c>
      <c r="G60" s="253" t="e">
        <f>(конс.!BA60/конс.!G60*100)-100</f>
        <v>#DIV/0!</v>
      </c>
      <c r="H60" s="253">
        <f>(конс.!BB60/конс.!H60*100)-100</f>
        <v>-100</v>
      </c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</row>
    <row r="61" spans="1:144" s="72" customFormat="1" ht="17.25">
      <c r="A61" s="358" t="s">
        <v>196</v>
      </c>
      <c r="B61" s="309"/>
      <c r="C61" s="254">
        <f>(конс.!DK61/конс.!AW61*100)-100</f>
        <v>-1.2098456403838043</v>
      </c>
      <c r="D61" s="254" t="e">
        <f>(конс.!DL61/конс.!AX61*100)-100</f>
        <v>#DIV/0!</v>
      </c>
      <c r="E61" s="253" t="e">
        <f>(конс.!DS60/конс.!BA60*100)-100</f>
        <v>#DIV/0!</v>
      </c>
      <c r="F61" s="253" t="e">
        <f>(конс.!DT60/конс.!BB60*100)-100</f>
        <v>#DIV/0!</v>
      </c>
      <c r="G61" s="253">
        <f>(конс.!BA61/конс.!G61*100)-100</f>
        <v>-1.442821517634485</v>
      </c>
      <c r="H61" s="253" t="e">
        <f>(конс.!BB61/конс.!H61*100)-100</f>
        <v>#DIV/0!</v>
      </c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</row>
    <row r="62" spans="1:144" s="75" customFormat="1" ht="18" customHeight="1">
      <c r="A62" s="358" t="s">
        <v>198</v>
      </c>
      <c r="B62" s="309"/>
      <c r="C62" s="254">
        <f>(конс.!DK62/конс.!AW62*100)-100</f>
        <v>-2.1313440788597262</v>
      </c>
      <c r="D62" s="254">
        <f>(конс.!DL62/конс.!AX62*100)-100</f>
        <v>-100</v>
      </c>
      <c r="E62" s="253">
        <f>(конс.!DS61/конс.!BA61*100)-100</f>
        <v>0</v>
      </c>
      <c r="F62" s="253" t="e">
        <f>(конс.!DT61/конс.!BB61*100)-100</f>
        <v>#DIV/0!</v>
      </c>
      <c r="G62" s="253">
        <f>(конс.!BA62/конс.!G62*100)-100</f>
        <v>-15.48293510687796</v>
      </c>
      <c r="H62" s="253">
        <f>(конс.!BB62/конс.!H62*100)-100</f>
        <v>-100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</row>
    <row r="63" spans="1:144" s="75" customFormat="1" ht="39" customHeight="1">
      <c r="A63" s="353" t="s">
        <v>199</v>
      </c>
      <c r="B63" s="299"/>
      <c r="C63" s="254">
        <f>(конс.!DK63/конс.!AW63*100)-100</f>
        <v>-2.7777777777777857</v>
      </c>
      <c r="D63" s="254">
        <f>(конс.!DL63/конс.!AX63*100)-100</f>
        <v>-100</v>
      </c>
      <c r="E63" s="253">
        <f>(конс.!DS62/конс.!BA62*100)-100</f>
        <v>16.659650259067348</v>
      </c>
      <c r="F63" s="253" t="e">
        <f>(конс.!DT62/конс.!BB62*100)-100</f>
        <v>#DIV/0!</v>
      </c>
      <c r="G63" s="253">
        <f>(конс.!BA63/конс.!G63*100)-100</f>
        <v>5.2819414703782996</v>
      </c>
      <c r="H63" s="253">
        <f>(конс.!BB63/конс.!H63*100)-100</f>
        <v>-100</v>
      </c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</row>
    <row r="64" spans="1:144" s="77" customFormat="1" ht="44.25" customHeight="1">
      <c r="A64" s="353" t="s">
        <v>200</v>
      </c>
      <c r="B64" s="299"/>
      <c r="C64" s="254" t="e">
        <f>(конс.!DK64/конс.!AW64*100)-100</f>
        <v>#DIV/0!</v>
      </c>
      <c r="D64" s="254" t="e">
        <f>(конс.!DL64/конс.!AX64*100)-100</f>
        <v>#DIV/0!</v>
      </c>
      <c r="E64" s="253">
        <f>(конс.!DS63/конс.!BA63*100)-100</f>
        <v>0</v>
      </c>
      <c r="F64" s="253" t="e">
        <f>(конс.!DT63/конс.!BB63*100)-100</f>
        <v>#DIV/0!</v>
      </c>
      <c r="G64" s="253" t="s">
        <v>249</v>
      </c>
      <c r="H64" s="253" t="s">
        <v>249</v>
      </c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</row>
    <row r="65" spans="1:144" s="75" customFormat="1" ht="37.5" customHeight="1">
      <c r="A65" s="225" t="s">
        <v>202</v>
      </c>
      <c r="B65" s="222"/>
      <c r="C65" s="254" t="e">
        <f>(конс.!DK65/конс.!AW65*100)-100</f>
        <v>#DIV/0!</v>
      </c>
      <c r="D65" s="254" t="e">
        <f>(конс.!DL65/конс.!AX65*100)-100</f>
        <v>#DIV/0!</v>
      </c>
      <c r="E65" s="253">
        <f>(конс.!DS64/конс.!BA64*100)-100</f>
        <v>0</v>
      </c>
      <c r="F65" s="253" t="e">
        <f>(конс.!DT64/конс.!BB64*100)-100</f>
        <v>#DIV/0!</v>
      </c>
      <c r="G65" s="253">
        <f>(конс.!BA65/конс.!G65*100)-100</f>
        <v>634</v>
      </c>
      <c r="H65" s="253">
        <f>(конс.!BB65/конс.!H65*100)-100</f>
        <v>-100</v>
      </c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</row>
    <row r="66" spans="1:144" s="66" customFormat="1" ht="31.5" customHeight="1">
      <c r="A66" s="225" t="s">
        <v>201</v>
      </c>
      <c r="B66" s="222"/>
      <c r="C66" s="254">
        <f>(конс.!DK66/конс.!AW66*100)-100</f>
        <v>-98.994974874371863</v>
      </c>
      <c r="D66" s="254">
        <f>(конс.!DL66/конс.!AX66*100)-100</f>
        <v>-100</v>
      </c>
      <c r="E66" s="253">
        <f>(конс.!DS65/конс.!BA65*100)-100</f>
        <v>0</v>
      </c>
      <c r="F66" s="253" t="e">
        <f>(конс.!DT65/конс.!BB65*100)-100</f>
        <v>#DIV/0!</v>
      </c>
      <c r="G66" s="253">
        <f>(конс.!BA66/конс.!G66*100)-100</f>
        <v>-93.087121212121218</v>
      </c>
      <c r="H66" s="253">
        <f>(конс.!BB66/конс.!H66*100)-100</f>
        <v>-100</v>
      </c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1:144" s="66" customFormat="1" ht="18" customHeight="1">
      <c r="A67" s="225" t="s">
        <v>203</v>
      </c>
      <c r="B67" s="222"/>
      <c r="C67" s="254" t="e">
        <f>(конс.!DK67/конс.!AW67*100)-100</f>
        <v>#DIV/0!</v>
      </c>
      <c r="D67" s="254" t="e">
        <f>(конс.!DL67/конс.!AX67*100)-100</f>
        <v>#DIV/0!</v>
      </c>
      <c r="E67" s="253">
        <f>(конс.!DS66/конс.!BA66*100)-100</f>
        <v>0</v>
      </c>
      <c r="F67" s="253" t="e">
        <f>(конс.!DT66/конс.!BB66*100)-100</f>
        <v>#DIV/0!</v>
      </c>
      <c r="G67" s="253" t="e">
        <f>(конс.!BA67/конс.!G67*100)-100</f>
        <v>#DIV/0!</v>
      </c>
      <c r="H67" s="253" t="e">
        <f>(конс.!BB67/конс.!H67*100)-100</f>
        <v>#DIV/0!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1:144" s="79" customFormat="1" ht="50.25" customHeight="1">
      <c r="A68" s="348" t="s">
        <v>204</v>
      </c>
      <c r="B68" s="291"/>
      <c r="C68" s="254">
        <f>(конс.!DK68/конс.!AW68*100)-100</f>
        <v>14.402173913043484</v>
      </c>
      <c r="D68" s="254">
        <f>(конс.!DL68/конс.!AX68*100)-100</f>
        <v>-100</v>
      </c>
      <c r="E68" s="253" t="e">
        <f>(конс.!DS67/конс.!BA67*100)-100</f>
        <v>#DIV/0!</v>
      </c>
      <c r="F68" s="253" t="e">
        <f>(конс.!DT67/конс.!BB67*100)-100</f>
        <v>#DIV/0!</v>
      </c>
      <c r="G68" s="253">
        <f>(конс.!BA68/конс.!G68*100)-100</f>
        <v>-10.771889400921665</v>
      </c>
      <c r="H68" s="253">
        <f>(конс.!BB68/конс.!H68*100)-100</f>
        <v>-100</v>
      </c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1:144" s="64" customFormat="1" ht="18" customHeight="1">
      <c r="A69" s="348" t="s">
        <v>205</v>
      </c>
      <c r="B69" s="291"/>
      <c r="C69" s="254" t="e">
        <f>(конс.!DK69/конс.!AW69*100)-100</f>
        <v>#DIV/0!</v>
      </c>
      <c r="D69" s="254" t="e">
        <f>(конс.!DL69/конс.!AX69*100)-100</f>
        <v>#DIV/0!</v>
      </c>
      <c r="E69" s="253">
        <f>(конс.!DS68/конс.!BA68*100)-100</f>
        <v>0</v>
      </c>
      <c r="F69" s="253" t="e">
        <f>(конс.!DT68/конс.!BB68*100)-100</f>
        <v>#DIV/0!</v>
      </c>
      <c r="G69" s="253" t="e">
        <f>(конс.!BA69/конс.!G69*100)-100</f>
        <v>#DIV/0!</v>
      </c>
      <c r="H69" s="253" t="e">
        <f>(конс.!BB69/конс.!H69*100)-100</f>
        <v>#DIV/0!</v>
      </c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</row>
    <row r="70" spans="1:144" s="64" customFormat="1" ht="57.75" customHeight="1">
      <c r="A70" s="348" t="s">
        <v>206</v>
      </c>
      <c r="B70" s="291"/>
      <c r="C70" s="254">
        <f>(конс.!DK70/конс.!AW70*100)-100</f>
        <v>-47.323340471092081</v>
      </c>
      <c r="D70" s="254">
        <f>(конс.!DL70/конс.!AX70*100)-100</f>
        <v>-100</v>
      </c>
      <c r="E70" s="253">
        <f>(конс.!DS69/конс.!BA69*100)-100</f>
        <v>0</v>
      </c>
      <c r="F70" s="253" t="e">
        <f>(конс.!DT69/конс.!BB69*100)-100</f>
        <v>#DIV/0!</v>
      </c>
      <c r="G70" s="253">
        <f>(конс.!BA70/конс.!G70*100)-100</f>
        <v>4.1395469929705939</v>
      </c>
      <c r="H70" s="253">
        <f>(конс.!BB70/конс.!H70*100)-100</f>
        <v>-100</v>
      </c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</row>
    <row r="71" spans="1:144" s="75" customFormat="1" ht="59.25" customHeight="1">
      <c r="A71" s="348" t="s">
        <v>207</v>
      </c>
      <c r="B71" s="291"/>
      <c r="C71" s="254">
        <f>(конс.!DK71/конс.!AW71*100)-100</f>
        <v>4.8775964391691389</v>
      </c>
      <c r="D71" s="254">
        <f>(конс.!DL71/конс.!AX71*100)-100</f>
        <v>-100</v>
      </c>
      <c r="E71" s="253">
        <f>(конс.!DS70/конс.!BA70*100)-100</f>
        <v>0</v>
      </c>
      <c r="F71" s="253" t="e">
        <f>(конс.!DT70/конс.!BB70*100)-100</f>
        <v>#DIV/0!</v>
      </c>
      <c r="G71" s="253">
        <f>(конс.!BA71/конс.!G71*100)-100</f>
        <v>-18.348003944629099</v>
      </c>
      <c r="H71" s="253">
        <f>(конс.!BB71/конс.!H71*100)-100</f>
        <v>-100</v>
      </c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</row>
    <row r="72" spans="1:144" s="66" customFormat="1" ht="18" customHeight="1">
      <c r="A72" s="348" t="s">
        <v>133</v>
      </c>
      <c r="B72" s="291"/>
      <c r="C72" s="254" t="e">
        <f>(конс.!DK72/конс.!AW72*100)-100</f>
        <v>#DIV/0!</v>
      </c>
      <c r="D72" s="254" t="e">
        <f>(конс.!DL72/конс.!AX72*100)-100</f>
        <v>#DIV/0!</v>
      </c>
      <c r="E72" s="253">
        <f>(конс.!DS71/конс.!BA71*100)-100</f>
        <v>23.012234125830332</v>
      </c>
      <c r="F72" s="253" t="e">
        <f>(конс.!DT71/конс.!BB71*100)-100</f>
        <v>#DIV/0!</v>
      </c>
      <c r="G72" s="253" t="e">
        <f>(конс.!BA72/конс.!G72*100)-100</f>
        <v>#DIV/0!</v>
      </c>
      <c r="H72" s="253" t="e">
        <f>(конс.!BB72/конс.!H72*100)-100</f>
        <v>#DIV/0!</v>
      </c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1:144" s="66" customFormat="1" ht="84.75" customHeight="1">
      <c r="A73" s="348" t="s">
        <v>208</v>
      </c>
      <c r="B73" s="291"/>
      <c r="C73" s="254">
        <f>(конс.!DK73/конс.!AW73*100)-100</f>
        <v>7.5156576200417646</v>
      </c>
      <c r="D73" s="254">
        <f>(конс.!DL73/конс.!AX73*100)-100</f>
        <v>-100</v>
      </c>
      <c r="E73" s="253" t="e">
        <f>(конс.!DS72/конс.!BA72*100)-100</f>
        <v>#DIV/0!</v>
      </c>
      <c r="F73" s="253" t="e">
        <f>(конс.!DT72/конс.!BB72*100)-100</f>
        <v>#DIV/0!</v>
      </c>
      <c r="G73" s="253">
        <f>(конс.!BA73/конс.!G73*100)-100</f>
        <v>7.9023582954075238</v>
      </c>
      <c r="H73" s="253">
        <f>(конс.!BB73/конс.!H73*100)-100</f>
        <v>-100</v>
      </c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1:144" s="34" customFormat="1">
      <c r="A74" s="45"/>
      <c r="B74" s="45"/>
      <c r="C74" s="47"/>
      <c r="D74" s="47"/>
      <c r="E74" s="47"/>
      <c r="F74" s="47"/>
      <c r="G74" s="47"/>
      <c r="H74" s="47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</row>
    <row r="75" spans="1:144" s="34" customFormat="1">
      <c r="A75" s="45"/>
      <c r="B75" s="45"/>
      <c r="C75" s="47"/>
      <c r="D75" s="47"/>
      <c r="E75" s="47"/>
      <c r="F75" s="47"/>
      <c r="G75" s="47"/>
      <c r="H75" s="47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</row>
    <row r="76" spans="1:144" s="34" customFormat="1">
      <c r="A76" s="45"/>
      <c r="B76" s="45"/>
      <c r="C76" s="47"/>
      <c r="D76" s="47"/>
      <c r="E76" s="47"/>
      <c r="F76" s="47"/>
      <c r="G76" s="47"/>
      <c r="H76" s="47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</row>
    <row r="77" spans="1:144" s="34" customFormat="1">
      <c r="A77" s="45"/>
      <c r="B77" s="45"/>
      <c r="C77" s="47"/>
      <c r="D77" s="47"/>
      <c r="E77" s="47"/>
      <c r="F77" s="47"/>
      <c r="G77" s="47"/>
      <c r="H77" s="47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</row>
    <row r="78" spans="1:144" s="34" customFormat="1">
      <c r="A78" s="45"/>
      <c r="B78" s="45"/>
      <c r="C78" s="47"/>
      <c r="D78" s="47"/>
      <c r="E78" s="47"/>
      <c r="F78" s="47"/>
      <c r="G78" s="47"/>
      <c r="H78" s="47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</row>
    <row r="79" spans="1:144" s="34" customFormat="1">
      <c r="A79" s="45"/>
      <c r="B79" s="45"/>
      <c r="C79" s="47"/>
      <c r="D79" s="47"/>
      <c r="E79" s="47"/>
      <c r="F79" s="47"/>
      <c r="G79" s="47"/>
      <c r="H79" s="47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</row>
    <row r="80" spans="1:144" s="34" customFormat="1">
      <c r="A80" s="45"/>
      <c r="B80" s="45"/>
      <c r="C80" s="47"/>
      <c r="D80" s="47"/>
      <c r="E80" s="47"/>
      <c r="F80" s="47"/>
      <c r="G80" s="47"/>
      <c r="H80" s="47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</row>
    <row r="81" spans="1:144" s="34" customFormat="1">
      <c r="A81" s="45"/>
      <c r="B81" s="45"/>
      <c r="C81" s="47"/>
      <c r="D81" s="47"/>
      <c r="E81" s="47"/>
      <c r="F81" s="47"/>
      <c r="G81" s="47"/>
      <c r="H81" s="47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</row>
    <row r="82" spans="1:144" s="34" customFormat="1">
      <c r="A82" s="45"/>
      <c r="B82" s="45"/>
      <c r="C82" s="47"/>
      <c r="D82" s="47"/>
      <c r="E82" s="47"/>
      <c r="F82" s="47"/>
      <c r="G82" s="47"/>
      <c r="H82" s="47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</row>
    <row r="83" spans="1:144" s="34" customFormat="1">
      <c r="A83" s="45"/>
      <c r="B83" s="45"/>
      <c r="C83" s="47"/>
      <c r="D83" s="47"/>
      <c r="E83" s="47"/>
      <c r="F83" s="47"/>
      <c r="G83" s="47"/>
      <c r="H83" s="47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</row>
    <row r="84" spans="1:144" s="34" customFormat="1">
      <c r="A84" s="45"/>
      <c r="B84" s="45"/>
      <c r="C84" s="47"/>
      <c r="D84" s="47"/>
      <c r="E84" s="47"/>
      <c r="F84" s="47"/>
      <c r="G84" s="47"/>
      <c r="H84" s="47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</row>
    <row r="85" spans="1:144" s="34" customFormat="1">
      <c r="A85" s="45"/>
      <c r="B85" s="45"/>
      <c r="C85" s="47"/>
      <c r="D85" s="47"/>
      <c r="E85" s="47"/>
      <c r="F85" s="47"/>
      <c r="G85" s="47"/>
      <c r="H85" s="47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</row>
    <row r="86" spans="1:144" s="34" customFormat="1">
      <c r="A86" s="45"/>
      <c r="B86" s="45"/>
      <c r="C86" s="47"/>
      <c r="D86" s="47"/>
      <c r="E86" s="47"/>
      <c r="F86" s="47"/>
      <c r="G86" s="47"/>
      <c r="H86" s="47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</row>
    <row r="87" spans="1:144" s="34" customFormat="1">
      <c r="A87" s="45"/>
      <c r="B87" s="45"/>
      <c r="C87" s="47"/>
      <c r="D87" s="47"/>
      <c r="E87" s="47"/>
      <c r="F87" s="47"/>
      <c r="G87" s="47"/>
      <c r="H87" s="47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</row>
    <row r="88" spans="1:144" s="34" customFormat="1">
      <c r="A88" s="45"/>
      <c r="B88" s="45"/>
      <c r="C88" s="47"/>
      <c r="D88" s="47"/>
      <c r="E88" s="47"/>
      <c r="F88" s="47"/>
      <c r="G88" s="47"/>
      <c r="H88" s="47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</row>
    <row r="89" spans="1:144" s="34" customFormat="1">
      <c r="A89" s="45"/>
      <c r="B89" s="45"/>
      <c r="C89" s="47"/>
      <c r="D89" s="47"/>
      <c r="E89" s="47"/>
      <c r="F89" s="47"/>
      <c r="G89" s="47"/>
      <c r="H89" s="47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</row>
    <row r="90" spans="1:144" s="34" customFormat="1">
      <c r="A90" s="45"/>
      <c r="B90" s="45"/>
      <c r="C90" s="47"/>
      <c r="D90" s="47"/>
      <c r="E90" s="47"/>
      <c r="F90" s="47"/>
      <c r="G90" s="47"/>
      <c r="H90" s="47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</row>
    <row r="91" spans="1:144" s="34" customFormat="1">
      <c r="A91" s="45"/>
      <c r="B91" s="45"/>
      <c r="C91" s="47"/>
      <c r="D91" s="47"/>
      <c r="E91" s="47"/>
      <c r="F91" s="47"/>
      <c r="G91" s="47"/>
      <c r="H91" s="47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</row>
    <row r="92" spans="1:144" s="34" customFormat="1">
      <c r="A92" s="45"/>
      <c r="B92" s="45"/>
      <c r="C92" s="47"/>
      <c r="D92" s="47"/>
      <c r="E92" s="47"/>
      <c r="F92" s="47"/>
      <c r="G92" s="47"/>
      <c r="H92" s="47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</row>
    <row r="93" spans="1:144" s="34" customFormat="1">
      <c r="A93" s="45"/>
      <c r="B93" s="45"/>
      <c r="C93" s="47"/>
      <c r="D93" s="47"/>
      <c r="E93" s="47"/>
      <c r="F93" s="47"/>
      <c r="G93" s="47"/>
      <c r="H93" s="47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</row>
    <row r="94" spans="1:144" s="34" customFormat="1">
      <c r="A94" s="45"/>
      <c r="B94" s="45"/>
      <c r="C94" s="47"/>
      <c r="D94" s="47"/>
      <c r="E94" s="47"/>
      <c r="F94" s="47"/>
      <c r="G94" s="47"/>
      <c r="H94" s="47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</row>
    <row r="95" spans="1:144" s="34" customFormat="1">
      <c r="A95" s="45"/>
      <c r="B95" s="45"/>
      <c r="C95" s="47"/>
      <c r="D95" s="47"/>
      <c r="E95" s="47"/>
      <c r="F95" s="47"/>
      <c r="G95" s="47"/>
      <c r="H95" s="47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</row>
    <row r="96" spans="1:144" s="34" customFormat="1">
      <c r="A96" s="45"/>
      <c r="B96" s="45"/>
      <c r="C96" s="47"/>
      <c r="D96" s="47"/>
      <c r="E96" s="47"/>
      <c r="F96" s="47"/>
      <c r="G96" s="47"/>
      <c r="H96" s="47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</row>
    <row r="97" spans="1:144" s="34" customFormat="1">
      <c r="A97" s="45"/>
      <c r="B97" s="45"/>
      <c r="C97" s="47"/>
      <c r="D97" s="47"/>
      <c r="E97" s="47"/>
      <c r="F97" s="47"/>
      <c r="G97" s="47"/>
      <c r="H97" s="47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</row>
    <row r="98" spans="1:144" s="34" customFormat="1">
      <c r="A98" s="45"/>
      <c r="B98" s="45"/>
      <c r="C98" s="47"/>
      <c r="D98" s="47"/>
      <c r="E98" s="47"/>
      <c r="F98" s="47"/>
      <c r="G98" s="47"/>
      <c r="H98" s="47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</row>
    <row r="99" spans="1:144" s="34" customFormat="1">
      <c r="A99" s="45"/>
      <c r="B99" s="45"/>
      <c r="C99" s="47"/>
      <c r="D99" s="47"/>
      <c r="E99" s="47"/>
      <c r="F99" s="47"/>
      <c r="G99" s="47"/>
      <c r="H99" s="47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</row>
    <row r="100" spans="1:144" s="34" customFormat="1">
      <c r="A100" s="45"/>
      <c r="B100" s="45"/>
      <c r="C100" s="47"/>
      <c r="D100" s="47"/>
      <c r="E100" s="47"/>
      <c r="F100" s="47"/>
      <c r="G100" s="47"/>
      <c r="H100" s="47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</row>
    <row r="101" spans="1:144" s="34" customFormat="1">
      <c r="A101" s="45"/>
      <c r="B101" s="45"/>
      <c r="C101" s="47"/>
      <c r="D101" s="47"/>
      <c r="E101" s="47"/>
      <c r="F101" s="47"/>
      <c r="G101" s="47"/>
      <c r="H101" s="47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</row>
    <row r="102" spans="1:144" s="34" customFormat="1">
      <c r="A102" s="45"/>
      <c r="B102" s="45"/>
      <c r="C102" s="47"/>
      <c r="D102" s="47"/>
      <c r="E102" s="47"/>
      <c r="F102" s="47"/>
      <c r="G102" s="47"/>
      <c r="H102" s="47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</row>
    <row r="103" spans="1:144" s="34" customFormat="1">
      <c r="A103" s="45"/>
      <c r="B103" s="45"/>
      <c r="C103" s="47"/>
      <c r="D103" s="47"/>
      <c r="E103" s="47"/>
      <c r="F103" s="47"/>
      <c r="G103" s="47"/>
      <c r="H103" s="47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</row>
    <row r="104" spans="1:144" s="34" customFormat="1">
      <c r="A104" s="45"/>
      <c r="B104" s="45"/>
      <c r="C104" s="47"/>
      <c r="D104" s="47"/>
      <c r="E104" s="47"/>
      <c r="F104" s="47"/>
      <c r="G104" s="47"/>
      <c r="H104" s="47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</row>
    <row r="105" spans="1:144" s="34" customFormat="1">
      <c r="A105" s="45"/>
      <c r="B105" s="45"/>
      <c r="C105" s="47"/>
      <c r="D105" s="47"/>
      <c r="E105" s="47"/>
      <c r="F105" s="47"/>
      <c r="G105" s="47"/>
      <c r="H105" s="47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</row>
    <row r="106" spans="1:144" s="34" customFormat="1">
      <c r="A106" s="45"/>
      <c r="B106" s="45"/>
      <c r="C106" s="47"/>
      <c r="D106" s="47"/>
      <c r="E106" s="47"/>
      <c r="F106" s="47"/>
      <c r="G106" s="47"/>
      <c r="H106" s="47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</row>
    <row r="107" spans="1:144" s="34" customFormat="1">
      <c r="A107" s="45"/>
      <c r="B107" s="45"/>
      <c r="C107" s="47"/>
      <c r="D107" s="47"/>
      <c r="E107" s="47"/>
      <c r="F107" s="47"/>
      <c r="G107" s="47"/>
      <c r="H107" s="47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</row>
    <row r="108" spans="1:144" s="34" customFormat="1">
      <c r="A108" s="45"/>
      <c r="B108" s="45"/>
      <c r="C108" s="47"/>
      <c r="D108" s="47"/>
      <c r="E108" s="47"/>
      <c r="F108" s="47"/>
      <c r="G108" s="47"/>
      <c r="H108" s="47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</row>
    <row r="109" spans="1:144" s="2" customFormat="1">
      <c r="A109" s="45"/>
      <c r="B109" s="48"/>
      <c r="C109" s="1"/>
      <c r="D109" s="1"/>
      <c r="E109" s="1"/>
      <c r="F109" s="1"/>
      <c r="G109" s="1"/>
      <c r="H109" s="1"/>
    </row>
    <row r="110" spans="1:144" s="2" customFormat="1">
      <c r="A110" s="45"/>
      <c r="B110" s="48"/>
      <c r="C110" s="1"/>
      <c r="D110" s="1"/>
      <c r="E110" s="1"/>
      <c r="F110" s="1"/>
      <c r="G110" s="1"/>
      <c r="H110" s="1"/>
    </row>
    <row r="111" spans="1:144" s="2" customFormat="1">
      <c r="A111" s="45"/>
      <c r="B111" s="48"/>
      <c r="C111" s="1"/>
      <c r="D111" s="1"/>
      <c r="E111" s="1"/>
      <c r="F111" s="1"/>
      <c r="G111" s="1"/>
      <c r="H111" s="1"/>
    </row>
    <row r="112" spans="1:144" s="2" customFormat="1">
      <c r="A112" s="45"/>
      <c r="B112" s="48"/>
      <c r="C112" s="1"/>
      <c r="D112" s="1"/>
      <c r="E112" s="1"/>
      <c r="F112" s="1"/>
      <c r="G112" s="1"/>
      <c r="H112" s="1"/>
    </row>
    <row r="113" spans="1:8" s="2" customFormat="1">
      <c r="A113" s="45"/>
      <c r="B113" s="48"/>
      <c r="C113" s="1"/>
      <c r="D113" s="1"/>
      <c r="E113" s="1"/>
      <c r="F113" s="1"/>
      <c r="G113" s="1"/>
      <c r="H113" s="1"/>
    </row>
    <row r="114" spans="1:8" s="2" customFormat="1">
      <c r="A114" s="45"/>
      <c r="B114" s="48"/>
      <c r="C114" s="1"/>
      <c r="D114" s="1"/>
      <c r="E114" s="1"/>
      <c r="F114" s="1"/>
      <c r="G114" s="1"/>
      <c r="H114" s="1"/>
    </row>
    <row r="115" spans="1:8" s="2" customFormat="1">
      <c r="A115" s="45"/>
      <c r="B115" s="48"/>
      <c r="C115" s="1"/>
      <c r="D115" s="1"/>
      <c r="E115" s="1"/>
      <c r="F115" s="1"/>
      <c r="G115" s="1"/>
      <c r="H115" s="1"/>
    </row>
    <row r="116" spans="1:8" s="2" customFormat="1">
      <c r="A116" s="45"/>
      <c r="B116" s="48"/>
      <c r="C116" s="1"/>
      <c r="D116" s="1"/>
      <c r="E116" s="1"/>
      <c r="F116" s="1"/>
      <c r="G116" s="1"/>
      <c r="H116" s="1"/>
    </row>
    <row r="117" spans="1:8" s="2" customFormat="1">
      <c r="A117" s="45"/>
      <c r="B117" s="48"/>
      <c r="C117" s="1"/>
      <c r="D117" s="1"/>
      <c r="E117" s="1"/>
      <c r="F117" s="1"/>
      <c r="G117" s="1"/>
      <c r="H117" s="1"/>
    </row>
    <row r="118" spans="1:8" s="2" customFormat="1">
      <c r="A118" s="45"/>
      <c r="B118" s="48"/>
      <c r="C118" s="1"/>
      <c r="D118" s="1"/>
      <c r="E118" s="1"/>
      <c r="F118" s="1"/>
      <c r="G118" s="1"/>
      <c r="H118" s="1"/>
    </row>
    <row r="119" spans="1:8" s="2" customFormat="1">
      <c r="A119" s="45"/>
      <c r="B119" s="48"/>
      <c r="C119" s="1"/>
      <c r="D119" s="1"/>
      <c r="E119" s="1"/>
      <c r="F119" s="1"/>
      <c r="G119" s="1"/>
      <c r="H119" s="1"/>
    </row>
    <row r="120" spans="1:8" s="2" customFormat="1">
      <c r="A120" s="45"/>
      <c r="B120" s="48"/>
      <c r="C120" s="1"/>
      <c r="D120" s="1"/>
      <c r="E120" s="1"/>
      <c r="F120" s="1"/>
      <c r="G120" s="1"/>
      <c r="H120" s="1"/>
    </row>
    <row r="121" spans="1:8" s="2" customFormat="1">
      <c r="A121" s="45"/>
      <c r="B121" s="48"/>
      <c r="C121" s="1"/>
      <c r="D121" s="1"/>
      <c r="E121" s="1"/>
      <c r="F121" s="1"/>
      <c r="G121" s="1"/>
      <c r="H121" s="1"/>
    </row>
    <row r="122" spans="1:8" s="2" customFormat="1">
      <c r="A122" s="48"/>
      <c r="B122" s="48"/>
      <c r="C122" s="1"/>
      <c r="D122" s="1"/>
      <c r="E122" s="1"/>
      <c r="F122" s="1"/>
      <c r="G122" s="1"/>
      <c r="H122" s="1"/>
    </row>
    <row r="123" spans="1:8" s="2" customFormat="1">
      <c r="A123" s="48"/>
      <c r="B123" s="48"/>
      <c r="C123" s="1"/>
      <c r="D123" s="1"/>
      <c r="E123" s="1"/>
      <c r="F123" s="1"/>
      <c r="G123" s="1"/>
      <c r="H123" s="1"/>
    </row>
    <row r="124" spans="1:8" s="2" customFormat="1">
      <c r="A124" s="48"/>
      <c r="B124" s="48"/>
      <c r="C124" s="1"/>
      <c r="D124" s="1"/>
      <c r="E124" s="1"/>
      <c r="F124" s="1"/>
      <c r="G124" s="1"/>
      <c r="H124" s="1"/>
    </row>
    <row r="125" spans="1:8" s="2" customFormat="1">
      <c r="A125" s="48"/>
      <c r="B125" s="48"/>
      <c r="C125" s="1"/>
      <c r="D125" s="1"/>
      <c r="E125" s="1"/>
      <c r="F125" s="1"/>
      <c r="G125" s="1"/>
      <c r="H125" s="1"/>
    </row>
    <row r="126" spans="1:8" s="2" customFormat="1">
      <c r="A126" s="48"/>
      <c r="B126" s="48"/>
      <c r="C126" s="1"/>
      <c r="D126" s="1"/>
      <c r="E126" s="1"/>
      <c r="F126" s="1"/>
      <c r="G126" s="1"/>
      <c r="H126" s="1"/>
    </row>
    <row r="127" spans="1:8" s="2" customFormat="1">
      <c r="A127" s="48"/>
      <c r="B127" s="48"/>
      <c r="C127" s="1"/>
      <c r="D127" s="1"/>
      <c r="E127" s="1"/>
      <c r="F127" s="1"/>
      <c r="G127" s="1"/>
      <c r="H127" s="1"/>
    </row>
    <row r="128" spans="1:8" s="2" customFormat="1">
      <c r="A128" s="48"/>
      <c r="B128" s="48"/>
      <c r="C128" s="1"/>
      <c r="D128" s="1"/>
      <c r="E128" s="1"/>
      <c r="F128" s="1"/>
      <c r="G128" s="1"/>
      <c r="H128" s="1"/>
    </row>
    <row r="129" spans="1:8" s="2" customFormat="1">
      <c r="A129" s="48"/>
      <c r="B129" s="48"/>
      <c r="C129" s="1"/>
      <c r="D129" s="1"/>
      <c r="E129" s="1"/>
      <c r="F129" s="1"/>
      <c r="G129" s="1"/>
      <c r="H129" s="1"/>
    </row>
    <row r="130" spans="1:8" s="2" customFormat="1">
      <c r="A130" s="48"/>
      <c r="B130" s="48"/>
      <c r="C130" s="1"/>
      <c r="D130" s="1"/>
      <c r="E130" s="1"/>
      <c r="F130" s="1"/>
      <c r="G130" s="1"/>
      <c r="H130" s="1"/>
    </row>
    <row r="131" spans="1:8" s="2" customFormat="1">
      <c r="A131" s="48"/>
      <c r="B131" s="48"/>
      <c r="C131" s="1"/>
      <c r="D131" s="1"/>
      <c r="E131" s="1"/>
      <c r="F131" s="1"/>
      <c r="G131" s="1"/>
      <c r="H131" s="1"/>
    </row>
    <row r="132" spans="1:8" s="2" customFormat="1">
      <c r="A132" s="48"/>
      <c r="B132" s="48"/>
      <c r="C132" s="1"/>
      <c r="D132" s="1"/>
      <c r="E132" s="1"/>
      <c r="F132" s="1"/>
      <c r="G132" s="1"/>
      <c r="H132" s="1"/>
    </row>
    <row r="133" spans="1:8" s="2" customFormat="1">
      <c r="A133" s="48"/>
      <c r="B133" s="48"/>
      <c r="C133" s="1"/>
      <c r="D133" s="1"/>
      <c r="E133" s="1"/>
      <c r="F133" s="1"/>
      <c r="G133" s="1"/>
      <c r="H133" s="1"/>
    </row>
    <row r="134" spans="1:8" s="2" customFormat="1">
      <c r="A134" s="48"/>
      <c r="B134" s="48"/>
      <c r="C134" s="1"/>
      <c r="D134" s="1"/>
      <c r="E134" s="1"/>
      <c r="F134" s="1"/>
      <c r="G134" s="1"/>
      <c r="H134" s="1"/>
    </row>
    <row r="135" spans="1:8" s="2" customFormat="1">
      <c r="A135" s="48"/>
      <c r="B135" s="48"/>
      <c r="C135" s="1"/>
      <c r="D135" s="1"/>
      <c r="E135" s="1"/>
      <c r="F135" s="1"/>
      <c r="G135" s="1"/>
      <c r="H135" s="1"/>
    </row>
    <row r="136" spans="1:8" s="2" customFormat="1">
      <c r="A136" s="48"/>
      <c r="B136" s="48"/>
      <c r="C136" s="1"/>
      <c r="D136" s="1"/>
      <c r="E136" s="1"/>
      <c r="F136" s="1"/>
      <c r="G136" s="1"/>
      <c r="H136" s="1"/>
    </row>
    <row r="137" spans="1:8" s="2" customFormat="1">
      <c r="A137" s="48"/>
      <c r="B137" s="48"/>
      <c r="C137" s="1"/>
      <c r="D137" s="1"/>
      <c r="E137" s="1"/>
      <c r="F137" s="1"/>
      <c r="G137" s="1"/>
      <c r="H137" s="1"/>
    </row>
    <row r="138" spans="1:8" s="2" customFormat="1">
      <c r="A138" s="48"/>
      <c r="B138" s="48"/>
      <c r="C138" s="1"/>
      <c r="D138" s="1"/>
      <c r="E138" s="1"/>
      <c r="F138" s="1"/>
      <c r="G138" s="1"/>
      <c r="H138" s="1"/>
    </row>
    <row r="139" spans="1:8" s="2" customFormat="1">
      <c r="A139" s="48"/>
      <c r="B139" s="48"/>
      <c r="C139" s="1"/>
      <c r="D139" s="1"/>
      <c r="E139" s="1"/>
      <c r="F139" s="1"/>
      <c r="G139" s="1"/>
      <c r="H139" s="1"/>
    </row>
    <row r="140" spans="1:8" s="2" customFormat="1">
      <c r="A140" s="48"/>
      <c r="B140" s="48"/>
      <c r="C140" s="1"/>
      <c r="D140" s="1"/>
      <c r="E140" s="1"/>
      <c r="F140" s="1"/>
      <c r="G140" s="1"/>
      <c r="H140" s="1"/>
    </row>
    <row r="141" spans="1:8" s="2" customFormat="1">
      <c r="A141" s="48"/>
      <c r="B141" s="48"/>
      <c r="C141" s="1"/>
      <c r="D141" s="1"/>
      <c r="E141" s="1"/>
      <c r="F141" s="1"/>
      <c r="G141" s="1"/>
      <c r="H141" s="1"/>
    </row>
    <row r="142" spans="1:8" s="2" customFormat="1">
      <c r="A142" s="48"/>
      <c r="B142" s="48"/>
      <c r="C142" s="1"/>
      <c r="D142" s="1"/>
      <c r="E142" s="1"/>
      <c r="F142" s="1"/>
      <c r="G142" s="1"/>
      <c r="H142" s="1"/>
    </row>
    <row r="143" spans="1:8" s="2" customFormat="1">
      <c r="A143" s="48"/>
      <c r="B143" s="48"/>
      <c r="C143" s="1"/>
      <c r="D143" s="1"/>
      <c r="E143" s="1"/>
      <c r="F143" s="1"/>
      <c r="G143" s="1"/>
      <c r="H143" s="1"/>
    </row>
    <row r="144" spans="1:8" s="2" customFormat="1">
      <c r="A144" s="48"/>
      <c r="B144" s="48"/>
      <c r="C144" s="1"/>
      <c r="D144" s="1"/>
      <c r="E144" s="1"/>
      <c r="F144" s="1"/>
      <c r="G144" s="1"/>
      <c r="H144" s="1"/>
    </row>
    <row r="145" spans="1:8" s="2" customFormat="1">
      <c r="A145" s="48"/>
      <c r="B145" s="48"/>
      <c r="C145" s="1"/>
      <c r="D145" s="1"/>
      <c r="E145" s="1"/>
      <c r="F145" s="1"/>
      <c r="G145" s="1"/>
      <c r="H145" s="1"/>
    </row>
    <row r="146" spans="1:8" s="2" customFormat="1">
      <c r="A146" s="48"/>
      <c r="B146" s="48"/>
      <c r="C146" s="1"/>
      <c r="D146" s="1"/>
      <c r="E146" s="1"/>
      <c r="F146" s="1"/>
      <c r="G146" s="1"/>
      <c r="H146" s="1"/>
    </row>
    <row r="147" spans="1:8" s="2" customFormat="1">
      <c r="A147" s="48"/>
      <c r="B147" s="48"/>
      <c r="C147" s="1"/>
      <c r="D147" s="1"/>
      <c r="E147" s="1"/>
      <c r="F147" s="1"/>
      <c r="G147" s="1"/>
      <c r="H147" s="1"/>
    </row>
    <row r="148" spans="1:8" s="2" customFormat="1">
      <c r="A148" s="48"/>
      <c r="B148" s="48"/>
      <c r="C148" s="1"/>
      <c r="D148" s="1"/>
      <c r="E148" s="1"/>
      <c r="F148" s="1"/>
      <c r="G148" s="1"/>
      <c r="H148" s="1"/>
    </row>
    <row r="149" spans="1:8" s="2" customFormat="1">
      <c r="A149" s="48"/>
      <c r="B149" s="48"/>
      <c r="C149" s="1"/>
      <c r="D149" s="1"/>
      <c r="E149" s="1"/>
      <c r="F149" s="1"/>
      <c r="G149" s="1"/>
      <c r="H149" s="1"/>
    </row>
    <row r="150" spans="1:8">
      <c r="A150" s="48"/>
    </row>
    <row r="151" spans="1:8">
      <c r="A151" s="48"/>
    </row>
    <row r="152" spans="1:8">
      <c r="A152" s="48"/>
    </row>
    <row r="153" spans="1:8">
      <c r="A153" s="48"/>
    </row>
    <row r="154" spans="1:8">
      <c r="A154" s="48"/>
    </row>
    <row r="155" spans="1:8">
      <c r="A155" s="48"/>
    </row>
    <row r="156" spans="1:8">
      <c r="A156" s="48"/>
    </row>
    <row r="157" spans="1:8">
      <c r="A157" s="48"/>
    </row>
    <row r="158" spans="1:8">
      <c r="A158" s="48"/>
    </row>
    <row r="159" spans="1:8">
      <c r="A159" s="48"/>
    </row>
    <row r="160" spans="1:8">
      <c r="A160" s="48"/>
    </row>
    <row r="161" spans="1:1">
      <c r="A161" s="48"/>
    </row>
    <row r="162" spans="1:1">
      <c r="A162" s="48"/>
    </row>
  </sheetData>
  <sheetProtection formatColumns="0" formatRows="0"/>
  <mergeCells count="49">
    <mergeCell ref="G6:H8"/>
    <mergeCell ref="C6:D8"/>
    <mergeCell ref="A6:B9"/>
    <mergeCell ref="A23:B23"/>
    <mergeCell ref="A24:B24"/>
    <mergeCell ref="A10:B10"/>
    <mergeCell ref="A12:B12"/>
    <mergeCell ref="E6:F8"/>
    <mergeCell ref="A13:B13"/>
    <mergeCell ref="A16:B16"/>
    <mergeCell ref="A17:B17"/>
    <mergeCell ref="A18:B18"/>
    <mergeCell ref="A20:B20"/>
    <mergeCell ref="A15:B15"/>
    <mergeCell ref="A19:B19"/>
    <mergeCell ref="A45:B45"/>
    <mergeCell ref="A46:B46"/>
    <mergeCell ref="A47:B47"/>
    <mergeCell ref="A52:B52"/>
    <mergeCell ref="A25:B25"/>
    <mergeCell ref="A26:B26"/>
    <mergeCell ref="A41:B41"/>
    <mergeCell ref="A32:B32"/>
    <mergeCell ref="A33:B33"/>
    <mergeCell ref="A37:B37"/>
    <mergeCell ref="A44:B44"/>
    <mergeCell ref="A70:B70"/>
    <mergeCell ref="A71:B71"/>
    <mergeCell ref="A72:B72"/>
    <mergeCell ref="A73:B73"/>
    <mergeCell ref="A63:B63"/>
    <mergeCell ref="A64:B64"/>
    <mergeCell ref="A68:B68"/>
    <mergeCell ref="A3:H3"/>
    <mergeCell ref="A69:B69"/>
    <mergeCell ref="A57:B57"/>
    <mergeCell ref="A58:B58"/>
    <mergeCell ref="A59:B59"/>
    <mergeCell ref="A60:B60"/>
    <mergeCell ref="A61:B61"/>
    <mergeCell ref="A62:B62"/>
    <mergeCell ref="A49:B49"/>
    <mergeCell ref="A51:B51"/>
    <mergeCell ref="A55:B55"/>
    <mergeCell ref="A56:B56"/>
    <mergeCell ref="A43:B43"/>
    <mergeCell ref="A53:B53"/>
    <mergeCell ref="A54:B54"/>
    <mergeCell ref="A38:B38"/>
  </mergeCells>
  <printOptions horizontalCentered="1"/>
  <pageMargins left="0.15748031496062992" right="0.15748031496062992" top="0.27559055118110237" bottom="0.15748031496062992" header="0" footer="0"/>
  <pageSetup paperSize="9" scale="45" orientation="landscape" r:id="rId1"/>
  <headerFooter differentFirst="1" alignWithMargins="0"/>
  <rowBreaks count="2" manualBreakCount="2">
    <brk id="41" max="7" man="1"/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305"/>
  <sheetViews>
    <sheetView zoomScale="70" zoomScaleNormal="70" zoomScaleSheetLayoutView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27" sqref="E27"/>
    </sheetView>
  </sheetViews>
  <sheetFormatPr defaultColWidth="9.33203125" defaultRowHeight="15"/>
  <cols>
    <col min="1" max="1" width="60.6640625" style="50" customWidth="1"/>
    <col min="2" max="2" width="5.5" style="50" customWidth="1"/>
    <col min="3" max="4" width="12.33203125" style="50" customWidth="1"/>
    <col min="5" max="50" width="12.33203125" style="51" customWidth="1"/>
    <col min="51" max="53" width="12.33203125" style="3" customWidth="1"/>
    <col min="54" max="54" width="12.33203125" style="2" customWidth="1"/>
    <col min="55" max="125" width="12.33203125" style="3" customWidth="1"/>
    <col min="126" max="126" width="12.33203125" style="8" customWidth="1"/>
    <col min="127" max="128" width="12.33203125" style="1" customWidth="1"/>
    <col min="129" max="149" width="12.33203125" style="2" customWidth="1"/>
    <col min="150" max="268" width="9.33203125" style="2"/>
    <col min="269" max="16384" width="9.33203125" style="3"/>
  </cols>
  <sheetData>
    <row r="1" spans="1:268" ht="19.5" customHeight="1">
      <c r="C1" s="340" t="s">
        <v>0</v>
      </c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0"/>
      <c r="BK1" s="340"/>
      <c r="BL1" s="340"/>
      <c r="BM1" s="340"/>
      <c r="BN1" s="340"/>
      <c r="BO1" s="340"/>
      <c r="BP1" s="340"/>
      <c r="BQ1" s="340"/>
      <c r="BR1" s="340"/>
      <c r="BS1" s="340"/>
      <c r="BT1" s="340"/>
      <c r="BU1" s="340"/>
      <c r="BV1" s="340"/>
      <c r="BW1" s="340"/>
      <c r="BX1" s="340"/>
      <c r="BY1" s="340"/>
      <c r="BZ1" s="340"/>
      <c r="CA1" s="340"/>
      <c r="CB1" s="340"/>
      <c r="CC1" s="340"/>
      <c r="CD1" s="340"/>
      <c r="CE1" s="340"/>
      <c r="CF1" s="340"/>
      <c r="CG1" s="340"/>
      <c r="CH1" s="340"/>
      <c r="CI1" s="340"/>
      <c r="CJ1" s="340"/>
      <c r="CK1" s="340"/>
      <c r="CL1" s="340"/>
      <c r="CM1" s="340"/>
      <c r="CN1" s="340"/>
      <c r="CO1" s="340"/>
      <c r="CP1" s="340"/>
      <c r="CQ1" s="340"/>
      <c r="CR1" s="340"/>
      <c r="CS1" s="340"/>
      <c r="CT1" s="340"/>
      <c r="CU1" s="340"/>
      <c r="CV1" s="340"/>
      <c r="CW1" s="340"/>
      <c r="CX1" s="340"/>
      <c r="CY1" s="340"/>
      <c r="CZ1" s="340"/>
      <c r="DA1" s="340"/>
      <c r="DB1" s="340"/>
      <c r="DC1" s="340"/>
      <c r="DD1" s="340"/>
      <c r="DE1" s="340"/>
      <c r="DF1" s="340"/>
      <c r="DG1" s="340"/>
      <c r="DH1" s="340"/>
      <c r="DI1" s="340"/>
      <c r="DJ1" s="340"/>
      <c r="DK1" s="340"/>
      <c r="DL1" s="340"/>
      <c r="DM1" s="340"/>
      <c r="DN1" s="340"/>
      <c r="DO1" s="340"/>
      <c r="DP1" s="340"/>
      <c r="DQ1" s="340"/>
      <c r="DR1" s="340"/>
      <c r="DS1" s="340"/>
      <c r="DT1" s="340"/>
      <c r="DU1" s="340"/>
      <c r="DV1" s="340"/>
    </row>
    <row r="2" spans="1:268" ht="15.75" customHeight="1">
      <c r="C2" s="340" t="s">
        <v>1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</row>
    <row r="3" spans="1:268" ht="15" customHeight="1">
      <c r="A3" s="4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C3" s="6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U3" s="7" t="s">
        <v>2</v>
      </c>
    </row>
    <row r="4" spans="1:268" ht="15.75" customHeight="1">
      <c r="A4" s="323" t="s">
        <v>3</v>
      </c>
      <c r="B4" s="324"/>
      <c r="C4" s="329" t="s">
        <v>4</v>
      </c>
      <c r="D4" s="330"/>
      <c r="E4" s="331" t="s">
        <v>5</v>
      </c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 t="s">
        <v>6</v>
      </c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9"/>
    </row>
    <row r="5" spans="1:268" s="120" customFormat="1" ht="16.5" customHeight="1">
      <c r="A5" s="325"/>
      <c r="B5" s="326"/>
      <c r="C5" s="332" t="s">
        <v>113</v>
      </c>
      <c r="D5" s="332"/>
      <c r="E5" s="332" t="s">
        <v>7</v>
      </c>
      <c r="F5" s="332"/>
      <c r="G5" s="332" t="s">
        <v>8</v>
      </c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 t="s">
        <v>9</v>
      </c>
      <c r="AZ5" s="332"/>
      <c r="BA5" s="420" t="s">
        <v>96</v>
      </c>
      <c r="BB5" s="420"/>
      <c r="BC5" s="322" t="s">
        <v>10</v>
      </c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  <c r="BZ5" s="322"/>
      <c r="CA5" s="322"/>
      <c r="CB5" s="322"/>
      <c r="CC5" s="322"/>
      <c r="CD5" s="322"/>
      <c r="CE5" s="322"/>
      <c r="CF5" s="322"/>
      <c r="CG5" s="322"/>
      <c r="CH5" s="322"/>
      <c r="CI5" s="322"/>
      <c r="CJ5" s="322"/>
      <c r="CK5" s="322"/>
      <c r="CL5" s="322"/>
      <c r="CM5" s="322"/>
      <c r="CN5" s="322"/>
      <c r="CO5" s="322"/>
      <c r="CP5" s="322"/>
      <c r="CQ5" s="322"/>
      <c r="CR5" s="322"/>
      <c r="CS5" s="322"/>
      <c r="CT5" s="322"/>
      <c r="CU5" s="322"/>
      <c r="CV5" s="322"/>
      <c r="CW5" s="322"/>
      <c r="CX5" s="322"/>
      <c r="CY5" s="322"/>
      <c r="CZ5" s="322"/>
      <c r="DA5" s="322"/>
      <c r="DB5" s="322"/>
      <c r="DC5" s="322"/>
      <c r="DD5" s="322"/>
      <c r="DE5" s="322"/>
      <c r="DF5" s="322"/>
      <c r="DG5" s="322"/>
      <c r="DH5" s="322"/>
      <c r="DI5" s="322"/>
      <c r="DJ5" s="322"/>
      <c r="DK5" s="322"/>
      <c r="DL5" s="322"/>
      <c r="DM5" s="322"/>
      <c r="DN5" s="322"/>
      <c r="DO5" s="322"/>
      <c r="DP5" s="322"/>
      <c r="DQ5" s="335" t="s">
        <v>125</v>
      </c>
      <c r="DR5" s="336"/>
      <c r="DS5" s="419" t="s">
        <v>126</v>
      </c>
      <c r="DT5" s="419"/>
      <c r="DU5" s="419" t="s">
        <v>96</v>
      </c>
      <c r="DV5" s="419"/>
      <c r="DW5" s="10"/>
      <c r="DX5" s="118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  <c r="IW5" s="119"/>
      <c r="IX5" s="119"/>
      <c r="IY5" s="119"/>
      <c r="IZ5" s="119"/>
      <c r="JA5" s="119"/>
      <c r="JB5" s="119"/>
      <c r="JC5" s="119"/>
      <c r="JD5" s="119"/>
      <c r="JE5" s="119"/>
      <c r="JF5" s="119"/>
      <c r="JG5" s="119"/>
      <c r="JH5" s="119"/>
    </row>
    <row r="6" spans="1:268" s="120" customFormat="1" ht="36.75" customHeight="1">
      <c r="A6" s="325"/>
      <c r="B6" s="326"/>
      <c r="C6" s="332"/>
      <c r="D6" s="332"/>
      <c r="E6" s="332"/>
      <c r="F6" s="332"/>
      <c r="G6" s="316" t="s">
        <v>11</v>
      </c>
      <c r="H6" s="316"/>
      <c r="I6" s="316" t="s">
        <v>12</v>
      </c>
      <c r="J6" s="316"/>
      <c r="K6" s="316" t="s">
        <v>70</v>
      </c>
      <c r="L6" s="316"/>
      <c r="M6" s="316" t="s">
        <v>13</v>
      </c>
      <c r="N6" s="316"/>
      <c r="O6" s="316" t="s">
        <v>14</v>
      </c>
      <c r="P6" s="316"/>
      <c r="Q6" s="316" t="s">
        <v>15</v>
      </c>
      <c r="R6" s="316"/>
      <c r="S6" s="316" t="s">
        <v>81</v>
      </c>
      <c r="T6" s="316"/>
      <c r="U6" s="316" t="s">
        <v>16</v>
      </c>
      <c r="V6" s="316"/>
      <c r="W6" s="316" t="s">
        <v>82</v>
      </c>
      <c r="X6" s="316"/>
      <c r="Y6" s="316" t="s">
        <v>17</v>
      </c>
      <c r="Z6" s="316"/>
      <c r="AA6" s="316" t="s">
        <v>83</v>
      </c>
      <c r="AB6" s="316"/>
      <c r="AC6" s="316" t="s">
        <v>18</v>
      </c>
      <c r="AD6" s="316"/>
      <c r="AE6" s="316" t="s">
        <v>84</v>
      </c>
      <c r="AF6" s="316"/>
      <c r="AG6" s="316" t="s">
        <v>19</v>
      </c>
      <c r="AH6" s="316"/>
      <c r="AI6" s="316" t="s">
        <v>85</v>
      </c>
      <c r="AJ6" s="316"/>
      <c r="AK6" s="316" t="s">
        <v>20</v>
      </c>
      <c r="AL6" s="316"/>
      <c r="AM6" s="316" t="s">
        <v>86</v>
      </c>
      <c r="AN6" s="316"/>
      <c r="AO6" s="316" t="s">
        <v>21</v>
      </c>
      <c r="AP6" s="316"/>
      <c r="AQ6" s="316" t="s">
        <v>87</v>
      </c>
      <c r="AR6" s="316"/>
      <c r="AS6" s="316" t="s">
        <v>22</v>
      </c>
      <c r="AT6" s="316"/>
      <c r="AU6" s="316" t="s">
        <v>88</v>
      </c>
      <c r="AV6" s="316"/>
      <c r="AW6" s="316" t="s">
        <v>23</v>
      </c>
      <c r="AX6" s="316"/>
      <c r="AY6" s="332"/>
      <c r="AZ6" s="332"/>
      <c r="BA6" s="420"/>
      <c r="BB6" s="420"/>
      <c r="BC6" s="316" t="s">
        <v>11</v>
      </c>
      <c r="BD6" s="316"/>
      <c r="BE6" s="316" t="s">
        <v>12</v>
      </c>
      <c r="BF6" s="316"/>
      <c r="BG6" s="316" t="s">
        <v>70</v>
      </c>
      <c r="BH6" s="316"/>
      <c r="BI6" s="417" t="s">
        <v>96</v>
      </c>
      <c r="BJ6" s="418"/>
      <c r="BK6" s="316" t="s">
        <v>13</v>
      </c>
      <c r="BL6" s="316"/>
      <c r="BM6" s="316" t="s">
        <v>14</v>
      </c>
      <c r="BN6" s="316"/>
      <c r="BO6" s="417" t="s">
        <v>96</v>
      </c>
      <c r="BP6" s="418"/>
      <c r="BQ6" s="316" t="s">
        <v>15</v>
      </c>
      <c r="BR6" s="316"/>
      <c r="BS6" s="316" t="s">
        <v>81</v>
      </c>
      <c r="BT6" s="316"/>
      <c r="BU6" s="417" t="s">
        <v>96</v>
      </c>
      <c r="BV6" s="418"/>
      <c r="BW6" s="316" t="s">
        <v>141</v>
      </c>
      <c r="BX6" s="316"/>
      <c r="BY6" s="316" t="s">
        <v>82</v>
      </c>
      <c r="BZ6" s="316"/>
      <c r="CA6" s="417" t="s">
        <v>96</v>
      </c>
      <c r="CB6" s="418"/>
      <c r="CC6" s="316" t="s">
        <v>17</v>
      </c>
      <c r="CD6" s="316"/>
      <c r="CE6" s="316" t="s">
        <v>83</v>
      </c>
      <c r="CF6" s="316"/>
      <c r="CG6" s="417" t="s">
        <v>96</v>
      </c>
      <c r="CH6" s="418"/>
      <c r="CI6" s="316" t="s">
        <v>18</v>
      </c>
      <c r="CJ6" s="316"/>
      <c r="CK6" s="316" t="s">
        <v>84</v>
      </c>
      <c r="CL6" s="316"/>
      <c r="CM6" s="417" t="s">
        <v>96</v>
      </c>
      <c r="CN6" s="418"/>
      <c r="CO6" s="316" t="s">
        <v>19</v>
      </c>
      <c r="CP6" s="316"/>
      <c r="CQ6" s="316" t="s">
        <v>85</v>
      </c>
      <c r="CR6" s="316"/>
      <c r="CS6" s="417" t="s">
        <v>96</v>
      </c>
      <c r="CT6" s="418"/>
      <c r="CU6" s="316" t="s">
        <v>20</v>
      </c>
      <c r="CV6" s="316"/>
      <c r="CW6" s="316" t="s">
        <v>86</v>
      </c>
      <c r="CX6" s="316"/>
      <c r="CY6" s="417" t="s">
        <v>96</v>
      </c>
      <c r="CZ6" s="418"/>
      <c r="DA6" s="316" t="s">
        <v>21</v>
      </c>
      <c r="DB6" s="316"/>
      <c r="DC6" s="316" t="s">
        <v>87</v>
      </c>
      <c r="DD6" s="316"/>
      <c r="DE6" s="417" t="s">
        <v>96</v>
      </c>
      <c r="DF6" s="418"/>
      <c r="DG6" s="316" t="s">
        <v>22</v>
      </c>
      <c r="DH6" s="316"/>
      <c r="DI6" s="316" t="s">
        <v>88</v>
      </c>
      <c r="DJ6" s="316"/>
      <c r="DK6" s="417" t="s">
        <v>96</v>
      </c>
      <c r="DL6" s="418"/>
      <c r="DM6" s="316" t="s">
        <v>23</v>
      </c>
      <c r="DN6" s="316"/>
      <c r="DO6" s="317" t="s">
        <v>117</v>
      </c>
      <c r="DP6" s="317"/>
      <c r="DQ6" s="337"/>
      <c r="DR6" s="338"/>
      <c r="DS6" s="419"/>
      <c r="DT6" s="419"/>
      <c r="DU6" s="419"/>
      <c r="DV6" s="419"/>
      <c r="DW6" s="11"/>
      <c r="DX6" s="118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19"/>
      <c r="JD6" s="119"/>
      <c r="JE6" s="119"/>
      <c r="JF6" s="119"/>
      <c r="JG6" s="119"/>
      <c r="JH6" s="119"/>
    </row>
    <row r="7" spans="1:268" s="12" customFormat="1" ht="52.5" customHeight="1">
      <c r="A7" s="327"/>
      <c r="B7" s="328"/>
      <c r="C7" s="95" t="s">
        <v>26</v>
      </c>
      <c r="D7" s="95" t="s">
        <v>24</v>
      </c>
      <c r="E7" s="95" t="s">
        <v>26</v>
      </c>
      <c r="F7" s="95" t="s">
        <v>24</v>
      </c>
      <c r="G7" s="95" t="str">
        <f>E7</f>
        <v>консолиди-                       рованный бюджет района</v>
      </c>
      <c r="H7" s="95" t="str">
        <f>F7</f>
        <v>в т.ч. бюджет района</v>
      </c>
      <c r="I7" s="95" t="str">
        <f t="shared" ref="I7:AX7" si="0">G7</f>
        <v>консолиди-                       рованный бюджет района</v>
      </c>
      <c r="J7" s="95" t="str">
        <f t="shared" si="0"/>
        <v>в т.ч. бюджет района</v>
      </c>
      <c r="K7" s="95" t="str">
        <f t="shared" si="0"/>
        <v>консолиди-                       рованный бюджет района</v>
      </c>
      <c r="L7" s="95" t="str">
        <f t="shared" si="0"/>
        <v>в т.ч. бюджет района</v>
      </c>
      <c r="M7" s="95" t="str">
        <f t="shared" si="0"/>
        <v>консолиди-                       рованный бюджет района</v>
      </c>
      <c r="N7" s="95" t="str">
        <f t="shared" si="0"/>
        <v>в т.ч. бюджет района</v>
      </c>
      <c r="O7" s="95" t="str">
        <f t="shared" si="0"/>
        <v>консолиди-                       рованный бюджет района</v>
      </c>
      <c r="P7" s="95" t="str">
        <f t="shared" si="0"/>
        <v>в т.ч. бюджет района</v>
      </c>
      <c r="Q7" s="95" t="str">
        <f t="shared" si="0"/>
        <v>консолиди-                       рованный бюджет района</v>
      </c>
      <c r="R7" s="95" t="str">
        <f t="shared" si="0"/>
        <v>в т.ч. бюджет района</v>
      </c>
      <c r="S7" s="95" t="str">
        <f t="shared" si="0"/>
        <v>консолиди-                       рованный бюджет района</v>
      </c>
      <c r="T7" s="95" t="str">
        <f t="shared" si="0"/>
        <v>в т.ч. бюджет района</v>
      </c>
      <c r="U7" s="95" t="str">
        <f t="shared" si="0"/>
        <v>консолиди-                       рованный бюджет района</v>
      </c>
      <c r="V7" s="95" t="str">
        <f t="shared" si="0"/>
        <v>в т.ч. бюджет района</v>
      </c>
      <c r="W7" s="95" t="str">
        <f t="shared" si="0"/>
        <v>консолиди-                       рованный бюджет района</v>
      </c>
      <c r="X7" s="95" t="str">
        <f t="shared" si="0"/>
        <v>в т.ч. бюджет района</v>
      </c>
      <c r="Y7" s="95" t="str">
        <f t="shared" si="0"/>
        <v>консолиди-                       рованный бюджет района</v>
      </c>
      <c r="Z7" s="95" t="str">
        <f t="shared" si="0"/>
        <v>в т.ч. бюджет района</v>
      </c>
      <c r="AA7" s="95" t="str">
        <f t="shared" si="0"/>
        <v>консолиди-                       рованный бюджет района</v>
      </c>
      <c r="AB7" s="95" t="str">
        <f t="shared" si="0"/>
        <v>в т.ч. бюджет района</v>
      </c>
      <c r="AC7" s="95" t="str">
        <f t="shared" si="0"/>
        <v>консолиди-                       рованный бюджет района</v>
      </c>
      <c r="AD7" s="95" t="str">
        <f t="shared" si="0"/>
        <v>в т.ч. бюджет района</v>
      </c>
      <c r="AE7" s="95" t="str">
        <f t="shared" si="0"/>
        <v>консолиди-                       рованный бюджет района</v>
      </c>
      <c r="AF7" s="95" t="str">
        <f t="shared" si="0"/>
        <v>в т.ч. бюджет района</v>
      </c>
      <c r="AG7" s="95" t="str">
        <f t="shared" si="0"/>
        <v>консолиди-                       рованный бюджет района</v>
      </c>
      <c r="AH7" s="95" t="str">
        <f t="shared" si="0"/>
        <v>в т.ч. бюджет района</v>
      </c>
      <c r="AI7" s="95" t="str">
        <f t="shared" si="0"/>
        <v>консолиди-                       рованный бюджет района</v>
      </c>
      <c r="AJ7" s="95" t="str">
        <f t="shared" si="0"/>
        <v>в т.ч. бюджет района</v>
      </c>
      <c r="AK7" s="95" t="str">
        <f t="shared" si="0"/>
        <v>консолиди-                       рованный бюджет района</v>
      </c>
      <c r="AL7" s="95" t="str">
        <f t="shared" si="0"/>
        <v>в т.ч. бюджет района</v>
      </c>
      <c r="AM7" s="95" t="str">
        <f t="shared" si="0"/>
        <v>консолиди-                       рованный бюджет района</v>
      </c>
      <c r="AN7" s="95" t="str">
        <f t="shared" si="0"/>
        <v>в т.ч. бюджет района</v>
      </c>
      <c r="AO7" s="95" t="str">
        <f t="shared" si="0"/>
        <v>консолиди-                       рованный бюджет района</v>
      </c>
      <c r="AP7" s="95" t="str">
        <f t="shared" si="0"/>
        <v>в т.ч. бюджет района</v>
      </c>
      <c r="AQ7" s="95" t="str">
        <f t="shared" si="0"/>
        <v>консолиди-                       рованный бюджет района</v>
      </c>
      <c r="AR7" s="95" t="str">
        <f t="shared" si="0"/>
        <v>в т.ч. бюджет района</v>
      </c>
      <c r="AS7" s="95" t="str">
        <f t="shared" si="0"/>
        <v>консолиди-                       рованный бюджет района</v>
      </c>
      <c r="AT7" s="95" t="str">
        <f t="shared" si="0"/>
        <v>в т.ч. бюджет района</v>
      </c>
      <c r="AU7" s="95" t="str">
        <f t="shared" si="0"/>
        <v>консолиди-                       рованный бюджет района</v>
      </c>
      <c r="AV7" s="95" t="str">
        <f t="shared" si="0"/>
        <v>в т.ч. бюджет района</v>
      </c>
      <c r="AW7" s="95" t="str">
        <f t="shared" si="0"/>
        <v>консолиди-                       рованный бюджет района</v>
      </c>
      <c r="AX7" s="95" t="str">
        <f t="shared" si="0"/>
        <v>в т.ч. бюджет района</v>
      </c>
      <c r="AY7" s="95" t="str">
        <f>E7</f>
        <v>консолиди-                       рованный бюджет района</v>
      </c>
      <c r="AZ7" s="95" t="s">
        <v>24</v>
      </c>
      <c r="BA7" s="95" t="str">
        <f>AY7</f>
        <v>консолиди-                       рованный бюджет района</v>
      </c>
      <c r="BB7" s="95" t="s">
        <v>25</v>
      </c>
      <c r="BC7" s="95" t="s">
        <v>27</v>
      </c>
      <c r="BD7" s="95" t="s">
        <v>24</v>
      </c>
      <c r="BE7" s="95" t="s">
        <v>27</v>
      </c>
      <c r="BF7" s="95" t="s">
        <v>24</v>
      </c>
      <c r="BG7" s="95" t="str">
        <f t="shared" ref="BG7:BJ7" si="1">BE7</f>
        <v>консолидированный бюджет района</v>
      </c>
      <c r="BH7" s="95" t="str">
        <f t="shared" si="1"/>
        <v>в т.ч. бюджет района</v>
      </c>
      <c r="BI7" s="95" t="str">
        <f t="shared" si="1"/>
        <v>консолидированный бюджет района</v>
      </c>
      <c r="BJ7" s="95" t="str">
        <f t="shared" si="1"/>
        <v>в т.ч. бюджет района</v>
      </c>
      <c r="BK7" s="95" t="s">
        <v>27</v>
      </c>
      <c r="BL7" s="95" t="s">
        <v>24</v>
      </c>
      <c r="BM7" s="95" t="str">
        <f t="shared" ref="BM7:BP7" si="2">BK7</f>
        <v>консолидированный бюджет района</v>
      </c>
      <c r="BN7" s="95" t="str">
        <f t="shared" si="2"/>
        <v>в т.ч. бюджет района</v>
      </c>
      <c r="BO7" s="95" t="str">
        <f t="shared" si="2"/>
        <v>консолидированный бюджет района</v>
      </c>
      <c r="BP7" s="95" t="str">
        <f t="shared" si="2"/>
        <v>в т.ч. бюджет района</v>
      </c>
      <c r="BQ7" s="95" t="str">
        <f t="shared" ref="BQ7:BR7" si="3">BM7</f>
        <v>консолидированный бюджет района</v>
      </c>
      <c r="BR7" s="95" t="str">
        <f t="shared" si="3"/>
        <v>в т.ч. бюджет района</v>
      </c>
      <c r="BS7" s="95" t="str">
        <f t="shared" ref="BS7:BV7" si="4">BQ7</f>
        <v>консолидированный бюджет района</v>
      </c>
      <c r="BT7" s="95" t="str">
        <f t="shared" si="4"/>
        <v>в т.ч. бюджет района</v>
      </c>
      <c r="BU7" s="95" t="str">
        <f t="shared" si="4"/>
        <v>консолидированный бюджет района</v>
      </c>
      <c r="BV7" s="95" t="str">
        <f t="shared" si="4"/>
        <v>в т.ч. бюджет района</v>
      </c>
      <c r="BW7" s="95" t="str">
        <f t="shared" ref="BW7:BX7" si="5">BS7</f>
        <v>консолидированный бюджет района</v>
      </c>
      <c r="BX7" s="95" t="str">
        <f t="shared" si="5"/>
        <v>в т.ч. бюджет района</v>
      </c>
      <c r="BY7" s="95" t="str">
        <f t="shared" ref="BY7:CB7" si="6">BW7</f>
        <v>консолидированный бюджет района</v>
      </c>
      <c r="BZ7" s="95" t="str">
        <f t="shared" si="6"/>
        <v>в т.ч. бюджет района</v>
      </c>
      <c r="CA7" s="95" t="str">
        <f t="shared" si="6"/>
        <v>консолидированный бюджет района</v>
      </c>
      <c r="CB7" s="95" t="str">
        <f t="shared" si="6"/>
        <v>в т.ч. бюджет района</v>
      </c>
      <c r="CC7" s="95" t="str">
        <f t="shared" ref="CC7:CD7" si="7">BY7</f>
        <v>консолидированный бюджет района</v>
      </c>
      <c r="CD7" s="95" t="str">
        <f t="shared" si="7"/>
        <v>в т.ч. бюджет района</v>
      </c>
      <c r="CE7" s="95" t="str">
        <f t="shared" ref="CE7:CH7" si="8">CC7</f>
        <v>консолидированный бюджет района</v>
      </c>
      <c r="CF7" s="95" t="str">
        <f t="shared" si="8"/>
        <v>в т.ч. бюджет района</v>
      </c>
      <c r="CG7" s="95" t="str">
        <f t="shared" si="8"/>
        <v>консолидированный бюджет района</v>
      </c>
      <c r="CH7" s="95" t="str">
        <f t="shared" si="8"/>
        <v>в т.ч. бюджет района</v>
      </c>
      <c r="CI7" s="95" t="str">
        <f t="shared" ref="CI7:CJ7" si="9">CE7</f>
        <v>консолидированный бюджет района</v>
      </c>
      <c r="CJ7" s="95" t="str">
        <f t="shared" si="9"/>
        <v>в т.ч. бюджет района</v>
      </c>
      <c r="CK7" s="95" t="str">
        <f t="shared" ref="CK7:CN7" si="10">CI7</f>
        <v>консолидированный бюджет района</v>
      </c>
      <c r="CL7" s="95" t="str">
        <f t="shared" si="10"/>
        <v>в т.ч. бюджет района</v>
      </c>
      <c r="CM7" s="95" t="str">
        <f t="shared" si="10"/>
        <v>консолидированный бюджет района</v>
      </c>
      <c r="CN7" s="95" t="str">
        <f t="shared" si="10"/>
        <v>в т.ч. бюджет района</v>
      </c>
      <c r="CO7" s="95" t="str">
        <f t="shared" ref="CO7:CP7" si="11">CK7</f>
        <v>консолидированный бюджет района</v>
      </c>
      <c r="CP7" s="95" t="str">
        <f t="shared" si="11"/>
        <v>в т.ч. бюджет района</v>
      </c>
      <c r="CQ7" s="95" t="str">
        <f t="shared" ref="CQ7:CT7" si="12">CO7</f>
        <v>консолидированный бюджет района</v>
      </c>
      <c r="CR7" s="95" t="str">
        <f t="shared" si="12"/>
        <v>в т.ч. бюджет района</v>
      </c>
      <c r="CS7" s="95" t="str">
        <f t="shared" si="12"/>
        <v>консолидированный бюджет района</v>
      </c>
      <c r="CT7" s="95" t="str">
        <f t="shared" si="12"/>
        <v>в т.ч. бюджет района</v>
      </c>
      <c r="CU7" s="95" t="str">
        <f t="shared" ref="CU7:CV7" si="13">CQ7</f>
        <v>консолидированный бюджет района</v>
      </c>
      <c r="CV7" s="95" t="str">
        <f t="shared" si="13"/>
        <v>в т.ч. бюджет района</v>
      </c>
      <c r="CW7" s="95" t="str">
        <f t="shared" ref="CW7:CZ7" si="14">CU7</f>
        <v>консолидированный бюджет района</v>
      </c>
      <c r="CX7" s="95" t="str">
        <f t="shared" si="14"/>
        <v>в т.ч. бюджет района</v>
      </c>
      <c r="CY7" s="95" t="str">
        <f t="shared" si="14"/>
        <v>консолидированный бюджет района</v>
      </c>
      <c r="CZ7" s="95" t="str">
        <f t="shared" si="14"/>
        <v>в т.ч. бюджет района</v>
      </c>
      <c r="DA7" s="95" t="str">
        <f t="shared" ref="DA7:DB7" si="15">CW7</f>
        <v>консолидированный бюджет района</v>
      </c>
      <c r="DB7" s="95" t="str">
        <f t="shared" si="15"/>
        <v>в т.ч. бюджет района</v>
      </c>
      <c r="DC7" s="95" t="str">
        <f t="shared" ref="DC7:DF7" si="16">DA7</f>
        <v>консолидированный бюджет района</v>
      </c>
      <c r="DD7" s="95" t="str">
        <f t="shared" si="16"/>
        <v>в т.ч. бюджет района</v>
      </c>
      <c r="DE7" s="95" t="str">
        <f t="shared" si="16"/>
        <v>консолидированный бюджет района</v>
      </c>
      <c r="DF7" s="95" t="str">
        <f t="shared" si="16"/>
        <v>в т.ч. бюджет района</v>
      </c>
      <c r="DG7" s="95" t="str">
        <f t="shared" ref="DG7:DH7" si="17">DC7</f>
        <v>консолидированный бюджет района</v>
      </c>
      <c r="DH7" s="95" t="str">
        <f t="shared" si="17"/>
        <v>в т.ч. бюджет района</v>
      </c>
      <c r="DI7" s="95" t="str">
        <f t="shared" ref="DI7:DL7" si="18">DG7</f>
        <v>консолидированный бюджет района</v>
      </c>
      <c r="DJ7" s="95" t="str">
        <f t="shared" si="18"/>
        <v>в т.ч. бюджет района</v>
      </c>
      <c r="DK7" s="95" t="str">
        <f t="shared" si="18"/>
        <v>консолидированный бюджет района</v>
      </c>
      <c r="DL7" s="95" t="str">
        <f t="shared" si="18"/>
        <v>в т.ч. бюджет района</v>
      </c>
      <c r="DM7" s="95" t="str">
        <f t="shared" ref="DM7:DN7" si="19">DI7</f>
        <v>консолидированный бюджет района</v>
      </c>
      <c r="DN7" s="95" t="str">
        <f t="shared" si="19"/>
        <v>в т.ч. бюджет района</v>
      </c>
      <c r="DO7" s="95" t="s">
        <v>27</v>
      </c>
      <c r="DP7" s="95" t="s">
        <v>24</v>
      </c>
      <c r="DQ7" s="95" t="s">
        <v>27</v>
      </c>
      <c r="DR7" s="95" t="s">
        <v>24</v>
      </c>
      <c r="DS7" s="95" t="s">
        <v>28</v>
      </c>
      <c r="DT7" s="13" t="s">
        <v>25</v>
      </c>
      <c r="DU7" s="95" t="s">
        <v>28</v>
      </c>
      <c r="DV7" s="13" t="s">
        <v>25</v>
      </c>
      <c r="DW7" s="14"/>
      <c r="DX7" s="15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</row>
    <row r="8" spans="1:268" s="18" customFormat="1" ht="23.25" customHeight="1">
      <c r="A8" s="286" t="s">
        <v>29</v>
      </c>
      <c r="B8" s="287"/>
      <c r="C8" s="17">
        <f>C9+C26</f>
        <v>756840.60000000009</v>
      </c>
      <c r="D8" s="17">
        <f t="shared" ref="D8:AX8" si="20">D9+D26</f>
        <v>649487.05000000005</v>
      </c>
      <c r="E8" s="17">
        <f t="shared" si="20"/>
        <v>826145.5</v>
      </c>
      <c r="F8" s="17">
        <f t="shared" si="20"/>
        <v>727624.8</v>
      </c>
      <c r="G8" s="17">
        <f t="shared" si="20"/>
        <v>34369.699999999997</v>
      </c>
      <c r="H8" s="17">
        <f t="shared" si="20"/>
        <v>29911.299999999996</v>
      </c>
      <c r="I8" s="17">
        <f t="shared" si="20"/>
        <v>79814</v>
      </c>
      <c r="J8" s="17">
        <f t="shared" si="20"/>
        <v>70031.199999999997</v>
      </c>
      <c r="K8" s="17">
        <f t="shared" si="20"/>
        <v>114183.69999999998</v>
      </c>
      <c r="L8" s="17">
        <f t="shared" si="20"/>
        <v>99942.5</v>
      </c>
      <c r="M8" s="17">
        <f t="shared" si="20"/>
        <v>59020.2</v>
      </c>
      <c r="N8" s="17">
        <f t="shared" si="20"/>
        <v>49649.399999999994</v>
      </c>
      <c r="O8" s="17">
        <f t="shared" si="20"/>
        <v>173203.89999999997</v>
      </c>
      <c r="P8" s="17">
        <f t="shared" si="20"/>
        <v>149591.9</v>
      </c>
      <c r="Q8" s="17">
        <f t="shared" si="20"/>
        <v>66559.199999999997</v>
      </c>
      <c r="R8" s="17">
        <f t="shared" si="20"/>
        <v>59250.41</v>
      </c>
      <c r="S8" s="17">
        <f t="shared" si="20"/>
        <v>239763.10000000003</v>
      </c>
      <c r="T8" s="17">
        <f t="shared" si="20"/>
        <v>208842.31</v>
      </c>
      <c r="U8" s="17">
        <f t="shared" si="20"/>
        <v>76321.000000000015</v>
      </c>
      <c r="V8" s="17">
        <f t="shared" si="20"/>
        <v>68711.899999999994</v>
      </c>
      <c r="W8" s="17">
        <f t="shared" si="20"/>
        <v>316084.10000000003</v>
      </c>
      <c r="X8" s="17">
        <f t="shared" si="20"/>
        <v>277554.21000000002</v>
      </c>
      <c r="Y8" s="17">
        <f t="shared" si="20"/>
        <v>111825.09999999999</v>
      </c>
      <c r="Z8" s="17">
        <f t="shared" si="20"/>
        <v>104940.59999999999</v>
      </c>
      <c r="AA8" s="17">
        <f t="shared" si="20"/>
        <v>427909.19999999995</v>
      </c>
      <c r="AB8" s="17">
        <f t="shared" si="20"/>
        <v>382494.81</v>
      </c>
      <c r="AC8" s="17">
        <f t="shared" si="20"/>
        <v>67007.600000000006</v>
      </c>
      <c r="AD8" s="17">
        <f t="shared" si="20"/>
        <v>59214.700000000004</v>
      </c>
      <c r="AE8" s="17">
        <f t="shared" si="20"/>
        <v>494916.80000000005</v>
      </c>
      <c r="AF8" s="17">
        <f t="shared" si="20"/>
        <v>441709.51</v>
      </c>
      <c r="AG8" s="17">
        <f t="shared" si="20"/>
        <v>43655.500000000015</v>
      </c>
      <c r="AH8" s="17">
        <f t="shared" si="20"/>
        <v>36125.589999999997</v>
      </c>
      <c r="AI8" s="17">
        <f t="shared" si="20"/>
        <v>538572.30000000005</v>
      </c>
      <c r="AJ8" s="17">
        <f t="shared" si="20"/>
        <v>477835.1</v>
      </c>
      <c r="AK8" s="17">
        <f t="shared" si="20"/>
        <v>63077.499999999971</v>
      </c>
      <c r="AL8" s="17">
        <f t="shared" si="20"/>
        <v>54159.300000000017</v>
      </c>
      <c r="AM8" s="17">
        <f t="shared" si="20"/>
        <v>601649.80000000005</v>
      </c>
      <c r="AN8" s="17">
        <f t="shared" si="20"/>
        <v>531994.4</v>
      </c>
      <c r="AO8" s="17">
        <f t="shared" si="20"/>
        <v>67487.300000000032</v>
      </c>
      <c r="AP8" s="17">
        <f t="shared" si="20"/>
        <v>56747.600000000042</v>
      </c>
      <c r="AQ8" s="17">
        <f t="shared" si="20"/>
        <v>669137.10000000009</v>
      </c>
      <c r="AR8" s="17">
        <f t="shared" si="20"/>
        <v>588742</v>
      </c>
      <c r="AS8" s="17">
        <f t="shared" si="20"/>
        <v>62196.800000000003</v>
      </c>
      <c r="AT8" s="17">
        <f t="shared" si="20"/>
        <v>54028.1</v>
      </c>
      <c r="AU8" s="17">
        <f t="shared" si="20"/>
        <v>731333.89999999991</v>
      </c>
      <c r="AV8" s="17">
        <f t="shared" si="20"/>
        <v>642770.10000000009</v>
      </c>
      <c r="AW8" s="17">
        <f t="shared" si="20"/>
        <v>94811.6</v>
      </c>
      <c r="AX8" s="17">
        <f t="shared" si="20"/>
        <v>84854.7</v>
      </c>
      <c r="AY8" s="17">
        <f>AY9+AY26</f>
        <v>787889.8</v>
      </c>
      <c r="AZ8" s="17">
        <f>AZ9+AZ26</f>
        <v>669386</v>
      </c>
      <c r="BA8" s="19">
        <f>IF(E8=0,1,AY8/E8-1)</f>
        <v>-4.6306249928130039E-2</v>
      </c>
      <c r="BB8" s="19">
        <f>IF(F8=0,1,AZ8/F8-1)</f>
        <v>-8.0039602828270939E-2</v>
      </c>
      <c r="BC8" s="17">
        <f t="shared" ref="BC8:BH8" si="21">BC9+BC26</f>
        <v>35984.300000000003</v>
      </c>
      <c r="BD8" s="17">
        <f t="shared" si="21"/>
        <v>29454</v>
      </c>
      <c r="BE8" s="17">
        <f t="shared" si="21"/>
        <v>60355</v>
      </c>
      <c r="BF8" s="17">
        <f t="shared" si="21"/>
        <v>52229.100000000006</v>
      </c>
      <c r="BG8" s="17">
        <f t="shared" si="21"/>
        <v>96339.299999999988</v>
      </c>
      <c r="BH8" s="17">
        <f t="shared" si="21"/>
        <v>81683.100000000006</v>
      </c>
      <c r="BI8" s="19">
        <f t="shared" ref="BI8:BJ39" si="22">IF(K8=0,1,BG8/K8-1)</f>
        <v>-0.15627799764765016</v>
      </c>
      <c r="BJ8" s="19">
        <f t="shared" si="22"/>
        <v>-0.18269905195487401</v>
      </c>
      <c r="BK8" s="17">
        <f t="shared" ref="BK8:DJ8" si="23">BK9+BK26</f>
        <v>60527.199999999997</v>
      </c>
      <c r="BL8" s="17">
        <f t="shared" si="23"/>
        <v>54054.3</v>
      </c>
      <c r="BM8" s="17">
        <f t="shared" si="23"/>
        <v>156866.5</v>
      </c>
      <c r="BN8" s="17">
        <f t="shared" si="23"/>
        <v>135737.40000000002</v>
      </c>
      <c r="BO8" s="19">
        <f t="shared" ref="BO8:BP39" si="24">IF(O8=0,1,BM8/O8-1)</f>
        <v>-9.4324665899555238E-2</v>
      </c>
      <c r="BP8" s="19">
        <f t="shared" si="24"/>
        <v>-9.2615308716581413E-2</v>
      </c>
      <c r="BQ8" s="17">
        <f t="shared" si="23"/>
        <v>0</v>
      </c>
      <c r="BR8" s="17">
        <f t="shared" si="23"/>
        <v>0</v>
      </c>
      <c r="BS8" s="17">
        <f t="shared" si="23"/>
        <v>156866.5</v>
      </c>
      <c r="BT8" s="17">
        <f t="shared" si="23"/>
        <v>135737.40000000002</v>
      </c>
      <c r="BU8" s="19">
        <f t="shared" ref="BU8:BV39" si="25">IF(S8=0,1,BS8/S8-1)</f>
        <v>-0.34574377792078936</v>
      </c>
      <c r="BV8" s="19">
        <f t="shared" si="25"/>
        <v>-0.35004836903020264</v>
      </c>
      <c r="BW8" s="17">
        <f t="shared" ref="BW8:BX8" si="26">BW9+BW26</f>
        <v>0</v>
      </c>
      <c r="BX8" s="17">
        <f t="shared" si="26"/>
        <v>0</v>
      </c>
      <c r="BY8" s="17">
        <f t="shared" si="23"/>
        <v>156866.5</v>
      </c>
      <c r="BZ8" s="17">
        <f t="shared" si="23"/>
        <v>135737.40000000002</v>
      </c>
      <c r="CA8" s="19">
        <f t="shared" ref="CA8:CB39" si="27">IF(W8=0,1,BY8/W8-1)</f>
        <v>-0.50371910513689244</v>
      </c>
      <c r="CB8" s="19">
        <f t="shared" si="27"/>
        <v>-0.51095175245225066</v>
      </c>
      <c r="CC8" s="17">
        <f t="shared" ref="CC8:CD8" si="28">CC9+CC26</f>
        <v>0</v>
      </c>
      <c r="CD8" s="17">
        <f t="shared" si="28"/>
        <v>0</v>
      </c>
      <c r="CE8" s="17">
        <f t="shared" si="23"/>
        <v>156866.5</v>
      </c>
      <c r="CF8" s="17">
        <f t="shared" si="23"/>
        <v>135737.40000000002</v>
      </c>
      <c r="CG8" s="19">
        <f t="shared" ref="CG8:CH39" si="29">IF(AA8=0,1,CE8/AA8-1)</f>
        <v>-0.6334117144478314</v>
      </c>
      <c r="CH8" s="19">
        <f t="shared" si="29"/>
        <v>-0.64512616524130084</v>
      </c>
      <c r="CI8" s="17">
        <f t="shared" ref="CI8:CJ8" si="30">CI9+CI26</f>
        <v>0</v>
      </c>
      <c r="CJ8" s="17">
        <f t="shared" si="30"/>
        <v>0</v>
      </c>
      <c r="CK8" s="17">
        <f t="shared" si="23"/>
        <v>156866.5</v>
      </c>
      <c r="CL8" s="17">
        <f t="shared" si="23"/>
        <v>135737.40000000002</v>
      </c>
      <c r="CM8" s="19">
        <f t="shared" ref="CM8:CN39" si="31">IF(AE8=0,1,CK8/AE8-1)</f>
        <v>-0.68304470569598774</v>
      </c>
      <c r="CN8" s="19">
        <f t="shared" si="31"/>
        <v>-0.69269984701031229</v>
      </c>
      <c r="CO8" s="17">
        <f t="shared" ref="CO8:CP8" si="32">CO9+CO26</f>
        <v>0</v>
      </c>
      <c r="CP8" s="17">
        <f t="shared" si="32"/>
        <v>0</v>
      </c>
      <c r="CQ8" s="17">
        <f t="shared" si="23"/>
        <v>156866.5</v>
      </c>
      <c r="CR8" s="17">
        <f t="shared" si="23"/>
        <v>135737.40000000002</v>
      </c>
      <c r="CS8" s="19">
        <f t="shared" ref="CS8:CT39" si="33">IF(AI8=0,1,CQ8/AI8-1)</f>
        <v>-0.70873641291986234</v>
      </c>
      <c r="CT8" s="19">
        <f t="shared" si="33"/>
        <v>-0.71593254660446659</v>
      </c>
      <c r="CU8" s="17">
        <f t="shared" ref="CU8:CV8" si="34">CU9+CU26</f>
        <v>0</v>
      </c>
      <c r="CV8" s="17">
        <f t="shared" si="34"/>
        <v>0</v>
      </c>
      <c r="CW8" s="17">
        <f t="shared" si="23"/>
        <v>156866.5</v>
      </c>
      <c r="CX8" s="17">
        <f t="shared" si="23"/>
        <v>135737.40000000002</v>
      </c>
      <c r="CY8" s="19">
        <f t="shared" ref="CY8:CZ39" si="35">IF(AM8=0,1,CW8/AM8-1)</f>
        <v>-0.73927274637172657</v>
      </c>
      <c r="CZ8" s="19">
        <f t="shared" si="35"/>
        <v>-0.74485182550793771</v>
      </c>
      <c r="DA8" s="17">
        <f t="shared" ref="DA8:DB8" si="36">DA9+DA26</f>
        <v>0</v>
      </c>
      <c r="DB8" s="17">
        <f t="shared" si="36"/>
        <v>0</v>
      </c>
      <c r="DC8" s="17">
        <f t="shared" si="23"/>
        <v>156866.5</v>
      </c>
      <c r="DD8" s="17">
        <f t="shared" si="23"/>
        <v>135737.40000000002</v>
      </c>
      <c r="DE8" s="19">
        <f t="shared" ref="DE8:DF39" si="37">IF(AQ8=0,1,DC8/AQ8-1)</f>
        <v>-0.76556896934873286</v>
      </c>
      <c r="DF8" s="19">
        <f t="shared" si="37"/>
        <v>-0.76944502005972049</v>
      </c>
      <c r="DG8" s="17">
        <f t="shared" ref="DG8:DH8" si="38">DG9+DG26</f>
        <v>0</v>
      </c>
      <c r="DH8" s="17">
        <f t="shared" si="38"/>
        <v>0</v>
      </c>
      <c r="DI8" s="17">
        <f t="shared" si="23"/>
        <v>156866.5</v>
      </c>
      <c r="DJ8" s="17">
        <f t="shared" si="23"/>
        <v>135737.40000000002</v>
      </c>
      <c r="DK8" s="19">
        <f t="shared" ref="DK8:DL39" si="39">IF(AU8=0,1,DI8/AU8-1)</f>
        <v>-0.78550631934332593</v>
      </c>
      <c r="DL8" s="19">
        <f t="shared" si="39"/>
        <v>-0.7888243401489895</v>
      </c>
      <c r="DM8" s="17">
        <f t="shared" ref="DM8:DN8" si="40">DM9+DM26</f>
        <v>0</v>
      </c>
      <c r="DN8" s="17">
        <f t="shared" si="40"/>
        <v>0</v>
      </c>
      <c r="DO8" s="17">
        <f>DO9+DO26</f>
        <v>0</v>
      </c>
      <c r="DP8" s="17">
        <f>DP9+DP26</f>
        <v>0</v>
      </c>
      <c r="DQ8" s="17">
        <f>DQ9+DQ26</f>
        <v>726075.3</v>
      </c>
      <c r="DR8" s="17">
        <f>DR9+DR26</f>
        <v>611651.1</v>
      </c>
      <c r="DS8" s="19">
        <f>IF($AY$8=0,1,DQ8/$AY$8-1)</f>
        <v>-7.8455768814369775E-2</v>
      </c>
      <c r="DT8" s="19">
        <f>IF($AZ$8=0,1,DR8/$AZ$8-1)</f>
        <v>-8.6250534071522278E-2</v>
      </c>
      <c r="DU8" s="19">
        <f>IF($E$8=0,1,DQ8/$E$8-1)</f>
        <v>-0.12112902630347799</v>
      </c>
      <c r="DV8" s="19">
        <f>IF($E$8=0,1,DR8/$E$8-1)</f>
        <v>-0.2596327160288352</v>
      </c>
      <c r="DW8" s="21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</row>
    <row r="9" spans="1:268" s="59" customFormat="1" ht="18" customHeight="1">
      <c r="A9" s="415" t="s">
        <v>30</v>
      </c>
      <c r="B9" s="416"/>
      <c r="C9" s="23">
        <f t="shared" ref="C9" si="41">C10+C12+C13+C14+C15+C16+C17+C18+C19+C20+C21+C22+C24+C25+C23</f>
        <v>388115.60000000003</v>
      </c>
      <c r="D9" s="23">
        <f t="shared" ref="D9" si="42">D10+D12+D13+D16+D17+D18+D19+D20+D21+D22+D24+D25+D23</f>
        <v>280088.65999999997</v>
      </c>
      <c r="E9" s="23">
        <f t="shared" ref="E9" si="43">E10+E12+E13+E14+E15+E16+E17+E18+E19+E20+E21+E22+E24+E25+E23</f>
        <v>402069.69999999995</v>
      </c>
      <c r="F9" s="23">
        <f t="shared" ref="F9" si="44">F10+F12+F13+F16+F17+F18+F19+F20+F21+F22+F24+F25+F23</f>
        <v>302563.10000000003</v>
      </c>
      <c r="G9" s="23">
        <f t="shared" ref="G9" si="45">G10+G12+G13+G14+G15+G16+G17+G18+G19+G20+G21+G22+G24+G25+G23</f>
        <v>21193.200000000001</v>
      </c>
      <c r="H9" s="23">
        <f>H10+H12+H13+H16+H17+H18+H19+H20+H21+H22+H24+H25+H23</f>
        <v>16713.599999999999</v>
      </c>
      <c r="I9" s="23">
        <f t="shared" ref="I9" si="46">I10+I12+I13+I14+I15+I16+I17+I18+I19+I20+I21+I22+I24+I25+I23</f>
        <v>55658.399999999994</v>
      </c>
      <c r="J9" s="23">
        <f>J10+J12+J13+J16+J17+J18+J19+J20+J21+J22+J24+J25+J23</f>
        <v>45795.1</v>
      </c>
      <c r="K9" s="23">
        <f t="shared" ref="K9" si="47">K10+K12+K13+K14+K15+K16+K17+K18+K19+K20+K21+K22+K24+K25+K23</f>
        <v>76851.599999999991</v>
      </c>
      <c r="L9" s="23">
        <f t="shared" ref="L9" si="48">L10+L12+L13+L16+L17+L18+L19+L20+L21+L22+L24+L25+L23</f>
        <v>62508.700000000004</v>
      </c>
      <c r="M9" s="23">
        <f t="shared" ref="M9" si="49">M10+M12+M13+M14+M15+M16+M17+M18+M19+M20+M21+M22+M24+M25+M23</f>
        <v>31184.800000000003</v>
      </c>
      <c r="N9" s="23">
        <f t="shared" ref="N9" si="50">N10+N12+N13+N16+N17+N18+N19+N20+N21+N22+N24+N25+N23</f>
        <v>21676.7</v>
      </c>
      <c r="O9" s="23">
        <f t="shared" ref="O9" si="51">O10+O12+O13+O14+O15+O16+O17+O18+O19+O20+O21+O22+O24+O25+O23</f>
        <v>108036.39999999998</v>
      </c>
      <c r="P9" s="23">
        <f t="shared" ref="P9" si="52">P10+P12+P13+P16+P17+P18+P19+P20+P21+P22+P24+P25+P23</f>
        <v>84185.4</v>
      </c>
      <c r="Q9" s="23">
        <f t="shared" ref="Q9" si="53">Q10+Q12+Q13+Q14+Q15+Q16+Q17+Q18+Q19+Q20+Q21+Q22+Q24+Q25+Q23</f>
        <v>34234.899999999994</v>
      </c>
      <c r="R9" s="23">
        <f t="shared" ref="R9" si="54">R10+R12+R13+R16+R17+R18+R19+R20+R21+R22+R24+R25+R23</f>
        <v>26874.510000000002</v>
      </c>
      <c r="S9" s="23">
        <f t="shared" ref="S9" si="55">S10+S12+S13+S14+S15+S16+S17+S18+S19+S20+S21+S22+S24+S25+S23</f>
        <v>142271.30000000002</v>
      </c>
      <c r="T9" s="23">
        <f t="shared" ref="T9" si="56">T10+T12+T13+T16+T17+T18+T19+T20+T21+T22+T24+T25+T23</f>
        <v>111059.90999999999</v>
      </c>
      <c r="U9" s="23">
        <f t="shared" ref="U9" si="57">U10+U12+U13+U14+U15+U16+U17+U18+U19+U20+U21+U22+U24+U25+U23</f>
        <v>35862.6</v>
      </c>
      <c r="V9" s="23">
        <f t="shared" ref="V9" si="58">V10+V12+V13+V16+V17+V18+V19+V20+V21+V22+V24+V25+V23</f>
        <v>28244.400000000001</v>
      </c>
      <c r="W9" s="23">
        <f t="shared" ref="W9" si="59">W10+W12+W13+W14+W15+W16+W17+W18+W19+W20+W21+W22+W24+W25+W23</f>
        <v>178133.90000000002</v>
      </c>
      <c r="X9" s="23">
        <f t="shared" ref="X9" si="60">X10+X12+X13+X16+X17+X18+X19+X20+X21+X22+X24+X25+X23</f>
        <v>139304.31000000003</v>
      </c>
      <c r="Y9" s="23">
        <f t="shared" ref="Y9" si="61">Y10+Y12+Y13+Y14+Y15+Y16+Y17+Y18+Y19+Y20+Y21+Y22+Y24+Y25+Y23</f>
        <v>26016.400000000005</v>
      </c>
      <c r="Z9" s="23">
        <f t="shared" ref="Z9" si="62">Z10+Z12+Z13+Z16+Z17+Z18+Z19+Z20+Z21+Z22+Z24+Z25+Z23</f>
        <v>18973.2</v>
      </c>
      <c r="AA9" s="23">
        <f t="shared" ref="AA9" si="63">AA10+AA12+AA13+AA14+AA15+AA16+AA17+AA18+AA19+AA20+AA21+AA22+AA24+AA25+AA23</f>
        <v>204150.30000000002</v>
      </c>
      <c r="AB9" s="23">
        <f t="shared" ref="AB9" si="64">AB10+AB12+AB13+AB16+AB17+AB18+AB19+AB20+AB21+AB22+AB24+AB25+AB23</f>
        <v>158277.51</v>
      </c>
      <c r="AC9" s="23">
        <f t="shared" ref="AC9" si="65">AC10+AC12+AC13+AC14+AC15+AC16+AC17+AC18+AC19+AC20+AC21+AC22+AC24+AC25+AC23</f>
        <v>37321</v>
      </c>
      <c r="AD9" s="23">
        <f t="shared" ref="AD9" si="66">AD10+AD12+AD13+AD16+AD17+AD18+AD19+AD20+AD21+AD22+AD24+AD25+AD23</f>
        <v>29336.100000000006</v>
      </c>
      <c r="AE9" s="23">
        <f t="shared" ref="AE9" si="67">AE10+AE12+AE13+AE14+AE15+AE16+AE17+AE18+AE19+AE20+AE21+AE22+AE24+AE25+AE23</f>
        <v>241471.30000000002</v>
      </c>
      <c r="AF9" s="23">
        <f t="shared" ref="AF9" si="68">AF10+AF12+AF13+AF16+AF17+AF18+AF19+AF20+AF21+AF22+AF24+AF25+AF23</f>
        <v>187613.61000000002</v>
      </c>
      <c r="AG9" s="23">
        <f t="shared" ref="AG9" si="69">AG10+AG12+AG13+AG14+AG15+AG16+AG17+AG18+AG19+AG20+AG21+AG22+AG24+AG25+AG23</f>
        <v>25612.40000000002</v>
      </c>
      <c r="AH9" s="23">
        <f t="shared" ref="AH9" si="70">AH10+AH12+AH13+AH16+AH17+AH18+AH19+AH20+AH21+AH22+AH24+AH25+AH23</f>
        <v>17990.789999999986</v>
      </c>
      <c r="AI9" s="23">
        <f t="shared" ref="AI9" si="71">AI10+AI12+AI13+AI14+AI15+AI16+AI17+AI18+AI19+AI20+AI21+AI22+AI24+AI25+AI23</f>
        <v>267083.7</v>
      </c>
      <c r="AJ9" s="23">
        <f t="shared" ref="AJ9" si="72">AJ10+AJ12+AJ13+AJ16+AJ17+AJ18+AJ19+AJ20+AJ21+AJ22+AJ24+AJ25+AJ23</f>
        <v>205604.4</v>
      </c>
      <c r="AK9" s="23">
        <f t="shared" ref="AK9" si="73">AK10+AK12+AK13+AK14+AK15+AK16+AK17+AK18+AK19+AK20+AK21+AK22+AK24+AK25+AK23</f>
        <v>32101.799999999981</v>
      </c>
      <c r="AL9" s="23">
        <f t="shared" ref="AL9" si="74">AL10+AL12+AL13+AL16+AL17+AL18+AL19+AL20+AL21+AL22+AL24+AL25+AL23</f>
        <v>23077.600000000028</v>
      </c>
      <c r="AM9" s="23">
        <f t="shared" ref="AM9" si="75">AM10+AM12+AM13+AM14+AM15+AM16+AM17+AM18+AM19+AM20+AM21+AM22+AM24+AM25+AM23</f>
        <v>299185.5</v>
      </c>
      <c r="AN9" s="23">
        <f t="shared" ref="AN9" si="76">AN10+AN12+AN13+AN16+AN17+AN18+AN19+AN20+AN21+AN22+AN24+AN25+AN23</f>
        <v>228682.00000000006</v>
      </c>
      <c r="AO9" s="23">
        <f t="shared" ref="AO9" si="77">AO10+AO12+AO13+AO14+AO15+AO16+AO17+AO18+AO19+AO20+AO21+AO22+AO24+AO25+AO23</f>
        <v>37130.399999999994</v>
      </c>
      <c r="AP9" s="23">
        <f t="shared" ref="AP9" si="78">AP10+AP12+AP13+AP16+AP17+AP18+AP19+AP20+AP21+AP22+AP24+AP25+AP23</f>
        <v>26464.700000000023</v>
      </c>
      <c r="AQ9" s="23">
        <f t="shared" ref="AQ9" si="79">AQ10+AQ12+AQ13+AQ14+AQ15+AQ16+AQ17+AQ18+AQ19+AQ20+AQ21+AQ22+AQ24+AQ25+AQ23</f>
        <v>336315.9</v>
      </c>
      <c r="AR9" s="23">
        <f t="shared" ref="AR9" si="80">AR10+AR12+AR13+AR16+AR17+AR18+AR19+AR20+AR21+AR22+AR24+AR25+AR23</f>
        <v>255146.70000000004</v>
      </c>
      <c r="AS9" s="23">
        <f t="shared" ref="AS9" si="81">AS10+AS12+AS13+AS14+AS15+AS16+AS17+AS18+AS19+AS20+AS21+AS22+AS24+AS25+AS23</f>
        <v>29257.9</v>
      </c>
      <c r="AT9" s="23">
        <f t="shared" ref="AT9" si="82">AT10+AT12+AT13+AT16+AT17+AT18+AT19+AT20+AT21+AT22+AT24+AT25+AT23</f>
        <v>20998.400000000001</v>
      </c>
      <c r="AU9" s="23">
        <f t="shared" ref="AU9" si="83">AU10+AU12+AU13+AU14+AU15+AU16+AU17+AU18+AU19+AU20+AU21+AU22+AU24+AU25+AU23</f>
        <v>365573.79999999993</v>
      </c>
      <c r="AV9" s="23">
        <f t="shared" ref="AV9" si="84">AV10+AV12+AV13+AV16+AV17+AV18+AV19+AV20+AV21+AV22+AV24+AV25+AV23</f>
        <v>276145.10000000009</v>
      </c>
      <c r="AW9" s="23">
        <f t="shared" ref="AW9" si="85">AW10+AW12+AW13+AW14+AW15+AW16+AW17+AW18+AW19+AW20+AW21+AW22+AW24+AW25+AW23</f>
        <v>36495.9</v>
      </c>
      <c r="AX9" s="23">
        <f t="shared" ref="AX9" si="86">AX10+AX12+AX13+AX16+AX17+AX18+AX19+AX20+AX21+AX22+AX24+AX25+AX23</f>
        <v>26418</v>
      </c>
      <c r="AY9" s="23">
        <f>AY10+AY12+AY13+AY14+AY15+AY16+AY17+AY18+AY19+AY20+AY21+AY22+AY24+AY25</f>
        <v>464777.6</v>
      </c>
      <c r="AZ9" s="23">
        <f>AZ10+AZ12+AZ13+AZ16+AZ17+AZ18+AZ19+AZ20+AZ21+AZ22+AZ24+AZ25</f>
        <v>345413</v>
      </c>
      <c r="BA9" s="54">
        <f>IF(E9=0,1,AY9/E9-1)</f>
        <v>0.15596275969067053</v>
      </c>
      <c r="BB9" s="54">
        <f>IF(F9=0,1,AZ9/F9-1)</f>
        <v>0.14162302012373607</v>
      </c>
      <c r="BC9" s="23">
        <f t="shared" ref="BC9:DQ9" si="87">BC10+BC12+BC13+BC14+BC15+BC16+BC17+BC18+BC19+BC20+BC21+BC22+BC24+BC25+BC23</f>
        <v>24934.799999999999</v>
      </c>
      <c r="BD9" s="23">
        <f>BD10+BD12+BD13+BD16+BD17+BD18+BD19+BD20+BD21+BD22+BD24+BD25+BD23</f>
        <v>18404.900000000001</v>
      </c>
      <c r="BE9" s="23">
        <f t="shared" si="87"/>
        <v>32889.1</v>
      </c>
      <c r="BF9" s="23">
        <f t="shared" ref="BF9" si="88">BF10+BF12+BF13+BF16+BF17+BF18+BF19+BF20+BF21+BF22+BF24+BF25+BF23</f>
        <v>24670.9</v>
      </c>
      <c r="BG9" s="23">
        <f t="shared" si="87"/>
        <v>57823.899999999994</v>
      </c>
      <c r="BH9" s="23">
        <f t="shared" ref="BH9" si="89">BH10+BH12+BH13+BH16+BH17+BH18+BH19+BH20+BH21+BH22+BH24+BH25+BH23</f>
        <v>43075.8</v>
      </c>
      <c r="BI9" s="54">
        <f>IF(K9=0,1,BG9/K9-1)</f>
        <v>-0.24759016077739437</v>
      </c>
      <c r="BJ9" s="54">
        <f>IF(L9=0,1,BH9/L9-1)</f>
        <v>-0.31088312506899041</v>
      </c>
      <c r="BK9" s="23">
        <f t="shared" si="87"/>
        <v>31827.200000000001</v>
      </c>
      <c r="BL9" s="23">
        <f t="shared" ref="BL9" si="90">BL10+BL12+BL13+BL16+BL17+BL18+BL19+BL20+BL21+BL22+BL24+BL25+BL23</f>
        <v>25894.500000000004</v>
      </c>
      <c r="BM9" s="23">
        <f t="shared" si="87"/>
        <v>89651.099999999991</v>
      </c>
      <c r="BN9" s="23">
        <f t="shared" ref="BN9" si="91">BN10+BN12+BN13+BN16+BN17+BN18+BN19+BN20+BN21+BN22+BN24+BN25+BN23</f>
        <v>68970.300000000017</v>
      </c>
      <c r="BO9" s="54">
        <f t="shared" si="24"/>
        <v>-0.17017690333998536</v>
      </c>
      <c r="BP9" s="54">
        <f t="shared" si="24"/>
        <v>-0.18073323878012071</v>
      </c>
      <c r="BQ9" s="23">
        <f t="shared" si="87"/>
        <v>0</v>
      </c>
      <c r="BR9" s="23">
        <f t="shared" ref="BR9" si="92">BR10+BR12+BR13+BR16+BR17+BR18+BR19+BR20+BR21+BR22+BR24+BR25+BR23</f>
        <v>0</v>
      </c>
      <c r="BS9" s="23">
        <f t="shared" si="87"/>
        <v>89651.099999999991</v>
      </c>
      <c r="BT9" s="23">
        <f t="shared" ref="BT9" si="93">BT10+BT12+BT13+BT16+BT17+BT18+BT19+BT20+BT21+BT22+BT24+BT25+BT23</f>
        <v>68970.300000000017</v>
      </c>
      <c r="BU9" s="54">
        <f t="shared" si="25"/>
        <v>-0.36985815129263611</v>
      </c>
      <c r="BV9" s="54">
        <f t="shared" si="25"/>
        <v>-0.37898112829372876</v>
      </c>
      <c r="BW9" s="23">
        <f t="shared" si="87"/>
        <v>0</v>
      </c>
      <c r="BX9" s="23">
        <f t="shared" ref="BX9" si="94">BX10+BX12+BX13+BX16+BX17+BX18+BX19+BX20+BX21+BX22+BX24+BX25+BX23</f>
        <v>0</v>
      </c>
      <c r="BY9" s="23">
        <f t="shared" si="87"/>
        <v>89651.099999999991</v>
      </c>
      <c r="BZ9" s="23">
        <f t="shared" ref="BZ9" si="95">BZ10+BZ12+BZ13+BZ16+BZ17+BZ18+BZ19+BZ20+BZ21+BZ22+BZ24+BZ25+BZ23</f>
        <v>68970.300000000017</v>
      </c>
      <c r="CA9" s="54">
        <f t="shared" si="27"/>
        <v>-0.49672072525218403</v>
      </c>
      <c r="CB9" s="54">
        <f t="shared" si="27"/>
        <v>-0.50489471574856504</v>
      </c>
      <c r="CC9" s="23">
        <f t="shared" si="87"/>
        <v>0</v>
      </c>
      <c r="CD9" s="23">
        <f t="shared" ref="CD9" si="96">CD10+CD12+CD13+CD16+CD17+CD18+CD19+CD20+CD21+CD22+CD24+CD25+CD23</f>
        <v>0</v>
      </c>
      <c r="CE9" s="23">
        <f t="shared" si="87"/>
        <v>89651.099999999991</v>
      </c>
      <c r="CF9" s="23">
        <f t="shared" ref="CF9" si="97">CF10+CF12+CF13+CF16+CF17+CF18+CF19+CF20+CF21+CF22+CF24+CF25+CF23</f>
        <v>68970.300000000017</v>
      </c>
      <c r="CG9" s="54">
        <f t="shared" si="29"/>
        <v>-0.56085736832128097</v>
      </c>
      <c r="CH9" s="54">
        <f>IF(AB9=0,1,CF9/AB9-1)</f>
        <v>-0.5642444716245536</v>
      </c>
      <c r="CI9" s="23">
        <f t="shared" si="87"/>
        <v>0</v>
      </c>
      <c r="CJ9" s="23">
        <f t="shared" ref="CJ9" si="98">CJ10+CJ12+CJ13+CJ16+CJ17+CJ18+CJ19+CJ20+CJ21+CJ22+CJ24+CJ25+CJ23</f>
        <v>0</v>
      </c>
      <c r="CK9" s="23">
        <f t="shared" si="87"/>
        <v>89651.099999999991</v>
      </c>
      <c r="CL9" s="23">
        <f t="shared" ref="CL9" si="99">CL10+CL12+CL13+CL16+CL17+CL18+CL19+CL20+CL21+CL22+CL24+CL25+CL23</f>
        <v>68970.300000000017</v>
      </c>
      <c r="CM9" s="54">
        <f t="shared" si="31"/>
        <v>-0.62872979107662075</v>
      </c>
      <c r="CN9" s="54">
        <f t="shared" si="31"/>
        <v>-0.63238114761503705</v>
      </c>
      <c r="CO9" s="23">
        <f t="shared" si="87"/>
        <v>0</v>
      </c>
      <c r="CP9" s="23">
        <f t="shared" ref="CP9" si="100">CP10+CP12+CP13+CP16+CP17+CP18+CP19+CP20+CP21+CP22+CP24+CP25+CP23</f>
        <v>0</v>
      </c>
      <c r="CQ9" s="23">
        <f t="shared" si="87"/>
        <v>89651.099999999991</v>
      </c>
      <c r="CR9" s="23">
        <f t="shared" ref="CR9" si="101">CR10+CR12+CR13+CR16+CR17+CR18+CR19+CR20+CR21+CR22+CR24+CR25+CR23</f>
        <v>68970.300000000017</v>
      </c>
      <c r="CS9" s="54">
        <f t="shared" si="33"/>
        <v>-0.66433331573585364</v>
      </c>
      <c r="CT9" s="54">
        <f t="shared" si="33"/>
        <v>-0.66454852133514641</v>
      </c>
      <c r="CU9" s="23">
        <f t="shared" si="87"/>
        <v>0</v>
      </c>
      <c r="CV9" s="23">
        <f t="shared" ref="CV9" si="102">CV10+CV12+CV13+CV16+CV17+CV18+CV19+CV20+CV21+CV22+CV24+CV25+CV23</f>
        <v>0</v>
      </c>
      <c r="CW9" s="23">
        <f t="shared" si="87"/>
        <v>89651.099999999991</v>
      </c>
      <c r="CX9" s="23">
        <f t="shared" ref="CX9" si="103">CX10+CX12+CX13+CX16+CX17+CX18+CX19+CX20+CX21+CX22+CX24+CX25+CX23</f>
        <v>68970.300000000017</v>
      </c>
      <c r="CY9" s="54">
        <f t="shared" si="35"/>
        <v>-0.70034944875336547</v>
      </c>
      <c r="CZ9" s="54">
        <f t="shared" si="35"/>
        <v>-0.69840083609553871</v>
      </c>
      <c r="DA9" s="23">
        <f t="shared" si="87"/>
        <v>0</v>
      </c>
      <c r="DB9" s="23">
        <f t="shared" ref="DB9" si="104">DB10+DB12+DB13+DB16+DB17+DB18+DB19+DB20+DB21+DB22+DB24+DB25+DB23</f>
        <v>0</v>
      </c>
      <c r="DC9" s="23">
        <f t="shared" si="87"/>
        <v>89651.099999999991</v>
      </c>
      <c r="DD9" s="23">
        <f t="shared" ref="DD9" si="105">DD10+DD12+DD13+DD16+DD17+DD18+DD19+DD20+DD21+DD22+DD24+DD25+DD23</f>
        <v>68970.300000000017</v>
      </c>
      <c r="DE9" s="54">
        <f t="shared" si="37"/>
        <v>-0.73343187164210799</v>
      </c>
      <c r="DF9" s="54">
        <f t="shared" si="37"/>
        <v>-0.72968374664457736</v>
      </c>
      <c r="DG9" s="23">
        <f t="shared" si="87"/>
        <v>0</v>
      </c>
      <c r="DH9" s="23">
        <f t="shared" ref="DH9" si="106">DH10+DH12+DH13+DH16+DH17+DH18+DH19+DH20+DH21+DH22+DH24+DH25+DH23</f>
        <v>0</v>
      </c>
      <c r="DI9" s="23">
        <f t="shared" si="87"/>
        <v>89651.099999999991</v>
      </c>
      <c r="DJ9" s="23">
        <f t="shared" ref="DJ9" si="107">DJ10+DJ12+DJ13+DJ16+DJ17+DJ18+DJ19+DJ20+DJ21+DJ22+DJ24+DJ25+DJ23</f>
        <v>68970.300000000017</v>
      </c>
      <c r="DK9" s="54">
        <f t="shared" si="39"/>
        <v>-0.75476606912202127</v>
      </c>
      <c r="DL9" s="54">
        <f t="shared" si="39"/>
        <v>-0.75023891425196387</v>
      </c>
      <c r="DM9" s="23">
        <f t="shared" si="87"/>
        <v>0</v>
      </c>
      <c r="DN9" s="23">
        <f t="shared" ref="DN9:DR9" si="108">DN10+DN12+DN13+DN16+DN17+DN18+DN19+DN20+DN21+DN22+DN24+DN25+DN23</f>
        <v>0</v>
      </c>
      <c r="DO9" s="23">
        <f t="shared" si="87"/>
        <v>0</v>
      </c>
      <c r="DP9" s="23">
        <f t="shared" si="108"/>
        <v>0</v>
      </c>
      <c r="DQ9" s="23">
        <f t="shared" si="87"/>
        <v>404325.1</v>
      </c>
      <c r="DR9" s="23">
        <f t="shared" si="108"/>
        <v>289040.09999999998</v>
      </c>
      <c r="DS9" s="54">
        <f>IF($AY$9=0,1,DQ9/$AY$9-1)</f>
        <v>-0.13006758501270288</v>
      </c>
      <c r="DT9" s="54">
        <f>IF($AZ$9=0,1,DR9/$AZ$9-1)</f>
        <v>-0.16320433799538525</v>
      </c>
      <c r="DU9" s="54">
        <f>IF($E$9=0,1,DQ9/$E$9-1)</f>
        <v>5.6094751730857428E-3</v>
      </c>
      <c r="DV9" s="54">
        <f>IF($E$9=0,1,DR9/$E$9-1)</f>
        <v>-0.28111941785217831</v>
      </c>
      <c r="DW9" s="52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</row>
    <row r="10" spans="1:268" s="62" customFormat="1" ht="18" customHeight="1">
      <c r="A10" s="413" t="s">
        <v>31</v>
      </c>
      <c r="B10" s="414"/>
      <c r="C10" s="26">
        <f>'[1]прогноз '!B18</f>
        <v>208697.3</v>
      </c>
      <c r="D10" s="26">
        <f>'[1]прогноз '!C18</f>
        <v>150494.9</v>
      </c>
      <c r="E10" s="26">
        <f>G10+I10+M10+Q10+U10+Y10+AC10+AG10+AK10+AO10+AS10+AW10</f>
        <v>206610.39999999994</v>
      </c>
      <c r="F10" s="26">
        <f>H10+J10+N10+R10+V10+Z10+AD10+AH10+AL10+AP10+AT10+AX10</f>
        <v>153713.90000000002</v>
      </c>
      <c r="G10" s="26">
        <v>8913.1</v>
      </c>
      <c r="H10" s="26">
        <v>6592.9</v>
      </c>
      <c r="I10" s="26">
        <f>27441.1-G10</f>
        <v>18528</v>
      </c>
      <c r="J10" s="26">
        <v>13672.9</v>
      </c>
      <c r="K10" s="26">
        <f>G10+I10</f>
        <v>27441.1</v>
      </c>
      <c r="L10" s="26">
        <f>H10+J10</f>
        <v>20265.8</v>
      </c>
      <c r="M10" s="26">
        <f>43594.2-G10-I10</f>
        <v>16153.099999999999</v>
      </c>
      <c r="N10" s="26">
        <v>11919.4</v>
      </c>
      <c r="O10" s="26">
        <f>K10+M10</f>
        <v>43594.2</v>
      </c>
      <c r="P10" s="26">
        <f>L10+N10</f>
        <v>32185.199999999997</v>
      </c>
      <c r="Q10" s="26">
        <f>58557.2-M10-G10-I10</f>
        <v>14963</v>
      </c>
      <c r="R10" s="26">
        <v>11049.2</v>
      </c>
      <c r="S10" s="26">
        <f>O10+Q10</f>
        <v>58557.2</v>
      </c>
      <c r="T10" s="26">
        <f>P10+R10</f>
        <v>43234.399999999994</v>
      </c>
      <c r="U10" s="26">
        <f>83223.5-G10-I10-M10-Q10</f>
        <v>24666.299999999996</v>
      </c>
      <c r="V10" s="26">
        <v>19609.900000000001</v>
      </c>
      <c r="W10" s="26">
        <f>S10+U10</f>
        <v>83223.5</v>
      </c>
      <c r="X10" s="26">
        <f>T10+V10</f>
        <v>62844.299999999996</v>
      </c>
      <c r="Y10" s="26">
        <f>100134.2-G10-I10-M10-Q10-U10</f>
        <v>16910.699999999997</v>
      </c>
      <c r="Z10" s="26">
        <v>12575.9</v>
      </c>
      <c r="AA10" s="26">
        <f>W10+Y10</f>
        <v>100134.2</v>
      </c>
      <c r="AB10" s="26">
        <f>X10+Z10</f>
        <v>75420.2</v>
      </c>
      <c r="AC10" s="26">
        <v>17589.2</v>
      </c>
      <c r="AD10" s="26">
        <v>12987.6</v>
      </c>
      <c r="AE10" s="26">
        <f>AA10+AC10</f>
        <v>117723.4</v>
      </c>
      <c r="AF10" s="26">
        <f>AB10+AD10</f>
        <v>88407.8</v>
      </c>
      <c r="AG10" s="26">
        <f>133734.9-AC10-Y10-U10-Q10-M10-I10-G10</f>
        <v>16011.500000000013</v>
      </c>
      <c r="AH10" s="26">
        <f>100180.4-AD10-Z10-V10-R10-N10-J10-H10</f>
        <v>11772.599999999986</v>
      </c>
      <c r="AI10" s="26">
        <f>AE10+AG10</f>
        <v>133734.9</v>
      </c>
      <c r="AJ10" s="26">
        <f>AF10+AH10</f>
        <v>100180.4</v>
      </c>
      <c r="AK10" s="26">
        <f>149871-G10-I10-M10-Q10-U10-Y10-AC10-AG10</f>
        <v>16136.099999999989</v>
      </c>
      <c r="AL10" s="23">
        <f>112067.7-H10-J10-N10-R10-V10-Z10-AD10-AH10</f>
        <v>11887.30000000003</v>
      </c>
      <c r="AM10" s="26">
        <f>AI10+AK10</f>
        <v>149870.99999999997</v>
      </c>
      <c r="AN10" s="26">
        <f>AJ10+AL10</f>
        <v>112067.70000000003</v>
      </c>
      <c r="AO10" s="26">
        <f>167273.3-G10-I10-M10-Q10-U10-Y10-AC10-AG10-AK10</f>
        <v>17402.299999999988</v>
      </c>
      <c r="AP10" s="26">
        <f>124835.6-H10-J10-N10-R10-V10-Z10-AD10-AH10-AL10</f>
        <v>12767.900000000011</v>
      </c>
      <c r="AQ10" s="26">
        <f>AM10+AO10</f>
        <v>167273.29999999996</v>
      </c>
      <c r="AR10" s="26">
        <f>AN10+AP10</f>
        <v>124835.60000000003</v>
      </c>
      <c r="AS10" s="26">
        <v>16487.8</v>
      </c>
      <c r="AT10" s="26">
        <v>12154</v>
      </c>
      <c r="AU10" s="26">
        <f>AQ10+AS10</f>
        <v>183761.09999999995</v>
      </c>
      <c r="AV10" s="26">
        <f>AR10+AT10</f>
        <v>136989.60000000003</v>
      </c>
      <c r="AW10" s="26">
        <f>6125+AX10</f>
        <v>22849.3</v>
      </c>
      <c r="AX10" s="26">
        <v>16724.3</v>
      </c>
      <c r="AY10" s="26">
        <v>230884.9</v>
      </c>
      <c r="AZ10" s="26">
        <v>171633</v>
      </c>
      <c r="BA10" s="55">
        <f t="shared" ref="BA10:BB25" si="109">IF(E10=0,1,AY10/E10-1)</f>
        <v>0.11748924545908657</v>
      </c>
      <c r="BB10" s="55">
        <f t="shared" si="109"/>
        <v>0.11657436315128278</v>
      </c>
      <c r="BC10" s="26">
        <v>12363.4</v>
      </c>
      <c r="BD10" s="26">
        <v>9132.1</v>
      </c>
      <c r="BE10" s="26">
        <v>14956.2</v>
      </c>
      <c r="BF10" s="26">
        <v>11109.6</v>
      </c>
      <c r="BG10" s="26">
        <f>BC10+BE10</f>
        <v>27319.599999999999</v>
      </c>
      <c r="BH10" s="26">
        <f>BD10+BF10</f>
        <v>20241.7</v>
      </c>
      <c r="BI10" s="55">
        <f t="shared" si="22"/>
        <v>-4.4276650717354205E-3</v>
      </c>
      <c r="BJ10" s="55">
        <f t="shared" si="22"/>
        <v>-1.1891955906008222E-3</v>
      </c>
      <c r="BK10" s="26">
        <f>170+151.9+603.4+3536.2+25+BL10</f>
        <v>20462.7</v>
      </c>
      <c r="BL10" s="26">
        <v>15976.2</v>
      </c>
      <c r="BM10" s="26">
        <f>BG10+BK10</f>
        <v>47782.3</v>
      </c>
      <c r="BN10" s="26">
        <f>BH10+BL10</f>
        <v>36217.9</v>
      </c>
      <c r="BO10" s="55">
        <f t="shared" si="24"/>
        <v>9.6070119419555899E-2</v>
      </c>
      <c r="BP10" s="55">
        <f t="shared" si="24"/>
        <v>0.1252967202316595</v>
      </c>
      <c r="BQ10" s="26"/>
      <c r="BR10" s="26"/>
      <c r="BS10" s="26">
        <f>BM10+BQ10</f>
        <v>47782.3</v>
      </c>
      <c r="BT10" s="26">
        <f>BN10+BR10</f>
        <v>36217.9</v>
      </c>
      <c r="BU10" s="55">
        <f t="shared" si="25"/>
        <v>-0.18400640741019025</v>
      </c>
      <c r="BV10" s="55">
        <f t="shared" si="25"/>
        <v>-0.16228975075402907</v>
      </c>
      <c r="BW10" s="26"/>
      <c r="BX10" s="26"/>
      <c r="BY10" s="26">
        <f>BS10+BW10</f>
        <v>47782.3</v>
      </c>
      <c r="BZ10" s="26">
        <f>BT10+BX10</f>
        <v>36217.9</v>
      </c>
      <c r="CA10" s="55">
        <f t="shared" si="27"/>
        <v>-0.42585567778331834</v>
      </c>
      <c r="CB10" s="55">
        <f t="shared" si="27"/>
        <v>-0.42368838542238507</v>
      </c>
      <c r="CC10" s="26"/>
      <c r="CD10" s="26"/>
      <c r="CE10" s="26">
        <f>BY10+CC10</f>
        <v>47782.3</v>
      </c>
      <c r="CF10" s="26">
        <f>BZ10+CD10</f>
        <v>36217.9</v>
      </c>
      <c r="CG10" s="55">
        <f t="shared" si="29"/>
        <v>-0.52281737907727832</v>
      </c>
      <c r="CH10" s="55">
        <f t="shared" si="29"/>
        <v>-0.51978515039737361</v>
      </c>
      <c r="CI10" s="26"/>
      <c r="CJ10" s="26"/>
      <c r="CK10" s="26">
        <f>CE10+CI10</f>
        <v>47782.3</v>
      </c>
      <c r="CL10" s="26">
        <f>CF10+CJ10</f>
        <v>36217.9</v>
      </c>
      <c r="CM10" s="55">
        <f t="shared" si="31"/>
        <v>-0.59411382953601399</v>
      </c>
      <c r="CN10" s="55">
        <f t="shared" si="31"/>
        <v>-0.59033139609853436</v>
      </c>
      <c r="CO10" s="26"/>
      <c r="CP10" s="26"/>
      <c r="CQ10" s="26">
        <f>CK10+CO10</f>
        <v>47782.3</v>
      </c>
      <c r="CR10" s="26">
        <f>CL10+CP10</f>
        <v>36217.9</v>
      </c>
      <c r="CS10" s="55">
        <f t="shared" si="33"/>
        <v>-0.64270882170622623</v>
      </c>
      <c r="CT10" s="55">
        <f>IF(AJ10=0,1,CR10/AJ10-1)</f>
        <v>-0.63847319435737926</v>
      </c>
      <c r="CU10" s="26"/>
      <c r="CV10" s="26"/>
      <c r="CW10" s="26">
        <f>CQ10+CU10</f>
        <v>47782.3</v>
      </c>
      <c r="CX10" s="26">
        <f>CR10+CV10</f>
        <v>36217.9</v>
      </c>
      <c r="CY10" s="55">
        <f t="shared" si="35"/>
        <v>-0.68117714567861687</v>
      </c>
      <c r="CZ10" s="55">
        <f t="shared" si="35"/>
        <v>-0.67682124287372725</v>
      </c>
      <c r="DA10" s="26"/>
      <c r="DB10" s="26"/>
      <c r="DC10" s="26">
        <f>CW10+DA10</f>
        <v>47782.3</v>
      </c>
      <c r="DD10" s="26">
        <f>CX10+DB10</f>
        <v>36217.9</v>
      </c>
      <c r="DE10" s="55">
        <f t="shared" si="37"/>
        <v>-0.71434592370689165</v>
      </c>
      <c r="DF10" s="55">
        <f t="shared" si="37"/>
        <v>-0.70987522789973379</v>
      </c>
      <c r="DG10" s="26"/>
      <c r="DH10" s="26"/>
      <c r="DI10" s="26">
        <f>DC10+DG10</f>
        <v>47782.3</v>
      </c>
      <c r="DJ10" s="26">
        <f>DD10+DH10</f>
        <v>36217.9</v>
      </c>
      <c r="DK10" s="55">
        <f>IF(AU10=0,1,DI10/AU10-1)</f>
        <v>-0.73997597968231577</v>
      </c>
      <c r="DL10" s="55">
        <f>IF(AV10=0,1,DJ10/AV10-1)</f>
        <v>-0.73561569637403135</v>
      </c>
      <c r="DM10" s="26"/>
      <c r="DN10" s="26"/>
      <c r="DO10" s="26"/>
      <c r="DP10" s="26"/>
      <c r="DQ10" s="26">
        <v>215285</v>
      </c>
      <c r="DR10" s="26">
        <v>160133</v>
      </c>
      <c r="DS10" s="55">
        <f>IF($AY$10=0,1,DQ10/$AY$10-1)</f>
        <v>-6.7565700485393343E-2</v>
      </c>
      <c r="DT10" s="55">
        <f>IF($AZ$10=0,1,DR10/$AZ$10-1)</f>
        <v>-6.7003431740982222E-2</v>
      </c>
      <c r="DU10" s="55">
        <f>IF($E$10=0,1,DQ10/$E$10-1)</f>
        <v>4.1985301804749797E-2</v>
      </c>
      <c r="DV10" s="55">
        <f>IF($E$10=0,1,DR10/$E$10-1)</f>
        <v>-0.22495189012750549</v>
      </c>
      <c r="DW10" s="25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</row>
    <row r="11" spans="1:268" s="62" customFormat="1" ht="18" customHeight="1">
      <c r="A11" s="114" t="s">
        <v>130</v>
      </c>
      <c r="B11" s="113" t="s">
        <v>128</v>
      </c>
      <c r="C11" s="26">
        <f>'[1]прогноз '!B19</f>
        <v>0</v>
      </c>
      <c r="D11" s="26">
        <f>'[1]прогноз '!C19</f>
        <v>0</v>
      </c>
      <c r="E11" s="26">
        <f t="shared" ref="E11:F35" si="110">G11+I11+M11+Q11+U11+Y11+AC11+AG11+AK11+AO11+AS11+AW11</f>
        <v>0</v>
      </c>
      <c r="F11" s="26">
        <f>H11+J11+N11+R11+V11+Z11+AD11+AH11+AL11+AP11+AT11+AX11</f>
        <v>0</v>
      </c>
      <c r="G11" s="26">
        <v>0</v>
      </c>
      <c r="H11" s="26">
        <v>0</v>
      </c>
      <c r="I11" s="26">
        <v>0</v>
      </c>
      <c r="J11" s="26">
        <v>0</v>
      </c>
      <c r="K11" s="26">
        <f t="shared" ref="K11:L38" si="111">G11+I11</f>
        <v>0</v>
      </c>
      <c r="L11" s="26">
        <f t="shared" si="111"/>
        <v>0</v>
      </c>
      <c r="M11" s="26">
        <v>0</v>
      </c>
      <c r="N11" s="26">
        <v>0</v>
      </c>
      <c r="O11" s="26">
        <f t="shared" ref="O11:P41" si="112">K11+M11</f>
        <v>0</v>
      </c>
      <c r="P11" s="26">
        <f t="shared" si="112"/>
        <v>0</v>
      </c>
      <c r="Q11" s="26">
        <v>0</v>
      </c>
      <c r="R11" s="26">
        <v>0</v>
      </c>
      <c r="S11" s="26">
        <f t="shared" ref="S11:T41" si="113">O11+Q11</f>
        <v>0</v>
      </c>
      <c r="T11" s="26">
        <f t="shared" si="113"/>
        <v>0</v>
      </c>
      <c r="U11" s="26">
        <v>0</v>
      </c>
      <c r="V11" s="26">
        <v>0</v>
      </c>
      <c r="W11" s="26">
        <f t="shared" ref="W11:X41" si="114">S11+U11</f>
        <v>0</v>
      </c>
      <c r="X11" s="26">
        <f t="shared" si="114"/>
        <v>0</v>
      </c>
      <c r="Y11" s="26"/>
      <c r="Z11" s="26">
        <v>0</v>
      </c>
      <c r="AA11" s="26">
        <f t="shared" ref="AA11:AB41" si="115">W11+Y11</f>
        <v>0</v>
      </c>
      <c r="AB11" s="26">
        <f t="shared" si="115"/>
        <v>0</v>
      </c>
      <c r="AC11" s="26">
        <v>0</v>
      </c>
      <c r="AD11" s="26">
        <v>0</v>
      </c>
      <c r="AE11" s="26">
        <f t="shared" ref="AE11:AF41" si="116">AA11+AC11</f>
        <v>0</v>
      </c>
      <c r="AF11" s="26">
        <f t="shared" si="116"/>
        <v>0</v>
      </c>
      <c r="AG11" s="26">
        <v>0</v>
      </c>
      <c r="AH11" s="26">
        <v>0</v>
      </c>
      <c r="AI11" s="26">
        <f t="shared" ref="AI11:AJ25" si="117">AE11+AG11</f>
        <v>0</v>
      </c>
      <c r="AJ11" s="26">
        <f t="shared" si="117"/>
        <v>0</v>
      </c>
      <c r="AK11" s="26">
        <v>0</v>
      </c>
      <c r="AL11" s="23">
        <v>0</v>
      </c>
      <c r="AM11" s="26">
        <f t="shared" ref="AM11:AN25" si="118">AI11+AK11</f>
        <v>0</v>
      </c>
      <c r="AN11" s="26">
        <f t="shared" si="118"/>
        <v>0</v>
      </c>
      <c r="AO11" s="26">
        <v>0</v>
      </c>
      <c r="AP11" s="26">
        <v>0</v>
      </c>
      <c r="AQ11" s="26">
        <f t="shared" ref="AQ11:AR25" si="119">AM11+AO11</f>
        <v>0</v>
      </c>
      <c r="AR11" s="26">
        <f t="shared" si="119"/>
        <v>0</v>
      </c>
      <c r="AS11" s="26">
        <v>0</v>
      </c>
      <c r="AT11" s="26">
        <v>0</v>
      </c>
      <c r="AU11" s="26">
        <f t="shared" ref="AU11:AV25" si="120">AQ11+AS11</f>
        <v>0</v>
      </c>
      <c r="AV11" s="26">
        <f t="shared" si="120"/>
        <v>0</v>
      </c>
      <c r="AW11" s="26">
        <v>0</v>
      </c>
      <c r="AX11" s="26">
        <v>0</v>
      </c>
      <c r="AY11" s="26">
        <f>AY10*$B$11/(43+$B$11)</f>
        <v>5247.3840909090904</v>
      </c>
      <c r="AZ11" s="26">
        <f>AY11</f>
        <v>5247.3840909090904</v>
      </c>
      <c r="BA11" s="55">
        <f t="shared" si="109"/>
        <v>1</v>
      </c>
      <c r="BB11" s="55">
        <f t="shared" si="109"/>
        <v>1</v>
      </c>
      <c r="BC11" s="26">
        <f t="shared" ref="BC11" si="121">BC10*$B$11/(43+$B$11)</f>
        <v>280.98636363636365</v>
      </c>
      <c r="BD11" s="26">
        <f t="shared" ref="BD11" si="122">BC11</f>
        <v>280.98636363636365</v>
      </c>
      <c r="BE11" s="26">
        <f t="shared" ref="BE11" si="123">BE10*$B$11/(43+$B$11)</f>
        <v>339.91363636363639</v>
      </c>
      <c r="BF11" s="26">
        <f t="shared" ref="BF11" si="124">BE11</f>
        <v>339.91363636363639</v>
      </c>
      <c r="BG11" s="26">
        <f t="shared" ref="BG11:BH25" si="125">BC11+BE11</f>
        <v>620.90000000000009</v>
      </c>
      <c r="BH11" s="26">
        <f t="shared" si="125"/>
        <v>620.90000000000009</v>
      </c>
      <c r="BI11" s="55">
        <f t="shared" si="22"/>
        <v>1</v>
      </c>
      <c r="BJ11" s="55">
        <f t="shared" si="22"/>
        <v>1</v>
      </c>
      <c r="BK11" s="26">
        <f>BK10*$B$11/(43+$B$11)</f>
        <v>465.06136363636364</v>
      </c>
      <c r="BL11" s="26">
        <f>BK11</f>
        <v>465.06136363636364</v>
      </c>
      <c r="BM11" s="26">
        <f t="shared" ref="BM11:BN25" si="126">BG11+BK11</f>
        <v>1085.9613636363638</v>
      </c>
      <c r="BN11" s="26">
        <f t="shared" si="126"/>
        <v>1085.9613636363638</v>
      </c>
      <c r="BO11" s="55">
        <f t="shared" si="24"/>
        <v>1</v>
      </c>
      <c r="BP11" s="55">
        <f t="shared" si="24"/>
        <v>1</v>
      </c>
      <c r="BQ11" s="26">
        <f>BQ10*$B$11/(43+$B$11)</f>
        <v>0</v>
      </c>
      <c r="BR11" s="26">
        <f>BQ11</f>
        <v>0</v>
      </c>
      <c r="BS11" s="26">
        <f t="shared" ref="BS11:BT25" si="127">BM11+BQ11</f>
        <v>1085.9613636363638</v>
      </c>
      <c r="BT11" s="26">
        <f t="shared" si="127"/>
        <v>1085.9613636363638</v>
      </c>
      <c r="BU11" s="55">
        <f t="shared" si="25"/>
        <v>1</v>
      </c>
      <c r="BV11" s="55">
        <f t="shared" si="25"/>
        <v>1</v>
      </c>
      <c r="BW11" s="26">
        <f>BW10*$B$11/(43+$B$11)</f>
        <v>0</v>
      </c>
      <c r="BX11" s="26">
        <f>BW11</f>
        <v>0</v>
      </c>
      <c r="BY11" s="26">
        <f t="shared" ref="BY11:BZ25" si="128">BS11+BW11</f>
        <v>1085.9613636363638</v>
      </c>
      <c r="BZ11" s="26">
        <f t="shared" si="128"/>
        <v>1085.9613636363638</v>
      </c>
      <c r="CA11" s="55">
        <f t="shared" si="27"/>
        <v>1</v>
      </c>
      <c r="CB11" s="55">
        <f t="shared" si="27"/>
        <v>1</v>
      </c>
      <c r="CC11" s="26">
        <f>CC10*$B$11/(43+$B$11)</f>
        <v>0</v>
      </c>
      <c r="CD11" s="26">
        <f>CC11</f>
        <v>0</v>
      </c>
      <c r="CE11" s="26">
        <f t="shared" ref="CE11:CF25" si="129">BY11+CC11</f>
        <v>1085.9613636363638</v>
      </c>
      <c r="CF11" s="26">
        <f t="shared" si="129"/>
        <v>1085.9613636363638</v>
      </c>
      <c r="CG11" s="55">
        <f t="shared" si="29"/>
        <v>1</v>
      </c>
      <c r="CH11" s="55">
        <f t="shared" si="29"/>
        <v>1</v>
      </c>
      <c r="CI11" s="26">
        <f>CI10*$B$11/(43+$B$11)</f>
        <v>0</v>
      </c>
      <c r="CJ11" s="26">
        <f>CI11</f>
        <v>0</v>
      </c>
      <c r="CK11" s="26">
        <f t="shared" ref="CK11:CL25" si="130">CE11+CI11</f>
        <v>1085.9613636363638</v>
      </c>
      <c r="CL11" s="26">
        <f t="shared" si="130"/>
        <v>1085.9613636363638</v>
      </c>
      <c r="CM11" s="55">
        <f t="shared" si="31"/>
        <v>1</v>
      </c>
      <c r="CN11" s="55">
        <f t="shared" si="31"/>
        <v>1</v>
      </c>
      <c r="CO11" s="26">
        <f>CO10*$B$11/(43+$B$11)</f>
        <v>0</v>
      </c>
      <c r="CP11" s="26">
        <f>CO11</f>
        <v>0</v>
      </c>
      <c r="CQ11" s="26">
        <f t="shared" ref="CQ11:CR25" si="131">CK11+CO11</f>
        <v>1085.9613636363638</v>
      </c>
      <c r="CR11" s="26">
        <f t="shared" si="131"/>
        <v>1085.9613636363638</v>
      </c>
      <c r="CS11" s="55">
        <f t="shared" si="33"/>
        <v>1</v>
      </c>
      <c r="CT11" s="55">
        <f t="shared" si="33"/>
        <v>1</v>
      </c>
      <c r="CU11" s="26">
        <f>CU10*$B$11/(43+$B$11)</f>
        <v>0</v>
      </c>
      <c r="CV11" s="26">
        <f>CU11</f>
        <v>0</v>
      </c>
      <c r="CW11" s="26">
        <f t="shared" ref="CW11:CX25" si="132">CQ11+CU11</f>
        <v>1085.9613636363638</v>
      </c>
      <c r="CX11" s="26">
        <f t="shared" si="132"/>
        <v>1085.9613636363638</v>
      </c>
      <c r="CY11" s="55">
        <f t="shared" si="35"/>
        <v>1</v>
      </c>
      <c r="CZ11" s="55">
        <f t="shared" si="35"/>
        <v>1</v>
      </c>
      <c r="DA11" s="26">
        <f>DA10*$B$11/(43+$B$11)</f>
        <v>0</v>
      </c>
      <c r="DB11" s="26">
        <f>DA11</f>
        <v>0</v>
      </c>
      <c r="DC11" s="26">
        <f t="shared" ref="DC11:DD25" si="133">CW11+DA11</f>
        <v>1085.9613636363638</v>
      </c>
      <c r="DD11" s="26">
        <f t="shared" si="133"/>
        <v>1085.9613636363638</v>
      </c>
      <c r="DE11" s="55">
        <f t="shared" si="37"/>
        <v>1</v>
      </c>
      <c r="DF11" s="55">
        <f t="shared" si="37"/>
        <v>1</v>
      </c>
      <c r="DG11" s="26">
        <f>DG10*$B$11/(43+$B$11)</f>
        <v>0</v>
      </c>
      <c r="DH11" s="26">
        <f>DG11</f>
        <v>0</v>
      </c>
      <c r="DI11" s="26">
        <f t="shared" ref="DI11:DJ25" si="134">DC11+DG11</f>
        <v>1085.9613636363638</v>
      </c>
      <c r="DJ11" s="26">
        <f t="shared" si="134"/>
        <v>1085.9613636363638</v>
      </c>
      <c r="DK11" s="55">
        <f t="shared" si="39"/>
        <v>1</v>
      </c>
      <c r="DL11" s="55">
        <f t="shared" si="39"/>
        <v>1</v>
      </c>
      <c r="DM11" s="26">
        <f>DM10*$B$11/(43+$B$11)</f>
        <v>0</v>
      </c>
      <c r="DN11" s="26">
        <f>DM11</f>
        <v>0</v>
      </c>
      <c r="DO11" s="26">
        <f>DO10*$B$11/(43+$B$11)</f>
        <v>0</v>
      </c>
      <c r="DP11" s="26">
        <f>DO11</f>
        <v>0</v>
      </c>
      <c r="DQ11" s="26">
        <f>DQ10*$B$11/(43+$B$11)</f>
        <v>4892.840909090909</v>
      </c>
      <c r="DR11" s="26">
        <f>DQ11</f>
        <v>4892.840909090909</v>
      </c>
      <c r="DS11" s="55">
        <f>IF($AY$11=0,1,DQ11/$AY$11-1)</f>
        <v>-6.7565700485393343E-2</v>
      </c>
      <c r="DT11" s="55">
        <f>IF($AZ$11=0,1,DR11/$AZ$11-1)</f>
        <v>-6.7565700485393343E-2</v>
      </c>
      <c r="DU11" s="55">
        <f>IF($E$11=0,1,DQ11/$E$11-1)</f>
        <v>1</v>
      </c>
      <c r="DV11" s="55">
        <f>IF($E$11=0,1,DR11/$E$11-1)</f>
        <v>1</v>
      </c>
      <c r="DW11" s="25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</row>
    <row r="12" spans="1:268" s="62" customFormat="1" ht="18" customHeight="1">
      <c r="A12" s="413" t="s">
        <v>32</v>
      </c>
      <c r="B12" s="414"/>
      <c r="C12" s="26">
        <f>'[1]прогноз '!B20</f>
        <v>32353.800000000003</v>
      </c>
      <c r="D12" s="26">
        <f>'[1]прогноз '!C20</f>
        <v>32353.599999999999</v>
      </c>
      <c r="E12" s="26">
        <f t="shared" si="110"/>
        <v>31023</v>
      </c>
      <c r="F12" s="26">
        <f>H12+J12+N12+R12+V12+Z12+AD12+AH12+AL12+AP12+AT12+AX12</f>
        <v>31023.199999999997</v>
      </c>
      <c r="G12" s="26">
        <v>5526.8</v>
      </c>
      <c r="H12" s="26">
        <v>5526.8</v>
      </c>
      <c r="I12" s="26">
        <f>7429.2-G12</f>
        <v>1902.3999999999996</v>
      </c>
      <c r="J12" s="26">
        <v>1902</v>
      </c>
      <c r="K12" s="26">
        <f t="shared" si="111"/>
        <v>7429.2</v>
      </c>
      <c r="L12" s="26">
        <f t="shared" si="111"/>
        <v>7428.8</v>
      </c>
      <c r="M12" s="26">
        <f>7817.1-G12-I12</f>
        <v>387.90000000000055</v>
      </c>
      <c r="N12" s="26">
        <v>387.9</v>
      </c>
      <c r="O12" s="26">
        <f t="shared" si="112"/>
        <v>7817.1</v>
      </c>
      <c r="P12" s="26">
        <f t="shared" si="112"/>
        <v>7816.7</v>
      </c>
      <c r="Q12" s="26">
        <f>13400.8-G12-I12-M12</f>
        <v>5583.6999999999989</v>
      </c>
      <c r="R12" s="26">
        <v>5583.6</v>
      </c>
      <c r="S12" s="26">
        <f t="shared" si="113"/>
        <v>13400.8</v>
      </c>
      <c r="T12" s="26">
        <f t="shared" si="113"/>
        <v>13400.3</v>
      </c>
      <c r="U12" s="26">
        <f>14787.1-G12-I12-M12-Q12</f>
        <v>1386.3000000000002</v>
      </c>
      <c r="V12" s="26">
        <v>1386.3</v>
      </c>
      <c r="W12" s="26">
        <f t="shared" si="114"/>
        <v>14787.099999999999</v>
      </c>
      <c r="X12" s="26">
        <f t="shared" si="114"/>
        <v>14786.599999999999</v>
      </c>
      <c r="Y12" s="26">
        <f>15589.4-G12-I12-M12-Q12-U12</f>
        <v>802.29999999999927</v>
      </c>
      <c r="Z12" s="26">
        <v>802.3</v>
      </c>
      <c r="AA12" s="26">
        <f t="shared" si="115"/>
        <v>15589.399999999998</v>
      </c>
      <c r="AB12" s="26">
        <f t="shared" si="115"/>
        <v>15588.899999999998</v>
      </c>
      <c r="AC12" s="26">
        <v>5902</v>
      </c>
      <c r="AD12" s="26">
        <v>5901.8</v>
      </c>
      <c r="AE12" s="26">
        <f t="shared" si="116"/>
        <v>21491.399999999998</v>
      </c>
      <c r="AF12" s="26">
        <f t="shared" si="116"/>
        <v>21490.699999999997</v>
      </c>
      <c r="AG12" s="26">
        <f>22393.8-G12-I12-M12-Q12-U12-Y12-AC12</f>
        <v>902.40000000000236</v>
      </c>
      <c r="AH12" s="26">
        <f>22393.8-H12-J12-N12-R12-V12-Z12-AD12</f>
        <v>903.09999999999945</v>
      </c>
      <c r="AI12" s="26">
        <f t="shared" si="117"/>
        <v>22393.8</v>
      </c>
      <c r="AJ12" s="26">
        <f t="shared" si="117"/>
        <v>22393.799999999996</v>
      </c>
      <c r="AK12" s="26">
        <f>23147.3-G12-I12-M12-Q12-U12-Y12-AC12-AG12</f>
        <v>753.49999999999909</v>
      </c>
      <c r="AL12" s="23">
        <f>23147.3-H12-J12-N12-R12-V12-Z12-AD12-AH12</f>
        <v>753.50000000000091</v>
      </c>
      <c r="AM12" s="26">
        <f t="shared" si="118"/>
        <v>23147.3</v>
      </c>
      <c r="AN12" s="26">
        <f t="shared" si="118"/>
        <v>23147.299999999996</v>
      </c>
      <c r="AO12" s="26">
        <f>29028-G12-I12-M12-Q12-U12-Y12-AC12-AG12-AK12</f>
        <v>5880.7000000000007</v>
      </c>
      <c r="AP12" s="26">
        <f>29028-H12-J12-N12-R12-V12-Z12-AD12-AH12-AL12</f>
        <v>5880.7</v>
      </c>
      <c r="AQ12" s="26">
        <f t="shared" si="119"/>
        <v>29028</v>
      </c>
      <c r="AR12" s="26">
        <f t="shared" si="119"/>
        <v>29027.999999999996</v>
      </c>
      <c r="AS12" s="26">
        <v>1257</v>
      </c>
      <c r="AT12" s="26">
        <v>1256.9000000000001</v>
      </c>
      <c r="AU12" s="26">
        <f t="shared" si="120"/>
        <v>30285</v>
      </c>
      <c r="AV12" s="26">
        <f t="shared" si="120"/>
        <v>30284.899999999998</v>
      </c>
      <c r="AW12" s="26">
        <v>738</v>
      </c>
      <c r="AX12" s="26">
        <v>738.3</v>
      </c>
      <c r="AY12" s="26">
        <v>32768</v>
      </c>
      <c r="AZ12" s="26">
        <v>32768</v>
      </c>
      <c r="BA12" s="55">
        <f t="shared" si="109"/>
        <v>5.6248589755987455E-2</v>
      </c>
      <c r="BB12" s="55">
        <f t="shared" si="109"/>
        <v>5.6241780345032133E-2</v>
      </c>
      <c r="BC12" s="26">
        <v>5424</v>
      </c>
      <c r="BD12" s="26">
        <v>5423.8</v>
      </c>
      <c r="BE12" s="26">
        <v>1639.5</v>
      </c>
      <c r="BF12" s="26">
        <v>1639.5</v>
      </c>
      <c r="BG12" s="26">
        <f t="shared" si="125"/>
        <v>7063.5</v>
      </c>
      <c r="BH12" s="26">
        <f t="shared" si="125"/>
        <v>7063.3</v>
      </c>
      <c r="BI12" s="55">
        <f t="shared" si="22"/>
        <v>-4.9224680988531722E-2</v>
      </c>
      <c r="BJ12" s="55">
        <f t="shared" si="22"/>
        <v>-4.9200409218177921E-2</v>
      </c>
      <c r="BK12" s="26">
        <v>550</v>
      </c>
      <c r="BL12" s="26">
        <v>274.2</v>
      </c>
      <c r="BM12" s="26">
        <f t="shared" si="126"/>
        <v>7613.5</v>
      </c>
      <c r="BN12" s="26">
        <f t="shared" si="126"/>
        <v>7337.5</v>
      </c>
      <c r="BO12" s="55">
        <f t="shared" si="24"/>
        <v>-2.6045464430543341E-2</v>
      </c>
      <c r="BP12" s="55">
        <f t="shared" si="24"/>
        <v>-6.1304642624125272E-2</v>
      </c>
      <c r="BQ12" s="26"/>
      <c r="BR12" s="26"/>
      <c r="BS12" s="26">
        <f t="shared" si="127"/>
        <v>7613.5</v>
      </c>
      <c r="BT12" s="26">
        <f t="shared" si="127"/>
        <v>7337.5</v>
      </c>
      <c r="BU12" s="55">
        <f t="shared" si="25"/>
        <v>-0.43186227687899226</v>
      </c>
      <c r="BV12" s="55">
        <f t="shared" si="25"/>
        <v>-0.45243763199331355</v>
      </c>
      <c r="BW12" s="26"/>
      <c r="BX12" s="26"/>
      <c r="BY12" s="26">
        <f t="shared" si="128"/>
        <v>7613.5</v>
      </c>
      <c r="BZ12" s="26">
        <f t="shared" si="128"/>
        <v>7337.5</v>
      </c>
      <c r="CA12" s="55">
        <f t="shared" si="27"/>
        <v>-0.48512554862008095</v>
      </c>
      <c r="CB12" s="55">
        <f t="shared" si="27"/>
        <v>-0.50377368698686642</v>
      </c>
      <c r="CC12" s="26"/>
      <c r="CD12" s="26"/>
      <c r="CE12" s="26">
        <f t="shared" si="129"/>
        <v>7613.5</v>
      </c>
      <c r="CF12" s="26">
        <f t="shared" si="129"/>
        <v>7337.5</v>
      </c>
      <c r="CG12" s="55">
        <f t="shared" si="29"/>
        <v>-0.51162328248681788</v>
      </c>
      <c r="CH12" s="55">
        <f t="shared" si="29"/>
        <v>-0.52931252365465165</v>
      </c>
      <c r="CI12" s="26"/>
      <c r="CJ12" s="26"/>
      <c r="CK12" s="26">
        <f t="shared" si="130"/>
        <v>7613.5</v>
      </c>
      <c r="CL12" s="26">
        <f t="shared" si="130"/>
        <v>7337.5</v>
      </c>
      <c r="CM12" s="55">
        <f t="shared" si="31"/>
        <v>-0.64574201773732742</v>
      </c>
      <c r="CN12" s="55">
        <f t="shared" si="31"/>
        <v>-0.65857324330989675</v>
      </c>
      <c r="CO12" s="26"/>
      <c r="CP12" s="26"/>
      <c r="CQ12" s="26">
        <f t="shared" si="131"/>
        <v>7613.5</v>
      </c>
      <c r="CR12" s="26">
        <f t="shared" si="131"/>
        <v>7337.5</v>
      </c>
      <c r="CS12" s="55">
        <f t="shared" si="33"/>
        <v>-0.66001750484509103</v>
      </c>
      <c r="CT12" s="55">
        <f t="shared" si="33"/>
        <v>-0.67234234475613786</v>
      </c>
      <c r="CU12" s="26"/>
      <c r="CV12" s="26"/>
      <c r="CW12" s="26">
        <f t="shared" si="132"/>
        <v>7613.5</v>
      </c>
      <c r="CX12" s="26">
        <f t="shared" si="132"/>
        <v>7337.5</v>
      </c>
      <c r="CY12" s="55">
        <f t="shared" si="35"/>
        <v>-0.67108474854518674</v>
      </c>
      <c r="CZ12" s="55">
        <f t="shared" si="35"/>
        <v>-0.68300838542724196</v>
      </c>
      <c r="DA12" s="26"/>
      <c r="DB12" s="26"/>
      <c r="DC12" s="26">
        <f t="shared" si="133"/>
        <v>7613.5</v>
      </c>
      <c r="DD12" s="26">
        <f t="shared" si="133"/>
        <v>7337.5</v>
      </c>
      <c r="DE12" s="55">
        <f t="shared" si="37"/>
        <v>-0.73771875430618716</v>
      </c>
      <c r="DF12" s="55">
        <f t="shared" si="37"/>
        <v>-0.74722681548849379</v>
      </c>
      <c r="DG12" s="26"/>
      <c r="DH12" s="26"/>
      <c r="DI12" s="26">
        <f t="shared" si="134"/>
        <v>7613.5</v>
      </c>
      <c r="DJ12" s="26">
        <f t="shared" si="134"/>
        <v>7337.5</v>
      </c>
      <c r="DK12" s="55">
        <f t="shared" si="39"/>
        <v>-0.74860491992735678</v>
      </c>
      <c r="DL12" s="55">
        <f t="shared" si="39"/>
        <v>-0.75771754240562128</v>
      </c>
      <c r="DM12" s="26"/>
      <c r="DN12" s="26"/>
      <c r="DO12" s="26"/>
      <c r="DP12" s="26"/>
      <c r="DQ12" s="26">
        <v>32768</v>
      </c>
      <c r="DR12" s="26">
        <v>32768</v>
      </c>
      <c r="DS12" s="55">
        <f>IF($AY$12=0,1,DQ12/$AY$12-1)</f>
        <v>0</v>
      </c>
      <c r="DT12" s="55">
        <f>IF($AZ$12=0,1,DR12/$AZ$12-1)</f>
        <v>0</v>
      </c>
      <c r="DU12" s="55">
        <f>IF($E$12=0,1,DQ12/$E$12-1)</f>
        <v>5.6248589755987455E-2</v>
      </c>
      <c r="DV12" s="55">
        <f>IF($E$12=0,1,DR12/$E$12-1)</f>
        <v>5.6248589755987455E-2</v>
      </c>
      <c r="DW12" s="25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</row>
    <row r="13" spans="1:268" s="62" customFormat="1" ht="18" customHeight="1">
      <c r="A13" s="413" t="s">
        <v>80</v>
      </c>
      <c r="B13" s="414"/>
      <c r="C13" s="26">
        <f>'[1]прогноз '!B21</f>
        <v>48.5</v>
      </c>
      <c r="D13" s="26">
        <f>'[1]прогноз '!C21</f>
        <v>24.270000000000003</v>
      </c>
      <c r="E13" s="26">
        <f t="shared" si="110"/>
        <v>45.900000000000006</v>
      </c>
      <c r="F13" s="26">
        <f>H13+J13+N13+R13+V13+Z13+AD13+AH13+AL13+AP13+AT13+AX13</f>
        <v>26.8</v>
      </c>
      <c r="G13" s="26">
        <v>0</v>
      </c>
      <c r="H13" s="26">
        <v>0</v>
      </c>
      <c r="I13" s="26">
        <f>41-G13</f>
        <v>41</v>
      </c>
      <c r="J13" s="26">
        <v>23.9</v>
      </c>
      <c r="K13" s="26">
        <f t="shared" si="111"/>
        <v>41</v>
      </c>
      <c r="L13" s="26">
        <f t="shared" si="111"/>
        <v>23.9</v>
      </c>
      <c r="M13" s="26">
        <f>42.2-I13</f>
        <v>1.2000000000000028</v>
      </c>
      <c r="N13" s="26">
        <v>0.6</v>
      </c>
      <c r="O13" s="26">
        <f t="shared" si="112"/>
        <v>42.2</v>
      </c>
      <c r="P13" s="26">
        <f t="shared" si="112"/>
        <v>24.5</v>
      </c>
      <c r="Q13" s="26">
        <f>45.3-G13-I13-M13</f>
        <v>3.0999999999999943</v>
      </c>
      <c r="R13" s="26">
        <v>2.2000000000000002</v>
      </c>
      <c r="S13" s="26">
        <f t="shared" si="113"/>
        <v>45.3</v>
      </c>
      <c r="T13" s="26">
        <f t="shared" si="113"/>
        <v>26.7</v>
      </c>
      <c r="U13" s="26">
        <f>45.3-G13-I13-M13-Q13</f>
        <v>0</v>
      </c>
      <c r="V13" s="26">
        <v>0</v>
      </c>
      <c r="W13" s="26">
        <f t="shared" si="114"/>
        <v>45.3</v>
      </c>
      <c r="X13" s="26">
        <f t="shared" si="114"/>
        <v>26.7</v>
      </c>
      <c r="Y13" s="26">
        <v>0</v>
      </c>
      <c r="Z13" s="26">
        <v>0</v>
      </c>
      <c r="AA13" s="26">
        <f t="shared" si="115"/>
        <v>45.3</v>
      </c>
      <c r="AB13" s="26">
        <f t="shared" si="115"/>
        <v>26.7</v>
      </c>
      <c r="AC13" s="26">
        <v>0</v>
      </c>
      <c r="AD13" s="26">
        <v>0</v>
      </c>
      <c r="AE13" s="26">
        <f t="shared" si="116"/>
        <v>45.3</v>
      </c>
      <c r="AF13" s="26">
        <f t="shared" si="116"/>
        <v>26.7</v>
      </c>
      <c r="AG13" s="26">
        <f>45.3-G13-I13-M13-Q13-U13-Y13-AC13</f>
        <v>0</v>
      </c>
      <c r="AH13" s="26">
        <f>27-H13-J13-N13-R13-V13-Z13-AD13</f>
        <v>0.30000000000000115</v>
      </c>
      <c r="AI13" s="26">
        <f t="shared" si="117"/>
        <v>45.3</v>
      </c>
      <c r="AJ13" s="26">
        <f t="shared" si="117"/>
        <v>27</v>
      </c>
      <c r="AK13" s="26">
        <f>45.3-G13-I13-M13-Q13-U13-Y13-AC13-AG13</f>
        <v>0</v>
      </c>
      <c r="AL13" s="23">
        <f>26.7-H13-J13-N13-R13-V13-Z13-AD13-AH13</f>
        <v>-0.30000000000000071</v>
      </c>
      <c r="AM13" s="26">
        <f t="shared" si="118"/>
        <v>45.3</v>
      </c>
      <c r="AN13" s="26">
        <f t="shared" si="118"/>
        <v>26.7</v>
      </c>
      <c r="AO13" s="26">
        <f>45.7-G13-I13-M13-Q13-U13-Y13-AC13-AG13-AK13</f>
        <v>0.40000000000000568</v>
      </c>
      <c r="AP13" s="26">
        <f>26.8-H13-J13-N13-R13-V13-Z13-AD13-AH13-AL13</f>
        <v>0.10000000000000142</v>
      </c>
      <c r="AQ13" s="26">
        <f t="shared" si="119"/>
        <v>45.7</v>
      </c>
      <c r="AR13" s="26">
        <f t="shared" si="119"/>
        <v>26.8</v>
      </c>
      <c r="AS13" s="26">
        <v>0</v>
      </c>
      <c r="AT13" s="26">
        <v>0</v>
      </c>
      <c r="AU13" s="26">
        <f t="shared" si="120"/>
        <v>45.7</v>
      </c>
      <c r="AV13" s="26">
        <f t="shared" si="120"/>
        <v>26.8</v>
      </c>
      <c r="AW13" s="26">
        <v>0.2</v>
      </c>
      <c r="AX13" s="26">
        <v>0</v>
      </c>
      <c r="AY13" s="26">
        <v>46.7</v>
      </c>
      <c r="AZ13" s="26">
        <v>23</v>
      </c>
      <c r="BA13" s="55">
        <f t="shared" si="109"/>
        <v>1.7429193899782147E-2</v>
      </c>
      <c r="BB13" s="55">
        <f t="shared" si="109"/>
        <v>-0.14179104477611948</v>
      </c>
      <c r="BC13" s="26">
        <v>20</v>
      </c>
      <c r="BD13" s="26">
        <v>10.3</v>
      </c>
      <c r="BE13" s="26">
        <v>72</v>
      </c>
      <c r="BF13" s="26">
        <v>41.1</v>
      </c>
      <c r="BG13" s="26">
        <f t="shared" si="125"/>
        <v>92</v>
      </c>
      <c r="BH13" s="26">
        <f t="shared" si="125"/>
        <v>51.400000000000006</v>
      </c>
      <c r="BI13" s="55">
        <f t="shared" si="22"/>
        <v>1.2439024390243905</v>
      </c>
      <c r="BJ13" s="55">
        <f t="shared" si="22"/>
        <v>1.1506276150627617</v>
      </c>
      <c r="BK13" s="26">
        <f>1.6+10</f>
        <v>11.6</v>
      </c>
      <c r="BL13" s="26">
        <v>4</v>
      </c>
      <c r="BM13" s="26">
        <f t="shared" si="126"/>
        <v>103.6</v>
      </c>
      <c r="BN13" s="26">
        <f t="shared" si="126"/>
        <v>55.400000000000006</v>
      </c>
      <c r="BO13" s="55">
        <f t="shared" si="24"/>
        <v>1.4549763033175354</v>
      </c>
      <c r="BP13" s="55">
        <f t="shared" si="24"/>
        <v>1.2612244897959184</v>
      </c>
      <c r="BQ13" s="26"/>
      <c r="BR13" s="26"/>
      <c r="BS13" s="26">
        <f t="shared" si="127"/>
        <v>103.6</v>
      </c>
      <c r="BT13" s="26">
        <f t="shared" si="127"/>
        <v>55.400000000000006</v>
      </c>
      <c r="BU13" s="55">
        <f t="shared" si="25"/>
        <v>1.2869757174392937</v>
      </c>
      <c r="BV13" s="55">
        <f t="shared" si="25"/>
        <v>1.0749063670411987</v>
      </c>
      <c r="BW13" s="26"/>
      <c r="BX13" s="26"/>
      <c r="BY13" s="26">
        <f t="shared" si="128"/>
        <v>103.6</v>
      </c>
      <c r="BZ13" s="26">
        <f t="shared" si="128"/>
        <v>55.400000000000006</v>
      </c>
      <c r="CA13" s="55">
        <f t="shared" si="27"/>
        <v>1.2869757174392937</v>
      </c>
      <c r="CB13" s="55">
        <f t="shared" si="27"/>
        <v>1.0749063670411987</v>
      </c>
      <c r="CC13" s="26"/>
      <c r="CD13" s="26"/>
      <c r="CE13" s="26">
        <f t="shared" si="129"/>
        <v>103.6</v>
      </c>
      <c r="CF13" s="26">
        <f t="shared" si="129"/>
        <v>55.400000000000006</v>
      </c>
      <c r="CG13" s="55">
        <f t="shared" si="29"/>
        <v>1.2869757174392937</v>
      </c>
      <c r="CH13" s="55">
        <f t="shared" si="29"/>
        <v>1.0749063670411987</v>
      </c>
      <c r="CI13" s="26"/>
      <c r="CJ13" s="26"/>
      <c r="CK13" s="26">
        <f t="shared" si="130"/>
        <v>103.6</v>
      </c>
      <c r="CL13" s="26">
        <f t="shared" si="130"/>
        <v>55.400000000000006</v>
      </c>
      <c r="CM13" s="55">
        <f t="shared" si="31"/>
        <v>1.2869757174392937</v>
      </c>
      <c r="CN13" s="55">
        <f t="shared" si="31"/>
        <v>1.0749063670411987</v>
      </c>
      <c r="CO13" s="26"/>
      <c r="CP13" s="26"/>
      <c r="CQ13" s="26">
        <f t="shared" si="131"/>
        <v>103.6</v>
      </c>
      <c r="CR13" s="26">
        <f t="shared" si="131"/>
        <v>55.400000000000006</v>
      </c>
      <c r="CS13" s="55">
        <f t="shared" si="33"/>
        <v>1.2869757174392937</v>
      </c>
      <c r="CT13" s="55">
        <f t="shared" si="33"/>
        <v>1.0518518518518523</v>
      </c>
      <c r="CU13" s="26"/>
      <c r="CV13" s="26"/>
      <c r="CW13" s="26">
        <f t="shared" si="132"/>
        <v>103.6</v>
      </c>
      <c r="CX13" s="26">
        <f t="shared" si="132"/>
        <v>55.400000000000006</v>
      </c>
      <c r="CY13" s="55">
        <f t="shared" si="35"/>
        <v>1.2869757174392937</v>
      </c>
      <c r="CZ13" s="55">
        <f t="shared" si="35"/>
        <v>1.0749063670411987</v>
      </c>
      <c r="DA13" s="26"/>
      <c r="DB13" s="26"/>
      <c r="DC13" s="26">
        <f t="shared" si="133"/>
        <v>103.6</v>
      </c>
      <c r="DD13" s="26">
        <f t="shared" si="133"/>
        <v>55.400000000000006</v>
      </c>
      <c r="DE13" s="55">
        <f t="shared" si="37"/>
        <v>1.2669584245076582</v>
      </c>
      <c r="DF13" s="55">
        <f t="shared" si="37"/>
        <v>1.0671641791044779</v>
      </c>
      <c r="DG13" s="26"/>
      <c r="DH13" s="26"/>
      <c r="DI13" s="26">
        <f t="shared" si="134"/>
        <v>103.6</v>
      </c>
      <c r="DJ13" s="26">
        <f t="shared" si="134"/>
        <v>55.400000000000006</v>
      </c>
      <c r="DK13" s="55">
        <f t="shared" si="39"/>
        <v>1.2669584245076582</v>
      </c>
      <c r="DL13" s="55">
        <f t="shared" si="39"/>
        <v>1.0671641791044779</v>
      </c>
      <c r="DM13" s="26"/>
      <c r="DN13" s="26"/>
      <c r="DO13" s="26"/>
      <c r="DP13" s="26"/>
      <c r="DQ13" s="26">
        <v>100</v>
      </c>
      <c r="DR13" s="26">
        <v>55</v>
      </c>
      <c r="DS13" s="55">
        <f>IF($AY$13=0,1,DQ13/$AY$13-1)</f>
        <v>1.1413276231263381</v>
      </c>
      <c r="DT13" s="55">
        <f>IF($AZ$13=0,1,DR13/$AZ$13-1)</f>
        <v>1.3913043478260869</v>
      </c>
      <c r="DU13" s="55">
        <f>IF($E$13=0,1,DQ13/$E$13-1)</f>
        <v>1.1786492374727664</v>
      </c>
      <c r="DV13" s="55">
        <f>IF($E$13=0,1,DR13/$E$13-1)</f>
        <v>0.19825708061002167</v>
      </c>
      <c r="DW13" s="25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</row>
    <row r="14" spans="1:268" s="62" customFormat="1" ht="18" customHeight="1">
      <c r="A14" s="413" t="s">
        <v>33</v>
      </c>
      <c r="B14" s="414"/>
      <c r="C14" s="26">
        <f>'[1]прогноз '!B22</f>
        <v>1988</v>
      </c>
      <c r="D14" s="26" t="s">
        <v>34</v>
      </c>
      <c r="E14" s="26">
        <f t="shared" si="110"/>
        <v>1268.9999999999998</v>
      </c>
      <c r="F14" s="26" t="s">
        <v>34</v>
      </c>
      <c r="G14" s="26">
        <v>0.9</v>
      </c>
      <c r="H14" s="26" t="s">
        <v>34</v>
      </c>
      <c r="I14" s="26">
        <f>35.3-G14</f>
        <v>34.4</v>
      </c>
      <c r="J14" s="26" t="s">
        <v>34</v>
      </c>
      <c r="K14" s="26">
        <f t="shared" si="111"/>
        <v>35.299999999999997</v>
      </c>
      <c r="L14" s="26" t="s">
        <v>34</v>
      </c>
      <c r="M14" s="26">
        <f>58.4-G14-I14</f>
        <v>23.1</v>
      </c>
      <c r="N14" s="26" t="s">
        <v>34</v>
      </c>
      <c r="O14" s="26">
        <f t="shared" si="112"/>
        <v>58.4</v>
      </c>
      <c r="P14" s="26" t="s">
        <v>34</v>
      </c>
      <c r="Q14" s="26">
        <f>69.3-G14-I14-M14</f>
        <v>10.899999999999991</v>
      </c>
      <c r="R14" s="26" t="s">
        <v>34</v>
      </c>
      <c r="S14" s="26">
        <f t="shared" si="113"/>
        <v>69.299999999999983</v>
      </c>
      <c r="T14" s="26" t="s">
        <v>34</v>
      </c>
      <c r="U14" s="26">
        <f>6.2-G14-I14-M14-Q14</f>
        <v>-63.099999999999994</v>
      </c>
      <c r="V14" s="26" t="s">
        <v>34</v>
      </c>
      <c r="W14" s="26">
        <f t="shared" si="114"/>
        <v>6.1999999999999886</v>
      </c>
      <c r="X14" s="26" t="s">
        <v>34</v>
      </c>
      <c r="Y14" s="26">
        <f>20.8-G14-I14-M14-Q14-U14</f>
        <v>14.600000000000009</v>
      </c>
      <c r="Z14" s="26" t="s">
        <v>34</v>
      </c>
      <c r="AA14" s="26">
        <f t="shared" si="115"/>
        <v>20.799999999999997</v>
      </c>
      <c r="AB14" s="26" t="s">
        <v>34</v>
      </c>
      <c r="AC14" s="26">
        <v>24.5</v>
      </c>
      <c r="AD14" s="26" t="s">
        <v>34</v>
      </c>
      <c r="AE14" s="26">
        <f t="shared" si="116"/>
        <v>45.3</v>
      </c>
      <c r="AF14" s="26" t="s">
        <v>34</v>
      </c>
      <c r="AG14" s="26">
        <f>177-G14-I14-M14-Q14-U14-Y14-AC14</f>
        <v>131.69999999999999</v>
      </c>
      <c r="AH14" s="26" t="s">
        <v>34</v>
      </c>
      <c r="AI14" s="26">
        <f t="shared" si="117"/>
        <v>177</v>
      </c>
      <c r="AJ14" s="26" t="s">
        <v>34</v>
      </c>
      <c r="AK14" s="26">
        <f>711.5-G14-I14-M14-Q14-U14-Y14-AC14-AG14</f>
        <v>534.5</v>
      </c>
      <c r="AL14" s="23">
        <v>0</v>
      </c>
      <c r="AM14" s="26">
        <f t="shared" si="118"/>
        <v>711.5</v>
      </c>
      <c r="AN14" s="26" t="s">
        <v>34</v>
      </c>
      <c r="AO14" s="26">
        <f>1119.3-G14-I14-M14-Q14-U14-Y14-AC14-AG14-AK14</f>
        <v>407.79999999999973</v>
      </c>
      <c r="AP14" s="26">
        <v>0</v>
      </c>
      <c r="AQ14" s="26">
        <f t="shared" si="119"/>
        <v>1119.2999999999997</v>
      </c>
      <c r="AR14" s="26" t="s">
        <v>34</v>
      </c>
      <c r="AS14" s="26">
        <v>81.900000000000006</v>
      </c>
      <c r="AT14" s="26">
        <v>0</v>
      </c>
      <c r="AU14" s="26">
        <f t="shared" si="120"/>
        <v>1201.1999999999998</v>
      </c>
      <c r="AV14" s="26" t="s">
        <v>34</v>
      </c>
      <c r="AW14" s="26">
        <v>67.8</v>
      </c>
      <c r="AX14" s="26">
        <v>0</v>
      </c>
      <c r="AY14" s="26">
        <v>1701</v>
      </c>
      <c r="AZ14" s="26" t="s">
        <v>34</v>
      </c>
      <c r="BA14" s="55">
        <f t="shared" si="109"/>
        <v>0.34042553191489389</v>
      </c>
      <c r="BB14" s="55" t="s">
        <v>34</v>
      </c>
      <c r="BC14" s="26">
        <v>6.2</v>
      </c>
      <c r="BD14" s="26">
        <v>0</v>
      </c>
      <c r="BE14" s="26">
        <v>15.4</v>
      </c>
      <c r="BF14" s="26">
        <v>0</v>
      </c>
      <c r="BG14" s="26">
        <f t="shared" si="125"/>
        <v>21.6</v>
      </c>
      <c r="BH14" s="26" t="s">
        <v>34</v>
      </c>
      <c r="BI14" s="55">
        <f t="shared" si="22"/>
        <v>-0.38810198300283272</v>
      </c>
      <c r="BJ14" s="55" t="s">
        <v>34</v>
      </c>
      <c r="BK14" s="26">
        <f>1+22.3+23.2+1</f>
        <v>47.5</v>
      </c>
      <c r="BL14" s="26">
        <v>0</v>
      </c>
      <c r="BM14" s="26">
        <f t="shared" si="126"/>
        <v>69.099999999999994</v>
      </c>
      <c r="BN14" s="26" t="s">
        <v>34</v>
      </c>
      <c r="BO14" s="55">
        <f t="shared" si="24"/>
        <v>0.18321917808219168</v>
      </c>
      <c r="BP14" s="55" t="s">
        <v>34</v>
      </c>
      <c r="BQ14" s="26"/>
      <c r="BR14" s="26"/>
      <c r="BS14" s="26">
        <f t="shared" si="127"/>
        <v>69.099999999999994</v>
      </c>
      <c r="BT14" s="26" t="s">
        <v>34</v>
      </c>
      <c r="BU14" s="55">
        <f t="shared" si="25"/>
        <v>-2.8860028860027143E-3</v>
      </c>
      <c r="BV14" s="55" t="s">
        <v>34</v>
      </c>
      <c r="BW14" s="26"/>
      <c r="BX14" s="26"/>
      <c r="BY14" s="26">
        <f t="shared" si="128"/>
        <v>69.099999999999994</v>
      </c>
      <c r="BZ14" s="26" t="s">
        <v>34</v>
      </c>
      <c r="CA14" s="55">
        <f t="shared" si="27"/>
        <v>10.1451612903226</v>
      </c>
      <c r="CB14" s="55" t="s">
        <v>34</v>
      </c>
      <c r="CC14" s="26"/>
      <c r="CD14" s="26"/>
      <c r="CE14" s="26">
        <f t="shared" si="129"/>
        <v>69.099999999999994</v>
      </c>
      <c r="CF14" s="26" t="s">
        <v>34</v>
      </c>
      <c r="CG14" s="55">
        <f t="shared" si="29"/>
        <v>2.3221153846153846</v>
      </c>
      <c r="CH14" s="55" t="s">
        <v>34</v>
      </c>
      <c r="CI14" s="26"/>
      <c r="CJ14" s="26"/>
      <c r="CK14" s="26">
        <f t="shared" si="130"/>
        <v>69.099999999999994</v>
      </c>
      <c r="CL14" s="26" t="s">
        <v>34</v>
      </c>
      <c r="CM14" s="55">
        <f t="shared" si="31"/>
        <v>0.52538631346578368</v>
      </c>
      <c r="CN14" s="55" t="s">
        <v>34</v>
      </c>
      <c r="CO14" s="26"/>
      <c r="CP14" s="26"/>
      <c r="CQ14" s="26">
        <f t="shared" si="131"/>
        <v>69.099999999999994</v>
      </c>
      <c r="CR14" s="26" t="s">
        <v>34</v>
      </c>
      <c r="CS14" s="55">
        <f t="shared" si="33"/>
        <v>-0.60960451977401131</v>
      </c>
      <c r="CT14" s="55" t="s">
        <v>34</v>
      </c>
      <c r="CU14" s="26"/>
      <c r="CV14" s="26"/>
      <c r="CW14" s="26">
        <f t="shared" si="132"/>
        <v>69.099999999999994</v>
      </c>
      <c r="CX14" s="26" t="s">
        <v>34</v>
      </c>
      <c r="CY14" s="55">
        <f t="shared" si="35"/>
        <v>-0.9028812368236121</v>
      </c>
      <c r="CZ14" s="55" t="s">
        <v>34</v>
      </c>
      <c r="DA14" s="26"/>
      <c r="DB14" s="26"/>
      <c r="DC14" s="26">
        <f t="shared" si="133"/>
        <v>69.099999999999994</v>
      </c>
      <c r="DD14" s="26" t="s">
        <v>34</v>
      </c>
      <c r="DE14" s="55">
        <f t="shared" si="37"/>
        <v>-0.9382649870454749</v>
      </c>
      <c r="DF14" s="55" t="s">
        <v>34</v>
      </c>
      <c r="DG14" s="26"/>
      <c r="DH14" s="26"/>
      <c r="DI14" s="26">
        <f t="shared" si="134"/>
        <v>69.099999999999994</v>
      </c>
      <c r="DJ14" s="26" t="s">
        <v>34</v>
      </c>
      <c r="DK14" s="55">
        <f t="shared" si="39"/>
        <v>-0.94247419247419251</v>
      </c>
      <c r="DL14" s="55" t="s">
        <v>34</v>
      </c>
      <c r="DM14" s="26"/>
      <c r="DN14" s="26"/>
      <c r="DO14" s="26"/>
      <c r="DP14" s="26"/>
      <c r="DQ14" s="26">
        <v>1701</v>
      </c>
      <c r="DR14" s="26" t="s">
        <v>34</v>
      </c>
      <c r="DS14" s="55">
        <f>IF($AY$14=0,1,DQ14/$AY$14-1)</f>
        <v>0</v>
      </c>
      <c r="DT14" s="55" t="s">
        <v>34</v>
      </c>
      <c r="DU14" s="55">
        <f>IF($E$14=0,1,DQ14/$E$14-1)</f>
        <v>0.34042553191489389</v>
      </c>
      <c r="DV14" s="55" t="s">
        <v>34</v>
      </c>
      <c r="DW14" s="25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61"/>
      <c r="JA14" s="61"/>
      <c r="JB14" s="61"/>
      <c r="JC14" s="61"/>
      <c r="JD14" s="61"/>
      <c r="JE14" s="61"/>
      <c r="JF14" s="61"/>
      <c r="JG14" s="61"/>
      <c r="JH14" s="61"/>
    </row>
    <row r="15" spans="1:268" s="62" customFormat="1" ht="18" customHeight="1">
      <c r="A15" s="413" t="s">
        <v>35</v>
      </c>
      <c r="B15" s="414"/>
      <c r="C15" s="26">
        <f>'[1]прогноз '!B23</f>
        <v>11676.9</v>
      </c>
      <c r="D15" s="26" t="s">
        <v>34</v>
      </c>
      <c r="E15" s="26">
        <f t="shared" si="110"/>
        <v>20268.899999999998</v>
      </c>
      <c r="F15" s="26" t="s">
        <v>34</v>
      </c>
      <c r="G15" s="26">
        <v>980.3</v>
      </c>
      <c r="H15" s="26" t="s">
        <v>34</v>
      </c>
      <c r="I15" s="26">
        <f>4101.8-G15</f>
        <v>3121.5</v>
      </c>
      <c r="J15" s="26" t="s">
        <v>34</v>
      </c>
      <c r="K15" s="26">
        <f t="shared" si="111"/>
        <v>4101.8</v>
      </c>
      <c r="L15" s="26" t="s">
        <v>34</v>
      </c>
      <c r="M15" s="26">
        <f>6587.9-G15-I15-54.4</f>
        <v>2431.6999999999994</v>
      </c>
      <c r="N15" s="26" t="s">
        <v>34</v>
      </c>
      <c r="O15" s="26">
        <f t="shared" si="112"/>
        <v>6533.5</v>
      </c>
      <c r="P15" s="26" t="s">
        <v>34</v>
      </c>
      <c r="Q15" s="26">
        <f>7947.8-G15-I15-M15-54.4</f>
        <v>1359.9000000000005</v>
      </c>
      <c r="R15" s="26" t="s">
        <v>34</v>
      </c>
      <c r="S15" s="26">
        <f t="shared" si="113"/>
        <v>7893.4000000000005</v>
      </c>
      <c r="T15" s="26" t="s">
        <v>34</v>
      </c>
      <c r="U15" s="26">
        <f>8291.1-G15-I15-M15-Q15</f>
        <v>397.70000000000027</v>
      </c>
      <c r="V15" s="26" t="s">
        <v>34</v>
      </c>
      <c r="W15" s="26">
        <f t="shared" si="114"/>
        <v>8291.1</v>
      </c>
      <c r="X15" s="26" t="s">
        <v>34</v>
      </c>
      <c r="Y15" s="26">
        <f>9248.9-G15-I15-M15-Q15-U15</f>
        <v>957.80000000000018</v>
      </c>
      <c r="Z15" s="26" t="s">
        <v>34</v>
      </c>
      <c r="AA15" s="26">
        <f t="shared" si="115"/>
        <v>9248.9000000000015</v>
      </c>
      <c r="AB15" s="26" t="s">
        <v>34</v>
      </c>
      <c r="AC15" s="26">
        <f>1275.8-54</f>
        <v>1221.8</v>
      </c>
      <c r="AD15" s="26" t="s">
        <v>34</v>
      </c>
      <c r="AE15" s="26">
        <f t="shared" si="116"/>
        <v>10470.700000000001</v>
      </c>
      <c r="AF15" s="26" t="s">
        <v>34</v>
      </c>
      <c r="AG15" s="26">
        <f>11731-G15-I15-M15-Q15-U15-Y15-AC15-54</f>
        <v>1206.3000000000009</v>
      </c>
      <c r="AH15" s="26" t="s">
        <v>34</v>
      </c>
      <c r="AI15" s="26">
        <f t="shared" si="117"/>
        <v>11677.000000000002</v>
      </c>
      <c r="AJ15" s="26" t="s">
        <v>34</v>
      </c>
      <c r="AK15" s="26">
        <f>14033-G15-I15-M15-Q15-U15-Y15-AC15-AG15-54</f>
        <v>2302</v>
      </c>
      <c r="AL15" s="23">
        <v>0</v>
      </c>
      <c r="AM15" s="26">
        <f t="shared" si="118"/>
        <v>13979.000000000002</v>
      </c>
      <c r="AN15" s="26" t="s">
        <v>34</v>
      </c>
      <c r="AO15" s="26">
        <f>17242.1-G15-I15-M15-Q15-U15-Y15-AC15-AG15-AK15-54</f>
        <v>3209.0999999999985</v>
      </c>
      <c r="AP15" s="26">
        <v>0</v>
      </c>
      <c r="AQ15" s="26">
        <f t="shared" si="119"/>
        <v>17188.099999999999</v>
      </c>
      <c r="AR15" s="26" t="s">
        <v>34</v>
      </c>
      <c r="AS15" s="26">
        <v>2015.5</v>
      </c>
      <c r="AT15" s="26">
        <v>0</v>
      </c>
      <c r="AU15" s="26">
        <f t="shared" si="120"/>
        <v>19203.599999999999</v>
      </c>
      <c r="AV15" s="26" t="s">
        <v>34</v>
      </c>
      <c r="AW15" s="26">
        <f>1065.3</f>
        <v>1065.3</v>
      </c>
      <c r="AX15" s="26">
        <v>0</v>
      </c>
      <c r="AY15" s="26">
        <v>21278</v>
      </c>
      <c r="AZ15" s="26" t="s">
        <v>34</v>
      </c>
      <c r="BA15" s="55">
        <f t="shared" si="109"/>
        <v>4.9785632175401773E-2</v>
      </c>
      <c r="BB15" s="55" t="s">
        <v>34</v>
      </c>
      <c r="BC15" s="26">
        <v>1925</v>
      </c>
      <c r="BD15" s="26">
        <v>0</v>
      </c>
      <c r="BE15" s="26">
        <v>2199.8000000000002</v>
      </c>
      <c r="BF15" s="26">
        <v>0</v>
      </c>
      <c r="BG15" s="26">
        <f t="shared" si="125"/>
        <v>4124.8</v>
      </c>
      <c r="BH15" s="26" t="s">
        <v>34</v>
      </c>
      <c r="BI15" s="55">
        <f t="shared" si="22"/>
        <v>5.6072943585743218E-3</v>
      </c>
      <c r="BJ15" s="55" t="s">
        <v>34</v>
      </c>
      <c r="BK15" s="26">
        <f>200+168.8+2199.6+21</f>
        <v>2589.4</v>
      </c>
      <c r="BL15" s="26">
        <v>0</v>
      </c>
      <c r="BM15" s="26">
        <f t="shared" si="126"/>
        <v>6714.2000000000007</v>
      </c>
      <c r="BN15" s="26" t="s">
        <v>34</v>
      </c>
      <c r="BO15" s="55">
        <f t="shared" si="24"/>
        <v>2.765745771791539E-2</v>
      </c>
      <c r="BP15" s="55" t="s">
        <v>34</v>
      </c>
      <c r="BQ15" s="26"/>
      <c r="BR15" s="26"/>
      <c r="BS15" s="26">
        <f t="shared" si="127"/>
        <v>6714.2000000000007</v>
      </c>
      <c r="BT15" s="26" t="s">
        <v>34</v>
      </c>
      <c r="BU15" s="55">
        <f t="shared" si="25"/>
        <v>-0.14939063014670484</v>
      </c>
      <c r="BV15" s="55" t="s">
        <v>34</v>
      </c>
      <c r="BW15" s="26"/>
      <c r="BX15" s="26"/>
      <c r="BY15" s="26">
        <f t="shared" si="128"/>
        <v>6714.2000000000007</v>
      </c>
      <c r="BZ15" s="26" t="s">
        <v>34</v>
      </c>
      <c r="CA15" s="55">
        <f t="shared" si="27"/>
        <v>-0.19019189251124691</v>
      </c>
      <c r="CB15" s="55" t="s">
        <v>34</v>
      </c>
      <c r="CC15" s="26"/>
      <c r="CD15" s="26"/>
      <c r="CE15" s="26">
        <f t="shared" si="129"/>
        <v>6714.2000000000007</v>
      </c>
      <c r="CF15" s="26" t="s">
        <v>34</v>
      </c>
      <c r="CG15" s="55">
        <f t="shared" si="29"/>
        <v>-0.27405421185222034</v>
      </c>
      <c r="CH15" s="55" t="s">
        <v>34</v>
      </c>
      <c r="CI15" s="26"/>
      <c r="CJ15" s="26"/>
      <c r="CK15" s="26">
        <f t="shared" si="130"/>
        <v>6714.2000000000007</v>
      </c>
      <c r="CL15" s="26" t="s">
        <v>34</v>
      </c>
      <c r="CM15" s="55">
        <f t="shared" si="31"/>
        <v>-0.35876302443962671</v>
      </c>
      <c r="CN15" s="55" t="s">
        <v>34</v>
      </c>
      <c r="CO15" s="26"/>
      <c r="CP15" s="26"/>
      <c r="CQ15" s="26">
        <f t="shared" si="131"/>
        <v>6714.2000000000007</v>
      </c>
      <c r="CR15" s="26" t="s">
        <v>34</v>
      </c>
      <c r="CS15" s="55">
        <f t="shared" si="33"/>
        <v>-0.42500642288258972</v>
      </c>
      <c r="CT15" s="55" t="s">
        <v>34</v>
      </c>
      <c r="CU15" s="26"/>
      <c r="CV15" s="26"/>
      <c r="CW15" s="26">
        <f t="shared" si="132"/>
        <v>6714.2000000000007</v>
      </c>
      <c r="CX15" s="26" t="s">
        <v>34</v>
      </c>
      <c r="CY15" s="55">
        <f t="shared" si="35"/>
        <v>-0.51969382645396667</v>
      </c>
      <c r="CZ15" s="55" t="s">
        <v>34</v>
      </c>
      <c r="DA15" s="26"/>
      <c r="DB15" s="26"/>
      <c r="DC15" s="26">
        <f t="shared" si="133"/>
        <v>6714.2000000000007</v>
      </c>
      <c r="DD15" s="26" t="s">
        <v>34</v>
      </c>
      <c r="DE15" s="55">
        <f t="shared" si="37"/>
        <v>-0.60936927292719956</v>
      </c>
      <c r="DF15" s="55" t="s">
        <v>34</v>
      </c>
      <c r="DG15" s="26"/>
      <c r="DH15" s="26"/>
      <c r="DI15" s="26">
        <f t="shared" si="134"/>
        <v>6714.2000000000007</v>
      </c>
      <c r="DJ15" s="26" t="s">
        <v>34</v>
      </c>
      <c r="DK15" s="55">
        <f t="shared" si="39"/>
        <v>-0.65036763940094566</v>
      </c>
      <c r="DL15" s="55" t="s">
        <v>34</v>
      </c>
      <c r="DM15" s="26"/>
      <c r="DN15" s="26"/>
      <c r="DO15" s="26"/>
      <c r="DP15" s="26"/>
      <c r="DQ15" s="26">
        <v>21278</v>
      </c>
      <c r="DR15" s="26" t="s">
        <v>34</v>
      </c>
      <c r="DS15" s="55">
        <f>IF($AY$15=0,1,DQ15/$AY$15-1)</f>
        <v>0</v>
      </c>
      <c r="DT15" s="55" t="s">
        <v>34</v>
      </c>
      <c r="DU15" s="55">
        <f>IF($E$15=0,1,DQ15/$E$15-1)</f>
        <v>4.9785632175401773E-2</v>
      </c>
      <c r="DV15" s="55" t="s">
        <v>34</v>
      </c>
      <c r="DW15" s="25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</row>
    <row r="16" spans="1:268" s="62" customFormat="1" ht="18" customHeight="1">
      <c r="A16" s="413" t="s">
        <v>36</v>
      </c>
      <c r="B16" s="414"/>
      <c r="C16" s="26">
        <f>'[1]прогноз '!B24</f>
        <v>533</v>
      </c>
      <c r="D16" s="26">
        <f>'[1]прогноз '!C24</f>
        <v>532.5</v>
      </c>
      <c r="E16" s="26">
        <f t="shared" si="110"/>
        <v>232.90000000000003</v>
      </c>
      <c r="F16" s="26">
        <f t="shared" si="110"/>
        <v>232.90000000000003</v>
      </c>
      <c r="G16" s="26">
        <v>55.7</v>
      </c>
      <c r="H16" s="26">
        <v>55.8</v>
      </c>
      <c r="I16" s="26">
        <v>34.799999999999997</v>
      </c>
      <c r="J16" s="26">
        <v>34.799999999999997</v>
      </c>
      <c r="K16" s="26">
        <f t="shared" si="111"/>
        <v>90.5</v>
      </c>
      <c r="L16" s="26">
        <f t="shared" si="111"/>
        <v>90.6</v>
      </c>
      <c r="M16" s="26">
        <v>16.7</v>
      </c>
      <c r="N16" s="26">
        <v>16.7</v>
      </c>
      <c r="O16" s="26">
        <f t="shared" si="112"/>
        <v>107.2</v>
      </c>
      <c r="P16" s="26">
        <f t="shared" si="112"/>
        <v>107.3</v>
      </c>
      <c r="Q16" s="26">
        <f>107.2-G16-I16-M16</f>
        <v>0</v>
      </c>
      <c r="R16" s="26">
        <v>0.01</v>
      </c>
      <c r="S16" s="26">
        <f t="shared" si="113"/>
        <v>107.2</v>
      </c>
      <c r="T16" s="26">
        <f t="shared" si="113"/>
        <v>107.31</v>
      </c>
      <c r="U16" s="26">
        <f>119.8-G16-I16-M16-Q16</f>
        <v>12.599999999999998</v>
      </c>
      <c r="V16" s="26">
        <v>12.6</v>
      </c>
      <c r="W16" s="26">
        <f t="shared" si="114"/>
        <v>119.8</v>
      </c>
      <c r="X16" s="26">
        <f t="shared" si="114"/>
        <v>119.91</v>
      </c>
      <c r="Y16" s="26">
        <f>129.2-G16-I16-M16-Q16-U16</f>
        <v>9.3999999999999915</v>
      </c>
      <c r="Z16" s="26">
        <v>9.3000000000000007</v>
      </c>
      <c r="AA16" s="26">
        <f t="shared" si="115"/>
        <v>129.19999999999999</v>
      </c>
      <c r="AB16" s="26">
        <f t="shared" si="115"/>
        <v>129.21</v>
      </c>
      <c r="AC16" s="26">
        <v>-9</v>
      </c>
      <c r="AD16" s="26">
        <v>-8.8000000000000007</v>
      </c>
      <c r="AE16" s="26">
        <f t="shared" si="116"/>
        <v>120.19999999999999</v>
      </c>
      <c r="AF16" s="26">
        <f t="shared" si="116"/>
        <v>120.41000000000001</v>
      </c>
      <c r="AG16" s="26">
        <f>124.4-G16-I16-M16-Q16-U16-Y16-AC16</f>
        <v>4.2000000000000171</v>
      </c>
      <c r="AH16" s="26">
        <f>124.4-H16-J16-N16-R16-V16-Z16-AD16</f>
        <v>3.9900000000000109</v>
      </c>
      <c r="AI16" s="26">
        <f t="shared" si="117"/>
        <v>124.4</v>
      </c>
      <c r="AJ16" s="26">
        <f t="shared" si="117"/>
        <v>124.40000000000002</v>
      </c>
      <c r="AK16" s="26">
        <f>127.7-G16-I16-M16-Q16-U16-Y16-AC16-AG16</f>
        <v>3.2999999999999972</v>
      </c>
      <c r="AL16" s="23">
        <f>127.7-H16-J16-N16-R16-V16-Z16-AD16-AH16</f>
        <v>3.2999999999999972</v>
      </c>
      <c r="AM16" s="26">
        <f t="shared" si="118"/>
        <v>127.7</v>
      </c>
      <c r="AN16" s="26">
        <f t="shared" si="118"/>
        <v>127.70000000000002</v>
      </c>
      <c r="AO16" s="26">
        <f>148.9-G16-I16-M16-Q16-U16-Y16-AC16-AG16-AK16</f>
        <v>21.2</v>
      </c>
      <c r="AP16" s="26">
        <f>148.9-H16-J16-N16-R16-V16-Z16-AD16-AH16-AL16</f>
        <v>21.200000000000003</v>
      </c>
      <c r="AQ16" s="26">
        <f t="shared" si="119"/>
        <v>148.9</v>
      </c>
      <c r="AR16" s="26">
        <f t="shared" si="119"/>
        <v>148.90000000000003</v>
      </c>
      <c r="AS16" s="26">
        <v>54.7</v>
      </c>
      <c r="AT16" s="26">
        <v>54.7</v>
      </c>
      <c r="AU16" s="26">
        <f t="shared" si="120"/>
        <v>203.60000000000002</v>
      </c>
      <c r="AV16" s="26">
        <f t="shared" si="120"/>
        <v>203.60000000000002</v>
      </c>
      <c r="AW16" s="26">
        <f>0+AX16</f>
        <v>29.3</v>
      </c>
      <c r="AX16" s="26">
        <v>29.3</v>
      </c>
      <c r="AY16" s="26">
        <v>300</v>
      </c>
      <c r="AZ16" s="26">
        <v>300</v>
      </c>
      <c r="BA16" s="55">
        <f t="shared" si="109"/>
        <v>0.2881064834692999</v>
      </c>
      <c r="BB16" s="55">
        <f t="shared" si="109"/>
        <v>0.2881064834692999</v>
      </c>
      <c r="BC16" s="26">
        <v>6.6</v>
      </c>
      <c r="BD16" s="26">
        <v>6.6</v>
      </c>
      <c r="BE16" s="26">
        <v>18.5</v>
      </c>
      <c r="BF16" s="26">
        <v>18.5</v>
      </c>
      <c r="BG16" s="26">
        <f t="shared" si="125"/>
        <v>25.1</v>
      </c>
      <c r="BH16" s="26">
        <f t="shared" si="125"/>
        <v>25.1</v>
      </c>
      <c r="BI16" s="55">
        <f t="shared" si="22"/>
        <v>-0.72265193370165748</v>
      </c>
      <c r="BJ16" s="55">
        <f t="shared" si="22"/>
        <v>-0.72295805739514352</v>
      </c>
      <c r="BK16" s="26">
        <v>15</v>
      </c>
      <c r="BL16" s="26">
        <v>63.4</v>
      </c>
      <c r="BM16" s="26">
        <f t="shared" si="126"/>
        <v>40.1</v>
      </c>
      <c r="BN16" s="26">
        <f t="shared" si="126"/>
        <v>88.5</v>
      </c>
      <c r="BO16" s="55">
        <f t="shared" si="24"/>
        <v>-0.62593283582089554</v>
      </c>
      <c r="BP16" s="55">
        <f t="shared" si="24"/>
        <v>-0.17520969245107176</v>
      </c>
      <c r="BQ16" s="26"/>
      <c r="BR16" s="26"/>
      <c r="BS16" s="26">
        <f t="shared" si="127"/>
        <v>40.1</v>
      </c>
      <c r="BT16" s="26">
        <f t="shared" si="127"/>
        <v>88.5</v>
      </c>
      <c r="BU16" s="55">
        <f t="shared" si="25"/>
        <v>-0.62593283582089554</v>
      </c>
      <c r="BV16" s="55">
        <f t="shared" si="25"/>
        <v>-0.17528655297735529</v>
      </c>
      <c r="BW16" s="26"/>
      <c r="BX16" s="26"/>
      <c r="BY16" s="26">
        <f t="shared" si="128"/>
        <v>40.1</v>
      </c>
      <c r="BZ16" s="26">
        <f t="shared" si="128"/>
        <v>88.5</v>
      </c>
      <c r="CA16" s="55">
        <f t="shared" si="27"/>
        <v>-0.6652754590984975</v>
      </c>
      <c r="CB16" s="55">
        <f t="shared" si="27"/>
        <v>-0.26194645984488363</v>
      </c>
      <c r="CC16" s="26"/>
      <c r="CD16" s="26"/>
      <c r="CE16" s="26">
        <f t="shared" si="129"/>
        <v>40.1</v>
      </c>
      <c r="CF16" s="26">
        <f t="shared" si="129"/>
        <v>88.5</v>
      </c>
      <c r="CG16" s="55">
        <f t="shared" si="29"/>
        <v>-0.68962848297213619</v>
      </c>
      <c r="CH16" s="55">
        <f t="shared" si="29"/>
        <v>-0.31506849315068497</v>
      </c>
      <c r="CI16" s="26"/>
      <c r="CJ16" s="26"/>
      <c r="CK16" s="26">
        <f t="shared" si="130"/>
        <v>40.1</v>
      </c>
      <c r="CL16" s="26">
        <f t="shared" si="130"/>
        <v>88.5</v>
      </c>
      <c r="CM16" s="55">
        <f t="shared" si="31"/>
        <v>-0.66638935108153075</v>
      </c>
      <c r="CN16" s="55">
        <f t="shared" si="31"/>
        <v>-0.26501121169338104</v>
      </c>
      <c r="CO16" s="26"/>
      <c r="CP16" s="26"/>
      <c r="CQ16" s="26">
        <f t="shared" si="131"/>
        <v>40.1</v>
      </c>
      <c r="CR16" s="26">
        <f t="shared" si="131"/>
        <v>88.5</v>
      </c>
      <c r="CS16" s="55">
        <f t="shared" si="33"/>
        <v>-0.67765273311897101</v>
      </c>
      <c r="CT16" s="55">
        <f t="shared" si="33"/>
        <v>-0.28858520900321549</v>
      </c>
      <c r="CU16" s="26"/>
      <c r="CV16" s="26"/>
      <c r="CW16" s="26">
        <f t="shared" si="132"/>
        <v>40.1</v>
      </c>
      <c r="CX16" s="26">
        <f t="shared" si="132"/>
        <v>88.5</v>
      </c>
      <c r="CY16" s="55">
        <f t="shared" si="35"/>
        <v>-0.6859827721221613</v>
      </c>
      <c r="CZ16" s="55">
        <f t="shared" si="35"/>
        <v>-0.30696945967110423</v>
      </c>
      <c r="DA16" s="26"/>
      <c r="DB16" s="26"/>
      <c r="DC16" s="26">
        <f t="shared" si="133"/>
        <v>40.1</v>
      </c>
      <c r="DD16" s="26">
        <f t="shared" si="133"/>
        <v>88.5</v>
      </c>
      <c r="DE16" s="55">
        <f t="shared" si="37"/>
        <v>-0.73069173942243115</v>
      </c>
      <c r="DF16" s="55">
        <f t="shared" si="37"/>
        <v>-0.40564137004701151</v>
      </c>
      <c r="DG16" s="26"/>
      <c r="DH16" s="26"/>
      <c r="DI16" s="26">
        <f t="shared" si="134"/>
        <v>40.1</v>
      </c>
      <c r="DJ16" s="26">
        <f t="shared" si="134"/>
        <v>88.5</v>
      </c>
      <c r="DK16" s="55">
        <f t="shared" si="39"/>
        <v>-0.80304518664047153</v>
      </c>
      <c r="DL16" s="55">
        <f t="shared" si="39"/>
        <v>-0.56532416502946958</v>
      </c>
      <c r="DM16" s="26"/>
      <c r="DN16" s="26"/>
      <c r="DO16" s="26"/>
      <c r="DP16" s="26"/>
      <c r="DQ16" s="26">
        <v>300</v>
      </c>
      <c r="DR16" s="26">
        <v>300</v>
      </c>
      <c r="DS16" s="55">
        <f>IF($AY$16=0,1,DQ16/$AY$16-1)</f>
        <v>0</v>
      </c>
      <c r="DT16" s="55">
        <f>IF($AZ$16=0,1,DR16/$AZ$16-1)</f>
        <v>0</v>
      </c>
      <c r="DU16" s="55">
        <f>IF($E$16=0,1,DQ16/$E$16-1)</f>
        <v>0.2881064834692999</v>
      </c>
      <c r="DV16" s="55">
        <f>IF($E$16=0,1,DR16/$E$16-1)</f>
        <v>0.2881064834692999</v>
      </c>
      <c r="DW16" s="25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</row>
    <row r="17" spans="1:268" s="62" customFormat="1" ht="18" customHeight="1">
      <c r="A17" s="413" t="s">
        <v>37</v>
      </c>
      <c r="B17" s="414"/>
      <c r="C17" s="26">
        <f>'[1]прогноз '!B25</f>
        <v>6834.7</v>
      </c>
      <c r="D17" s="26">
        <f>'[1]прогноз '!C25</f>
        <v>6834.4000000000005</v>
      </c>
      <c r="E17" s="26">
        <f t="shared" si="110"/>
        <v>6189.4</v>
      </c>
      <c r="F17" s="26">
        <f t="shared" si="110"/>
        <v>6189.4</v>
      </c>
      <c r="G17" s="26">
        <v>218.9</v>
      </c>
      <c r="H17" s="26">
        <v>219</v>
      </c>
      <c r="I17" s="26">
        <f>581.8-G17</f>
        <v>362.9</v>
      </c>
      <c r="J17" s="26">
        <v>362.8</v>
      </c>
      <c r="K17" s="26">
        <f t="shared" si="111"/>
        <v>581.79999999999995</v>
      </c>
      <c r="L17" s="26">
        <f t="shared" si="111"/>
        <v>581.79999999999995</v>
      </c>
      <c r="M17" s="26">
        <f>827.6-G17-I17</f>
        <v>245.80000000000007</v>
      </c>
      <c r="N17" s="26">
        <v>245.8</v>
      </c>
      <c r="O17" s="26">
        <f t="shared" si="112"/>
        <v>827.6</v>
      </c>
      <c r="P17" s="26">
        <f t="shared" si="112"/>
        <v>827.59999999999991</v>
      </c>
      <c r="Q17" s="26">
        <f>1542.5-G17-I17-M17</f>
        <v>714.89999999999986</v>
      </c>
      <c r="R17" s="26">
        <v>714.9</v>
      </c>
      <c r="S17" s="26">
        <f t="shared" si="113"/>
        <v>1542.5</v>
      </c>
      <c r="T17" s="26">
        <f t="shared" si="113"/>
        <v>1542.5</v>
      </c>
      <c r="U17" s="26">
        <f>2111.8-G17-I17-M17-Q17</f>
        <v>569.29999999999995</v>
      </c>
      <c r="V17" s="26">
        <v>569.29999999999995</v>
      </c>
      <c r="W17" s="26">
        <f t="shared" si="114"/>
        <v>2111.8000000000002</v>
      </c>
      <c r="X17" s="26">
        <f t="shared" si="114"/>
        <v>2111.8000000000002</v>
      </c>
      <c r="Y17" s="26">
        <f>2417.7-G17-I17-M17-Q17-U17</f>
        <v>305.89999999999964</v>
      </c>
      <c r="Z17" s="26">
        <v>305.8</v>
      </c>
      <c r="AA17" s="26">
        <f t="shared" si="115"/>
        <v>2417.6999999999998</v>
      </c>
      <c r="AB17" s="26">
        <f t="shared" si="115"/>
        <v>2417.6000000000004</v>
      </c>
      <c r="AC17" s="26">
        <v>615.5</v>
      </c>
      <c r="AD17" s="26">
        <v>615.5</v>
      </c>
      <c r="AE17" s="26">
        <f t="shared" si="116"/>
        <v>3033.2</v>
      </c>
      <c r="AF17" s="26">
        <f t="shared" si="116"/>
        <v>3033.1000000000004</v>
      </c>
      <c r="AG17" s="26">
        <f>3431.4-G17-I17-M17-Q17-U17-Y17-AC17</f>
        <v>398.20000000000027</v>
      </c>
      <c r="AH17" s="26">
        <f>3431.4-H17-J17-N17-R17-V17-Z17-AD17</f>
        <v>398.29999999999973</v>
      </c>
      <c r="AI17" s="26">
        <f t="shared" si="117"/>
        <v>3431.4</v>
      </c>
      <c r="AJ17" s="26">
        <f t="shared" si="117"/>
        <v>3431.4</v>
      </c>
      <c r="AK17" s="26">
        <f>3949.7-G17-I17-M17-Q17-U17-Y17-AC17-AG17</f>
        <v>518.29999999999995</v>
      </c>
      <c r="AL17" s="23">
        <f>3949.7-H17-J17-N17-R17-V17-Z17-AD17-AH17</f>
        <v>518.29999999999973</v>
      </c>
      <c r="AM17" s="26">
        <f t="shared" si="118"/>
        <v>3949.7</v>
      </c>
      <c r="AN17" s="26">
        <f t="shared" si="118"/>
        <v>3949.7</v>
      </c>
      <c r="AO17" s="26">
        <f>4344.4-G17-I17-M17-Q17-U17-Y17-AC17-AG17-AK17</f>
        <v>394.69999999999959</v>
      </c>
      <c r="AP17" s="26">
        <f>4344.4-H17-J17-N17-R17-V17-Z17-AD17-AH17-AL17</f>
        <v>394.70000000000005</v>
      </c>
      <c r="AQ17" s="26">
        <f t="shared" si="119"/>
        <v>4344.3999999999996</v>
      </c>
      <c r="AR17" s="26">
        <f t="shared" si="119"/>
        <v>4344.3999999999996</v>
      </c>
      <c r="AS17" s="26">
        <v>1031.3</v>
      </c>
      <c r="AT17" s="26">
        <v>1031.3</v>
      </c>
      <c r="AU17" s="26">
        <f t="shared" si="120"/>
        <v>5375.7</v>
      </c>
      <c r="AV17" s="26">
        <f t="shared" si="120"/>
        <v>5375.7</v>
      </c>
      <c r="AW17" s="26">
        <f>0+AX17</f>
        <v>813.7</v>
      </c>
      <c r="AX17" s="26">
        <v>813.7</v>
      </c>
      <c r="AY17" s="26">
        <v>3420</v>
      </c>
      <c r="AZ17" s="26">
        <v>3420</v>
      </c>
      <c r="BA17" s="55">
        <f t="shared" si="109"/>
        <v>-0.44744240152518822</v>
      </c>
      <c r="BB17" s="55">
        <f t="shared" si="109"/>
        <v>-0.44744240152518822</v>
      </c>
      <c r="BC17" s="26">
        <v>150.80000000000001</v>
      </c>
      <c r="BD17" s="26">
        <v>150.80000000000001</v>
      </c>
      <c r="BE17" s="26">
        <v>240.9</v>
      </c>
      <c r="BF17" s="26">
        <v>240.9</v>
      </c>
      <c r="BG17" s="26">
        <f t="shared" si="125"/>
        <v>391.70000000000005</v>
      </c>
      <c r="BH17" s="26">
        <f t="shared" si="125"/>
        <v>391.70000000000005</v>
      </c>
      <c r="BI17" s="55">
        <f t="shared" si="22"/>
        <v>-0.32674458576830512</v>
      </c>
      <c r="BJ17" s="55">
        <f t="shared" si="22"/>
        <v>-0.32674458576830512</v>
      </c>
      <c r="BK17" s="26">
        <v>288</v>
      </c>
      <c r="BL17" s="26">
        <v>327.10000000000002</v>
      </c>
      <c r="BM17" s="26">
        <f t="shared" si="126"/>
        <v>679.7</v>
      </c>
      <c r="BN17" s="26">
        <f t="shared" si="126"/>
        <v>718.80000000000007</v>
      </c>
      <c r="BO17" s="55">
        <f t="shared" si="24"/>
        <v>-0.17870952150797481</v>
      </c>
      <c r="BP17" s="55">
        <f t="shared" si="24"/>
        <v>-0.1314644755920733</v>
      </c>
      <c r="BQ17" s="26"/>
      <c r="BR17" s="26"/>
      <c r="BS17" s="26">
        <f t="shared" si="127"/>
        <v>679.7</v>
      </c>
      <c r="BT17" s="26">
        <f t="shared" si="127"/>
        <v>718.80000000000007</v>
      </c>
      <c r="BU17" s="55">
        <f t="shared" si="25"/>
        <v>-0.55935170178282001</v>
      </c>
      <c r="BV17" s="55">
        <f t="shared" si="25"/>
        <v>-0.5340032414910858</v>
      </c>
      <c r="BW17" s="26"/>
      <c r="BX17" s="26"/>
      <c r="BY17" s="26">
        <f t="shared" si="128"/>
        <v>679.7</v>
      </c>
      <c r="BZ17" s="26">
        <f t="shared" si="128"/>
        <v>718.80000000000007</v>
      </c>
      <c r="CA17" s="55">
        <f t="shared" si="27"/>
        <v>-0.67814186949521738</v>
      </c>
      <c r="CB17" s="55">
        <f t="shared" si="27"/>
        <v>-0.65962685860403447</v>
      </c>
      <c r="CC17" s="26"/>
      <c r="CD17" s="26"/>
      <c r="CE17" s="26">
        <f t="shared" si="129"/>
        <v>679.7</v>
      </c>
      <c r="CF17" s="26">
        <f t="shared" si="129"/>
        <v>718.80000000000007</v>
      </c>
      <c r="CG17" s="55">
        <f t="shared" si="29"/>
        <v>-0.71886503701865401</v>
      </c>
      <c r="CH17" s="55">
        <f t="shared" si="29"/>
        <v>-0.70268034414295166</v>
      </c>
      <c r="CI17" s="26"/>
      <c r="CJ17" s="26"/>
      <c r="CK17" s="26">
        <f t="shared" si="130"/>
        <v>679.7</v>
      </c>
      <c r="CL17" s="26">
        <f t="shared" si="130"/>
        <v>718.80000000000007</v>
      </c>
      <c r="CM17" s="55">
        <f t="shared" si="31"/>
        <v>-0.77591322695503095</v>
      </c>
      <c r="CN17" s="55">
        <f t="shared" si="31"/>
        <v>-0.76301473739738224</v>
      </c>
      <c r="CO17" s="26"/>
      <c r="CP17" s="26"/>
      <c r="CQ17" s="26">
        <f t="shared" si="131"/>
        <v>679.7</v>
      </c>
      <c r="CR17" s="26">
        <f t="shared" si="131"/>
        <v>718.80000000000007</v>
      </c>
      <c r="CS17" s="55">
        <f t="shared" si="33"/>
        <v>-0.80191758465932272</v>
      </c>
      <c r="CT17" s="55">
        <f t="shared" si="33"/>
        <v>-0.7905228186745934</v>
      </c>
      <c r="CU17" s="26"/>
      <c r="CV17" s="26"/>
      <c r="CW17" s="26">
        <f t="shared" si="132"/>
        <v>679.7</v>
      </c>
      <c r="CX17" s="26">
        <f t="shared" si="132"/>
        <v>718.80000000000007</v>
      </c>
      <c r="CY17" s="55">
        <f t="shared" si="35"/>
        <v>-0.82791098058080359</v>
      </c>
      <c r="CZ17" s="55">
        <f t="shared" si="35"/>
        <v>-0.81801149454388944</v>
      </c>
      <c r="DA17" s="26"/>
      <c r="DB17" s="26"/>
      <c r="DC17" s="26">
        <f t="shared" si="133"/>
        <v>679.7</v>
      </c>
      <c r="DD17" s="26">
        <f t="shared" si="133"/>
        <v>718.80000000000007</v>
      </c>
      <c r="DE17" s="55">
        <f t="shared" si="37"/>
        <v>-0.84354571402264988</v>
      </c>
      <c r="DF17" s="55">
        <f t="shared" si="37"/>
        <v>-0.83454562195009663</v>
      </c>
      <c r="DG17" s="26"/>
      <c r="DH17" s="26"/>
      <c r="DI17" s="26">
        <f t="shared" si="134"/>
        <v>679.7</v>
      </c>
      <c r="DJ17" s="26">
        <f t="shared" si="134"/>
        <v>718.80000000000007</v>
      </c>
      <c r="DK17" s="55">
        <f t="shared" si="39"/>
        <v>-0.87356065256617743</v>
      </c>
      <c r="DL17" s="55">
        <f t="shared" si="39"/>
        <v>-0.86628718120430825</v>
      </c>
      <c r="DM17" s="26"/>
      <c r="DN17" s="26"/>
      <c r="DO17" s="26"/>
      <c r="DP17" s="26"/>
      <c r="DQ17" s="26">
        <v>3420</v>
      </c>
      <c r="DR17" s="26">
        <v>3420</v>
      </c>
      <c r="DS17" s="55">
        <f>IF($AY$17=0,1,DQ17/$AY$17-1)</f>
        <v>0</v>
      </c>
      <c r="DT17" s="55">
        <f>IF($AZ$17=0,1,DR17/$AZ$17-1)</f>
        <v>0</v>
      </c>
      <c r="DU17" s="55">
        <f>IF($E$17=0,1,DQ17/$E$17-1)</f>
        <v>-0.44744240152518822</v>
      </c>
      <c r="DV17" s="55">
        <f>IF($E$17=0,1,DR17/$E$17-1)</f>
        <v>-0.44744240152518822</v>
      </c>
      <c r="DW17" s="25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</row>
    <row r="18" spans="1:268" s="62" customFormat="1" ht="18" customHeight="1">
      <c r="A18" s="413" t="s">
        <v>38</v>
      </c>
      <c r="B18" s="414"/>
      <c r="C18" s="26">
        <f>'[1]прогноз '!B26</f>
        <v>8544.6</v>
      </c>
      <c r="D18" s="26">
        <f>'[1]прогноз '!C26</f>
        <v>2078.6000000000004</v>
      </c>
      <c r="E18" s="26">
        <f t="shared" si="110"/>
        <v>8790</v>
      </c>
      <c r="F18" s="26">
        <f t="shared" si="110"/>
        <v>2192.4000000000005</v>
      </c>
      <c r="G18" s="26">
        <v>770.1</v>
      </c>
      <c r="H18" s="26">
        <v>192.1</v>
      </c>
      <c r="I18" s="26">
        <f>1040.6-G18</f>
        <v>270.49999999999989</v>
      </c>
      <c r="J18" s="26">
        <v>67.5</v>
      </c>
      <c r="K18" s="26">
        <f t="shared" si="111"/>
        <v>1040.5999999999999</v>
      </c>
      <c r="L18" s="26">
        <f t="shared" si="111"/>
        <v>259.60000000000002</v>
      </c>
      <c r="M18" s="26">
        <f>2439.8-G18-I18</f>
        <v>1399.2000000000003</v>
      </c>
      <c r="N18" s="26">
        <v>349</v>
      </c>
      <c r="O18" s="26">
        <f t="shared" si="112"/>
        <v>2439.8000000000002</v>
      </c>
      <c r="P18" s="26">
        <f t="shared" si="112"/>
        <v>608.6</v>
      </c>
      <c r="Q18" s="26">
        <f>3019.5-G18-I18-M18</f>
        <v>579.69999999999982</v>
      </c>
      <c r="R18" s="26">
        <v>144.6</v>
      </c>
      <c r="S18" s="26">
        <f t="shared" si="113"/>
        <v>3019.5</v>
      </c>
      <c r="T18" s="26">
        <f t="shared" si="113"/>
        <v>753.2</v>
      </c>
      <c r="U18" s="26">
        <f>3833.1-G18-I18-M18-Q18</f>
        <v>813.59999999999991</v>
      </c>
      <c r="V18" s="26">
        <v>202.9</v>
      </c>
      <c r="W18" s="26">
        <f t="shared" si="114"/>
        <v>3833.1</v>
      </c>
      <c r="X18" s="26">
        <f t="shared" si="114"/>
        <v>956.1</v>
      </c>
      <c r="Y18" s="26">
        <f>4259-G18-I18-M18-Q18-U18</f>
        <v>425.90000000000009</v>
      </c>
      <c r="Z18" s="26">
        <v>106.2</v>
      </c>
      <c r="AA18" s="26">
        <f t="shared" si="115"/>
        <v>4259</v>
      </c>
      <c r="AB18" s="26">
        <f t="shared" si="115"/>
        <v>1062.3</v>
      </c>
      <c r="AC18" s="26">
        <v>978.1</v>
      </c>
      <c r="AD18" s="26">
        <v>244</v>
      </c>
      <c r="AE18" s="26">
        <f t="shared" si="116"/>
        <v>5237.1000000000004</v>
      </c>
      <c r="AF18" s="26">
        <f t="shared" si="116"/>
        <v>1306.3</v>
      </c>
      <c r="AG18" s="26">
        <f>5993.7-G18-I18-M18-Q18-U18-Y18-AC18</f>
        <v>756.59999999999934</v>
      </c>
      <c r="AH18" s="26">
        <f>1495-H18-J18-N18-R18-V18-Z18-AD18</f>
        <v>188.7000000000001</v>
      </c>
      <c r="AI18" s="26">
        <f t="shared" si="117"/>
        <v>5993.7</v>
      </c>
      <c r="AJ18" s="26">
        <f t="shared" si="117"/>
        <v>1495</v>
      </c>
      <c r="AK18" s="26">
        <f>6616.8-G18-I18-M18-Q18-U18-Y18-AC18-AG18</f>
        <v>623.10000000000093</v>
      </c>
      <c r="AL18" s="23">
        <f>1650.3-H18-J18-N18-R18-V18-Z18-AD18-AH18</f>
        <v>155.2999999999999</v>
      </c>
      <c r="AM18" s="26">
        <f t="shared" si="118"/>
        <v>6616.8000000000011</v>
      </c>
      <c r="AN18" s="26">
        <f t="shared" si="118"/>
        <v>1650.3</v>
      </c>
      <c r="AO18" s="26">
        <f>7458.1-G18-I18-M18-Q18-U18-Y18-AC18-AG18-AK18</f>
        <v>841.29999999999916</v>
      </c>
      <c r="AP18" s="26">
        <f>1860.2-H18-J18-N18-R18-V18-Z18-AD18-AH18-AL18</f>
        <v>209.9000000000002</v>
      </c>
      <c r="AQ18" s="26">
        <f t="shared" si="119"/>
        <v>7458.1</v>
      </c>
      <c r="AR18" s="26">
        <f t="shared" si="119"/>
        <v>1860.2000000000003</v>
      </c>
      <c r="AS18" s="26">
        <v>478.8</v>
      </c>
      <c r="AT18" s="26">
        <v>119.4</v>
      </c>
      <c r="AU18" s="26">
        <f t="shared" si="120"/>
        <v>7936.9000000000005</v>
      </c>
      <c r="AV18" s="26">
        <f t="shared" si="120"/>
        <v>1979.6000000000004</v>
      </c>
      <c r="AW18" s="26">
        <f>640.3+AX18</f>
        <v>853.09999999999991</v>
      </c>
      <c r="AX18" s="26">
        <v>212.8</v>
      </c>
      <c r="AY18" s="26">
        <v>9159.2999999999993</v>
      </c>
      <c r="AZ18" s="26">
        <v>2284.5</v>
      </c>
      <c r="BA18" s="55">
        <f t="shared" si="109"/>
        <v>4.2013651877133018E-2</v>
      </c>
      <c r="BB18" s="55">
        <f t="shared" si="109"/>
        <v>4.2008757525998641E-2</v>
      </c>
      <c r="BC18" s="26">
        <v>676.9</v>
      </c>
      <c r="BD18" s="26">
        <v>163.4</v>
      </c>
      <c r="BE18" s="26">
        <v>2.1</v>
      </c>
      <c r="BF18" s="26">
        <v>0.5</v>
      </c>
      <c r="BG18" s="26">
        <f t="shared" si="125"/>
        <v>679</v>
      </c>
      <c r="BH18" s="26">
        <f t="shared" si="125"/>
        <v>163.9</v>
      </c>
      <c r="BI18" s="55">
        <f t="shared" si="22"/>
        <v>-0.34749183163559483</v>
      </c>
      <c r="BJ18" s="55">
        <f t="shared" si="22"/>
        <v>-0.36864406779661019</v>
      </c>
      <c r="BK18" s="26">
        <f>80.5+58.8+58.4+321.5+6+13.5-+BL18</f>
        <v>170.30000000000007</v>
      </c>
      <c r="BL18" s="26">
        <v>368.4</v>
      </c>
      <c r="BM18" s="26">
        <f t="shared" si="126"/>
        <v>849.30000000000007</v>
      </c>
      <c r="BN18" s="26">
        <f t="shared" si="126"/>
        <v>532.29999999999995</v>
      </c>
      <c r="BO18" s="55">
        <f t="shared" si="24"/>
        <v>-0.65189769653250274</v>
      </c>
      <c r="BP18" s="55">
        <f t="shared" si="24"/>
        <v>-0.12536970095300703</v>
      </c>
      <c r="BQ18" s="26"/>
      <c r="BR18" s="26"/>
      <c r="BS18" s="26">
        <f t="shared" si="127"/>
        <v>849.30000000000007</v>
      </c>
      <c r="BT18" s="26">
        <f t="shared" si="127"/>
        <v>532.29999999999995</v>
      </c>
      <c r="BU18" s="55">
        <f t="shared" si="25"/>
        <v>-0.71872826626924979</v>
      </c>
      <c r="BV18" s="55">
        <f t="shared" si="25"/>
        <v>-0.29328199681359546</v>
      </c>
      <c r="BW18" s="26"/>
      <c r="BX18" s="26"/>
      <c r="BY18" s="26">
        <f t="shared" si="128"/>
        <v>849.30000000000007</v>
      </c>
      <c r="BZ18" s="26">
        <f t="shared" si="128"/>
        <v>532.29999999999995</v>
      </c>
      <c r="CA18" s="55">
        <f t="shared" si="27"/>
        <v>-0.77842999139078028</v>
      </c>
      <c r="CB18" s="55">
        <f t="shared" si="27"/>
        <v>-0.44325907331869052</v>
      </c>
      <c r="CC18" s="26"/>
      <c r="CD18" s="26"/>
      <c r="CE18" s="26">
        <f t="shared" si="129"/>
        <v>849.30000000000007</v>
      </c>
      <c r="CF18" s="26">
        <f t="shared" si="129"/>
        <v>532.29999999999995</v>
      </c>
      <c r="CG18" s="55">
        <f t="shared" si="29"/>
        <v>-0.80058699225170227</v>
      </c>
      <c r="CH18" s="55">
        <f t="shared" si="29"/>
        <v>-0.49891744328344156</v>
      </c>
      <c r="CI18" s="26"/>
      <c r="CJ18" s="26"/>
      <c r="CK18" s="26">
        <f t="shared" si="130"/>
        <v>849.30000000000007</v>
      </c>
      <c r="CL18" s="26">
        <f t="shared" si="130"/>
        <v>532.29999999999995</v>
      </c>
      <c r="CM18" s="55">
        <f t="shared" si="31"/>
        <v>-0.83783009680930287</v>
      </c>
      <c r="CN18" s="55">
        <f t="shared" si="31"/>
        <v>-0.59251320523616324</v>
      </c>
      <c r="CO18" s="26"/>
      <c r="CP18" s="26"/>
      <c r="CQ18" s="26">
        <f t="shared" si="131"/>
        <v>849.30000000000007</v>
      </c>
      <c r="CR18" s="26">
        <f t="shared" si="131"/>
        <v>532.29999999999995</v>
      </c>
      <c r="CS18" s="55">
        <f t="shared" si="33"/>
        <v>-0.85830121627709088</v>
      </c>
      <c r="CT18" s="55">
        <f t="shared" si="33"/>
        <v>-0.64394648829431445</v>
      </c>
      <c r="CU18" s="26"/>
      <c r="CV18" s="26"/>
      <c r="CW18" s="26">
        <f t="shared" si="132"/>
        <v>849.30000000000007</v>
      </c>
      <c r="CX18" s="26">
        <f t="shared" si="132"/>
        <v>532.29999999999995</v>
      </c>
      <c r="CY18" s="55">
        <f t="shared" si="35"/>
        <v>-0.87164490388103011</v>
      </c>
      <c r="CZ18" s="55">
        <f t="shared" si="35"/>
        <v>-0.6774525843785979</v>
      </c>
      <c r="DA18" s="26"/>
      <c r="DB18" s="26"/>
      <c r="DC18" s="26">
        <f t="shared" si="133"/>
        <v>849.30000000000007</v>
      </c>
      <c r="DD18" s="26">
        <f t="shared" si="133"/>
        <v>532.29999999999995</v>
      </c>
      <c r="DE18" s="55">
        <f t="shared" si="37"/>
        <v>-0.88612381169466758</v>
      </c>
      <c r="DF18" s="55">
        <f t="shared" si="37"/>
        <v>-0.71384797333620043</v>
      </c>
      <c r="DG18" s="26"/>
      <c r="DH18" s="26"/>
      <c r="DI18" s="26">
        <f t="shared" si="134"/>
        <v>849.30000000000007</v>
      </c>
      <c r="DJ18" s="26">
        <f t="shared" si="134"/>
        <v>532.29999999999995</v>
      </c>
      <c r="DK18" s="55">
        <f t="shared" si="39"/>
        <v>-0.89299348612178564</v>
      </c>
      <c r="DL18" s="55">
        <f t="shared" si="39"/>
        <v>-0.73110729440290978</v>
      </c>
      <c r="DM18" s="26"/>
      <c r="DN18" s="26"/>
      <c r="DO18" s="26"/>
      <c r="DP18" s="26"/>
      <c r="DQ18" s="26">
        <v>9159</v>
      </c>
      <c r="DR18" s="26">
        <v>2284</v>
      </c>
      <c r="DS18" s="55">
        <f>IF($AY$18=0,1,DQ18/$AY$18-1)</f>
        <v>-3.275359470689132E-5</v>
      </c>
      <c r="DT18" s="55">
        <f>IF($AZ$18=0,1,DR18/$AZ$18-1)</f>
        <v>-2.1886627270739645E-4</v>
      </c>
      <c r="DU18" s="55">
        <f>IF($E$18=0,1,DQ18/$E$18-1)</f>
        <v>4.1979522184300233E-2</v>
      </c>
      <c r="DV18" s="55">
        <f>IF($E$18=0,1,DR18/$E$18-1)</f>
        <v>-0.74015927189988617</v>
      </c>
      <c r="DW18" s="25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</row>
    <row r="19" spans="1:268" s="62" customFormat="1" ht="18" customHeight="1">
      <c r="A19" s="413" t="s">
        <v>39</v>
      </c>
      <c r="B19" s="414"/>
      <c r="C19" s="26">
        <f>'[1]прогноз '!B27</f>
        <v>34256</v>
      </c>
      <c r="D19" s="26">
        <f>'[1]прогноз '!C27</f>
        <v>16756.5</v>
      </c>
      <c r="E19" s="26">
        <f t="shared" si="110"/>
        <v>30734.7</v>
      </c>
      <c r="F19" s="26">
        <f t="shared" si="110"/>
        <v>17528.600000000002</v>
      </c>
      <c r="G19" s="26">
        <v>1722.7</v>
      </c>
      <c r="H19" s="26">
        <v>1282.7</v>
      </c>
      <c r="I19" s="26">
        <f>3554.2-G19</f>
        <v>1831.4999999999998</v>
      </c>
      <c r="J19" s="26">
        <v>746</v>
      </c>
      <c r="K19" s="26">
        <f t="shared" si="111"/>
        <v>3554.2</v>
      </c>
      <c r="L19" s="26">
        <f t="shared" si="111"/>
        <v>2028.7</v>
      </c>
      <c r="M19" s="26">
        <f>6615.8-G19-I19</f>
        <v>3061.6000000000004</v>
      </c>
      <c r="N19" s="26">
        <v>2058.8000000000002</v>
      </c>
      <c r="O19" s="26">
        <f t="shared" si="112"/>
        <v>6615.8</v>
      </c>
      <c r="P19" s="26">
        <f t="shared" si="112"/>
        <v>4087.5</v>
      </c>
      <c r="Q19" s="26">
        <f>9856.3-G19-I19-M19</f>
        <v>3240.4999999999991</v>
      </c>
      <c r="R19" s="26">
        <v>1988.1</v>
      </c>
      <c r="S19" s="26">
        <f t="shared" si="113"/>
        <v>9856.2999999999993</v>
      </c>
      <c r="T19" s="26">
        <f t="shared" si="113"/>
        <v>6075.6</v>
      </c>
      <c r="U19" s="26">
        <f>13409.5-G19-I19-M19-Q19</f>
        <v>3553.2</v>
      </c>
      <c r="V19" s="26">
        <v>2097.6999999999998</v>
      </c>
      <c r="W19" s="26">
        <f t="shared" si="114"/>
        <v>13409.5</v>
      </c>
      <c r="X19" s="26">
        <f t="shared" si="114"/>
        <v>8173.3</v>
      </c>
      <c r="Y19" s="26">
        <f>15867.9-G19-I19-M19-Q19-U19</f>
        <v>2458.3999999999996</v>
      </c>
      <c r="Z19" s="26">
        <v>1229.2</v>
      </c>
      <c r="AA19" s="26">
        <f t="shared" si="115"/>
        <v>15867.9</v>
      </c>
      <c r="AB19" s="26">
        <f t="shared" si="115"/>
        <v>9402.5</v>
      </c>
      <c r="AC19" s="26">
        <f>2959.7-14.5</f>
        <v>2945.2</v>
      </c>
      <c r="AD19" s="26">
        <v>1757.4</v>
      </c>
      <c r="AE19" s="26">
        <f t="shared" si="116"/>
        <v>18813.099999999999</v>
      </c>
      <c r="AF19" s="26">
        <f t="shared" si="116"/>
        <v>11159.9</v>
      </c>
      <c r="AG19" s="26">
        <f>21396.7-G19-I19-M19-Q19-U19-Y19-AC19</f>
        <v>2583.6000000000022</v>
      </c>
      <c r="AH19" s="26">
        <f>12627.4-H19-J19-N19-R19-V19-Z19-AD19</f>
        <v>1467.4999999999977</v>
      </c>
      <c r="AI19" s="26">
        <f t="shared" si="117"/>
        <v>21396.7</v>
      </c>
      <c r="AJ19" s="26">
        <f t="shared" si="117"/>
        <v>12627.399999999998</v>
      </c>
      <c r="AK19" s="26">
        <f>23366.1-G19-I19-M19-Q19-U19-Y19-AC19-AG19</f>
        <v>1969.3999999999933</v>
      </c>
      <c r="AL19" s="23">
        <f>13691.4-H19-J19-N19-R19-V19-Z19-AD19-AH19</f>
        <v>1064</v>
      </c>
      <c r="AM19" s="26">
        <f t="shared" si="118"/>
        <v>23366.099999999995</v>
      </c>
      <c r="AN19" s="26">
        <f t="shared" si="118"/>
        <v>13691.399999999998</v>
      </c>
      <c r="AO19" s="26">
        <f>26501.2-G19-I19-M19-Q19-U19-Y19-AC19-AG19-AK19</f>
        <v>3135.1000000000058</v>
      </c>
      <c r="AP19" s="26">
        <f>15453.5-H19-J19-N19-R19-V19-Z19-AD19-AH19-AL19</f>
        <v>1762.1000000000026</v>
      </c>
      <c r="AQ19" s="26">
        <f t="shared" si="119"/>
        <v>26501.200000000001</v>
      </c>
      <c r="AR19" s="26">
        <f t="shared" si="119"/>
        <v>15453.5</v>
      </c>
      <c r="AS19" s="26">
        <v>1980.8</v>
      </c>
      <c r="AT19" s="26">
        <v>902.7</v>
      </c>
      <c r="AU19" s="26">
        <f t="shared" si="120"/>
        <v>28482</v>
      </c>
      <c r="AV19" s="26">
        <f t="shared" si="120"/>
        <v>16356.2</v>
      </c>
      <c r="AW19" s="26">
        <f>1080.3+AX19</f>
        <v>2252.6999999999998</v>
      </c>
      <c r="AX19" s="26">
        <v>1172.4000000000001</v>
      </c>
      <c r="AY19" s="26">
        <f>41538.6</f>
        <v>41538.6</v>
      </c>
      <c r="AZ19" s="26">
        <v>19766.5</v>
      </c>
      <c r="BA19" s="55">
        <f t="shared" si="109"/>
        <v>0.3515212447168834</v>
      </c>
      <c r="BB19" s="55">
        <f t="shared" si="109"/>
        <v>0.12767134853895912</v>
      </c>
      <c r="BC19" s="26">
        <v>1393.6</v>
      </c>
      <c r="BD19" s="26">
        <v>644.6</v>
      </c>
      <c r="BE19" s="26">
        <v>1960.4</v>
      </c>
      <c r="BF19" s="26">
        <v>1182.9000000000001</v>
      </c>
      <c r="BG19" s="26">
        <f t="shared" si="125"/>
        <v>3354</v>
      </c>
      <c r="BH19" s="26">
        <f t="shared" si="125"/>
        <v>1827.5</v>
      </c>
      <c r="BI19" s="55">
        <f t="shared" si="22"/>
        <v>-5.6327724945135271E-2</v>
      </c>
      <c r="BJ19" s="55">
        <f t="shared" si="22"/>
        <v>-9.9176812737220899E-2</v>
      </c>
      <c r="BK19" s="26">
        <v>2200</v>
      </c>
      <c r="BL19" s="26">
        <v>4134.8999999999996</v>
      </c>
      <c r="BM19" s="26">
        <f t="shared" si="126"/>
        <v>5554</v>
      </c>
      <c r="BN19" s="26">
        <f t="shared" si="126"/>
        <v>5962.4</v>
      </c>
      <c r="BO19" s="55">
        <f t="shared" si="24"/>
        <v>-0.16049457359654162</v>
      </c>
      <c r="BP19" s="55">
        <f t="shared" si="24"/>
        <v>0.45869113149847096</v>
      </c>
      <c r="BQ19" s="26"/>
      <c r="BR19" s="26"/>
      <c r="BS19" s="26">
        <f t="shared" si="127"/>
        <v>5554</v>
      </c>
      <c r="BT19" s="26">
        <f t="shared" si="127"/>
        <v>5962.4</v>
      </c>
      <c r="BU19" s="55">
        <f t="shared" si="25"/>
        <v>-0.43650254152166634</v>
      </c>
      <c r="BV19" s="55">
        <f t="shared" si="25"/>
        <v>-1.8631904667851806E-2</v>
      </c>
      <c r="BW19" s="26"/>
      <c r="BX19" s="26"/>
      <c r="BY19" s="26">
        <f t="shared" si="128"/>
        <v>5554</v>
      </c>
      <c r="BZ19" s="26">
        <f t="shared" si="128"/>
        <v>5962.4</v>
      </c>
      <c r="CA19" s="55">
        <f t="shared" si="27"/>
        <v>-0.58581602595175064</v>
      </c>
      <c r="CB19" s="55">
        <f t="shared" si="27"/>
        <v>-0.27050273451359919</v>
      </c>
      <c r="CC19" s="26"/>
      <c r="CD19" s="26"/>
      <c r="CE19" s="26">
        <f t="shared" si="129"/>
        <v>5554</v>
      </c>
      <c r="CF19" s="26">
        <f t="shared" si="129"/>
        <v>5962.4</v>
      </c>
      <c r="CG19" s="55">
        <f t="shared" si="29"/>
        <v>-0.64998519022681012</v>
      </c>
      <c r="CH19" s="55">
        <f t="shared" si="29"/>
        <v>-0.36587077904812548</v>
      </c>
      <c r="CI19" s="26"/>
      <c r="CJ19" s="26"/>
      <c r="CK19" s="26">
        <f t="shared" si="130"/>
        <v>5554</v>
      </c>
      <c r="CL19" s="26">
        <f t="shared" si="130"/>
        <v>5962.4</v>
      </c>
      <c r="CM19" s="55">
        <f t="shared" si="31"/>
        <v>-0.70478017976835283</v>
      </c>
      <c r="CN19" s="55">
        <f t="shared" si="31"/>
        <v>-0.46572997965931595</v>
      </c>
      <c r="CO19" s="26"/>
      <c r="CP19" s="26"/>
      <c r="CQ19" s="26">
        <f t="shared" si="131"/>
        <v>5554</v>
      </c>
      <c r="CR19" s="26">
        <f t="shared" si="131"/>
        <v>5962.4</v>
      </c>
      <c r="CS19" s="55">
        <f t="shared" si="33"/>
        <v>-0.74042726214790133</v>
      </c>
      <c r="CT19" s="55">
        <f t="shared" si="33"/>
        <v>-0.52782045393350963</v>
      </c>
      <c r="CU19" s="26"/>
      <c r="CV19" s="26"/>
      <c r="CW19" s="26">
        <f t="shared" si="132"/>
        <v>5554</v>
      </c>
      <c r="CX19" s="26">
        <f t="shared" si="132"/>
        <v>5962.4</v>
      </c>
      <c r="CY19" s="55">
        <f t="shared" si="35"/>
        <v>-0.76230521995540546</v>
      </c>
      <c r="CZ19" s="55">
        <f t="shared" si="35"/>
        <v>-0.56451495099113314</v>
      </c>
      <c r="DA19" s="26"/>
      <c r="DB19" s="26"/>
      <c r="DC19" s="26">
        <f t="shared" si="133"/>
        <v>5554</v>
      </c>
      <c r="DD19" s="26">
        <f t="shared" si="133"/>
        <v>5962.4</v>
      </c>
      <c r="DE19" s="55">
        <f t="shared" si="37"/>
        <v>-0.79042458454711484</v>
      </c>
      <c r="DF19" s="55">
        <f t="shared" si="37"/>
        <v>-0.61417154689876075</v>
      </c>
      <c r="DG19" s="26"/>
      <c r="DH19" s="26"/>
      <c r="DI19" s="26">
        <f t="shared" si="134"/>
        <v>5554</v>
      </c>
      <c r="DJ19" s="26">
        <f t="shared" si="134"/>
        <v>5962.4</v>
      </c>
      <c r="DK19" s="55">
        <f t="shared" si="39"/>
        <v>-0.80499964890106035</v>
      </c>
      <c r="DL19" s="55">
        <f t="shared" si="39"/>
        <v>-0.63546545041024205</v>
      </c>
      <c r="DM19" s="26"/>
      <c r="DN19" s="26"/>
      <c r="DO19" s="26"/>
      <c r="DP19" s="26"/>
      <c r="DQ19" s="26">
        <v>41538</v>
      </c>
      <c r="DR19" s="26">
        <v>19766.5</v>
      </c>
      <c r="DS19" s="55">
        <f>IF($AY$19=0,1,DQ19/$AY$19-1)</f>
        <v>-1.4444396296386941E-5</v>
      </c>
      <c r="DT19" s="55">
        <f>IF($AZ$19=0,1,DR19/$AZ$19-1)</f>
        <v>0</v>
      </c>
      <c r="DU19" s="55">
        <f>IF($E$19=0,1,DQ19/$E$19-1)</f>
        <v>0.35150172280842162</v>
      </c>
      <c r="DV19" s="55">
        <f>IF($E$19=0,1,DR19/$E$19-1)</f>
        <v>-0.35686699398399857</v>
      </c>
      <c r="DW19" s="25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</row>
    <row r="20" spans="1:268" s="62" customFormat="1" ht="18" customHeight="1">
      <c r="A20" s="413" t="s">
        <v>40</v>
      </c>
      <c r="B20" s="414"/>
      <c r="C20" s="26">
        <f>'[1]прогноз '!B28</f>
        <v>1482.4</v>
      </c>
      <c r="D20" s="26">
        <f>'[1]прогноз '!C28</f>
        <v>1481.9499999999998</v>
      </c>
      <c r="E20" s="26">
        <f t="shared" si="110"/>
        <v>1839.8000000000002</v>
      </c>
      <c r="F20" s="26">
        <f t="shared" si="110"/>
        <v>1839.8000000000002</v>
      </c>
      <c r="G20" s="26">
        <v>302.10000000000002</v>
      </c>
      <c r="H20" s="26">
        <v>302.10000000000002</v>
      </c>
      <c r="I20" s="26">
        <f>334.2-G20</f>
        <v>32.099999999999966</v>
      </c>
      <c r="J20" s="26">
        <v>32.1</v>
      </c>
      <c r="K20" s="26">
        <f t="shared" si="111"/>
        <v>334.2</v>
      </c>
      <c r="L20" s="26">
        <f t="shared" si="111"/>
        <v>334.20000000000005</v>
      </c>
      <c r="M20" s="26">
        <f>342.3-G20-I20</f>
        <v>8.1000000000000227</v>
      </c>
      <c r="N20" s="26">
        <v>8.1</v>
      </c>
      <c r="O20" s="26">
        <f t="shared" si="112"/>
        <v>342.3</v>
      </c>
      <c r="P20" s="26">
        <f t="shared" si="112"/>
        <v>342.30000000000007</v>
      </c>
      <c r="Q20" s="26">
        <f>581.1-G20-I20-M20</f>
        <v>238.8</v>
      </c>
      <c r="R20" s="26">
        <v>241.8</v>
      </c>
      <c r="S20" s="26">
        <f t="shared" si="113"/>
        <v>581.1</v>
      </c>
      <c r="T20" s="26">
        <f t="shared" si="113"/>
        <v>584.10000000000014</v>
      </c>
      <c r="U20" s="26">
        <f>587.5-G20-I20-M20-Q20</f>
        <v>6.3999999999999773</v>
      </c>
      <c r="V20" s="26">
        <v>3.4</v>
      </c>
      <c r="W20" s="26">
        <f t="shared" si="114"/>
        <v>587.5</v>
      </c>
      <c r="X20" s="26">
        <f t="shared" si="114"/>
        <v>587.50000000000011</v>
      </c>
      <c r="Y20" s="26">
        <f>590.7-G20-I20-M20-Q20-U20</f>
        <v>3.2000000000000455</v>
      </c>
      <c r="Z20" s="26">
        <v>3.2</v>
      </c>
      <c r="AA20" s="26">
        <f t="shared" si="115"/>
        <v>590.70000000000005</v>
      </c>
      <c r="AB20" s="26">
        <f t="shared" si="115"/>
        <v>590.70000000000016</v>
      </c>
      <c r="AC20" s="26">
        <v>492.2</v>
      </c>
      <c r="AD20" s="26">
        <v>492.2</v>
      </c>
      <c r="AE20" s="26">
        <f t="shared" si="116"/>
        <v>1082.9000000000001</v>
      </c>
      <c r="AF20" s="26">
        <f t="shared" si="116"/>
        <v>1082.9000000000001</v>
      </c>
      <c r="AG20" s="26">
        <f>1089-G20-I20-M20-Q20-U20-Y20-AC20</f>
        <v>6.0999999999999091</v>
      </c>
      <c r="AH20" s="26">
        <f>1089-H20-J20-N20-R20-V20-Z20-AD20</f>
        <v>6.0999999999999659</v>
      </c>
      <c r="AI20" s="26">
        <f t="shared" si="117"/>
        <v>1089</v>
      </c>
      <c r="AJ20" s="26">
        <f t="shared" si="117"/>
        <v>1089</v>
      </c>
      <c r="AK20" s="26">
        <f>1095.1-G20-I20-M20-Q20-U20-Y20-AC20-AG20</f>
        <v>6.0999999999998522</v>
      </c>
      <c r="AL20" s="23">
        <v>6</v>
      </c>
      <c r="AM20" s="26">
        <f t="shared" si="118"/>
        <v>1095.0999999999999</v>
      </c>
      <c r="AN20" s="26">
        <f t="shared" si="118"/>
        <v>1095</v>
      </c>
      <c r="AO20" s="26">
        <f>1518.2-G20-I20-M20-Q20-U20-Y20-AC20-AG20-AK20</f>
        <v>423.10000000000036</v>
      </c>
      <c r="AP20" s="26">
        <f>1518.2-H20-J20-N20-R20-V20-Z20-AD20-AH20-AL20</f>
        <v>423.20000000000016</v>
      </c>
      <c r="AQ20" s="26">
        <f t="shared" si="119"/>
        <v>1518.2000000000003</v>
      </c>
      <c r="AR20" s="26">
        <f t="shared" si="119"/>
        <v>1518.2000000000003</v>
      </c>
      <c r="AS20" s="26">
        <v>137</v>
      </c>
      <c r="AT20" s="26">
        <v>137</v>
      </c>
      <c r="AU20" s="26">
        <f t="shared" si="120"/>
        <v>1655.2000000000003</v>
      </c>
      <c r="AV20" s="26">
        <f t="shared" si="120"/>
        <v>1655.2000000000003</v>
      </c>
      <c r="AW20" s="26">
        <f>0+AX20</f>
        <v>184.6</v>
      </c>
      <c r="AX20" s="26">
        <v>184.6</v>
      </c>
      <c r="AY20" s="26">
        <v>385</v>
      </c>
      <c r="AZ20" s="26">
        <v>385</v>
      </c>
      <c r="BA20" s="55">
        <f t="shared" si="109"/>
        <v>-0.79073812370909879</v>
      </c>
      <c r="BB20" s="55">
        <f t="shared" si="109"/>
        <v>-0.79073812370909879</v>
      </c>
      <c r="BC20" s="26">
        <v>219.1</v>
      </c>
      <c r="BD20" s="26">
        <v>219.1</v>
      </c>
      <c r="BE20" s="26">
        <v>257.89999999999998</v>
      </c>
      <c r="BF20" s="26">
        <v>257.89999999999998</v>
      </c>
      <c r="BG20" s="26">
        <f t="shared" si="125"/>
        <v>477</v>
      </c>
      <c r="BH20" s="26">
        <f t="shared" si="125"/>
        <v>477</v>
      </c>
      <c r="BI20" s="55">
        <f t="shared" si="22"/>
        <v>0.42728904847396776</v>
      </c>
      <c r="BJ20" s="55">
        <f t="shared" si="22"/>
        <v>0.42728904847396754</v>
      </c>
      <c r="BK20" s="26">
        <v>0</v>
      </c>
      <c r="BL20" s="26">
        <v>4</v>
      </c>
      <c r="BM20" s="26">
        <f t="shared" si="126"/>
        <v>477</v>
      </c>
      <c r="BN20" s="26">
        <f t="shared" si="126"/>
        <v>481</v>
      </c>
      <c r="BO20" s="55">
        <f t="shared" si="24"/>
        <v>0.39351446099912346</v>
      </c>
      <c r="BP20" s="55">
        <f t="shared" si="24"/>
        <v>0.40520011685655821</v>
      </c>
      <c r="BQ20" s="26"/>
      <c r="BR20" s="26"/>
      <c r="BS20" s="26">
        <f t="shared" si="127"/>
        <v>477</v>
      </c>
      <c r="BT20" s="26">
        <f t="shared" si="127"/>
        <v>481</v>
      </c>
      <c r="BU20" s="55">
        <f t="shared" si="25"/>
        <v>-0.17914300464636035</v>
      </c>
      <c r="BV20" s="55">
        <f t="shared" si="25"/>
        <v>-0.17651087142612587</v>
      </c>
      <c r="BW20" s="26"/>
      <c r="BX20" s="26"/>
      <c r="BY20" s="26">
        <f t="shared" si="128"/>
        <v>477</v>
      </c>
      <c r="BZ20" s="26">
        <f t="shared" si="128"/>
        <v>481</v>
      </c>
      <c r="CA20" s="55">
        <f t="shared" si="27"/>
        <v>-0.18808510638297871</v>
      </c>
      <c r="CB20" s="55">
        <f t="shared" si="27"/>
        <v>-0.18127659574468102</v>
      </c>
      <c r="CC20" s="26"/>
      <c r="CD20" s="26"/>
      <c r="CE20" s="26">
        <f t="shared" si="129"/>
        <v>477</v>
      </c>
      <c r="CF20" s="26">
        <f t="shared" si="129"/>
        <v>481</v>
      </c>
      <c r="CG20" s="55">
        <f t="shared" si="29"/>
        <v>-0.19248349415947186</v>
      </c>
      <c r="CH20" s="55">
        <f t="shared" si="29"/>
        <v>-0.18571186727611333</v>
      </c>
      <c r="CI20" s="26"/>
      <c r="CJ20" s="26"/>
      <c r="CK20" s="26">
        <f t="shared" si="130"/>
        <v>477</v>
      </c>
      <c r="CL20" s="26">
        <f t="shared" si="130"/>
        <v>481</v>
      </c>
      <c r="CM20" s="55">
        <f t="shared" si="31"/>
        <v>-0.55951611413796298</v>
      </c>
      <c r="CN20" s="55">
        <f t="shared" si="31"/>
        <v>-0.55582232893157268</v>
      </c>
      <c r="CO20" s="26"/>
      <c r="CP20" s="26"/>
      <c r="CQ20" s="26">
        <f t="shared" si="131"/>
        <v>477</v>
      </c>
      <c r="CR20" s="26">
        <f t="shared" si="131"/>
        <v>481</v>
      </c>
      <c r="CS20" s="55">
        <f t="shared" si="33"/>
        <v>-0.56198347107438018</v>
      </c>
      <c r="CT20" s="55">
        <f t="shared" si="33"/>
        <v>-0.55831037649219462</v>
      </c>
      <c r="CU20" s="26"/>
      <c r="CV20" s="26"/>
      <c r="CW20" s="26">
        <f t="shared" si="132"/>
        <v>477</v>
      </c>
      <c r="CX20" s="26">
        <f t="shared" si="132"/>
        <v>481</v>
      </c>
      <c r="CY20" s="55">
        <f t="shared" si="35"/>
        <v>-0.56442334033421604</v>
      </c>
      <c r="CZ20" s="55">
        <f t="shared" si="35"/>
        <v>-0.56073059360730593</v>
      </c>
      <c r="DA20" s="26"/>
      <c r="DB20" s="26"/>
      <c r="DC20" s="26">
        <f t="shared" si="133"/>
        <v>477</v>
      </c>
      <c r="DD20" s="26">
        <f t="shared" si="133"/>
        <v>481</v>
      </c>
      <c r="DE20" s="55">
        <f t="shared" si="37"/>
        <v>-0.68581214596232387</v>
      </c>
      <c r="DF20" s="55">
        <f t="shared" si="37"/>
        <v>-0.68317744697668292</v>
      </c>
      <c r="DG20" s="26"/>
      <c r="DH20" s="26"/>
      <c r="DI20" s="26">
        <f t="shared" si="134"/>
        <v>477</v>
      </c>
      <c r="DJ20" s="26">
        <f t="shared" si="134"/>
        <v>481</v>
      </c>
      <c r="DK20" s="55">
        <f t="shared" si="39"/>
        <v>-0.71181730304494928</v>
      </c>
      <c r="DL20" s="55">
        <f t="shared" si="39"/>
        <v>-0.70940067665538908</v>
      </c>
      <c r="DM20" s="26"/>
      <c r="DN20" s="26"/>
      <c r="DO20" s="26"/>
      <c r="DP20" s="26"/>
      <c r="DQ20" s="26">
        <v>480</v>
      </c>
      <c r="DR20" s="26">
        <v>480</v>
      </c>
      <c r="DS20" s="55">
        <f>IF($AY$20=0,1,DQ20/$AY$20-1)</f>
        <v>0.24675324675324672</v>
      </c>
      <c r="DT20" s="55">
        <f>IF($AZ$20=0,1,DR20/$AZ$20-1)</f>
        <v>0.24675324675324672</v>
      </c>
      <c r="DU20" s="55">
        <f>IF($E$20=0,1,DQ20/$E$20-1)</f>
        <v>-0.73910207631264269</v>
      </c>
      <c r="DV20" s="55">
        <f>IF($E$20=0,1,DR20/$E$20-1)</f>
        <v>-0.73910207631264269</v>
      </c>
      <c r="DW20" s="25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</row>
    <row r="21" spans="1:268" s="62" customFormat="1" ht="18" customHeight="1">
      <c r="A21" s="413" t="s">
        <v>41</v>
      </c>
      <c r="B21" s="414"/>
      <c r="C21" s="26">
        <f>'[1]прогноз '!B29</f>
        <v>37654.800000000003</v>
      </c>
      <c r="D21" s="26">
        <f>'[1]прогноз '!C29</f>
        <v>37153.4</v>
      </c>
      <c r="E21" s="26">
        <f t="shared" si="110"/>
        <v>39433.5</v>
      </c>
      <c r="F21" s="26">
        <f t="shared" si="110"/>
        <v>38793.400000000009</v>
      </c>
      <c r="G21" s="26">
        <v>2001.4</v>
      </c>
      <c r="H21" s="26">
        <v>1988.6</v>
      </c>
      <c r="I21" s="26">
        <f>5294.5-G21</f>
        <v>3293.1</v>
      </c>
      <c r="J21" s="26">
        <v>3235</v>
      </c>
      <c r="K21" s="26">
        <f t="shared" si="111"/>
        <v>5294.5</v>
      </c>
      <c r="L21" s="26">
        <f t="shared" si="111"/>
        <v>5223.6000000000004</v>
      </c>
      <c r="M21" s="26">
        <f>9481.7-G21-I21</f>
        <v>4187.2000000000007</v>
      </c>
      <c r="N21" s="26">
        <v>4133.3999999999996</v>
      </c>
      <c r="O21" s="26">
        <f t="shared" si="112"/>
        <v>9481.7000000000007</v>
      </c>
      <c r="P21" s="26">
        <f t="shared" si="112"/>
        <v>9357</v>
      </c>
      <c r="Q21" s="26">
        <f>13492-G21-I21-M21</f>
        <v>4010.2999999999993</v>
      </c>
      <c r="R21" s="26">
        <v>3968.2</v>
      </c>
      <c r="S21" s="26">
        <f t="shared" si="113"/>
        <v>13492</v>
      </c>
      <c r="T21" s="26">
        <f t="shared" si="113"/>
        <v>13325.2</v>
      </c>
      <c r="U21" s="26">
        <f>16813.1-G21-I21-M21-Q21</f>
        <v>3321.0999999999985</v>
      </c>
      <c r="V21" s="26">
        <v>3291.4</v>
      </c>
      <c r="W21" s="26">
        <f t="shared" si="114"/>
        <v>16813.099999999999</v>
      </c>
      <c r="X21" s="26">
        <f t="shared" si="114"/>
        <v>16616.600000000002</v>
      </c>
      <c r="Y21" s="26">
        <f>19901.3-G21-I21-M21-Q21-U21</f>
        <v>3088.1999999999989</v>
      </c>
      <c r="Z21" s="26">
        <v>3079</v>
      </c>
      <c r="AA21" s="26">
        <f t="shared" si="115"/>
        <v>19901.299999999996</v>
      </c>
      <c r="AB21" s="26">
        <f t="shared" si="115"/>
        <v>19695.600000000002</v>
      </c>
      <c r="AC21" s="26">
        <v>2482.6999999999998</v>
      </c>
      <c r="AD21" s="26">
        <v>2375.4</v>
      </c>
      <c r="AE21" s="26">
        <f t="shared" si="116"/>
        <v>22383.999999999996</v>
      </c>
      <c r="AF21" s="26">
        <f t="shared" si="116"/>
        <v>22071.000000000004</v>
      </c>
      <c r="AG21" s="26">
        <f>24246.1-G21-I21-M21-Q21-U21-Y21-AC21</f>
        <v>1862.1000000000013</v>
      </c>
      <c r="AH21" s="26">
        <f>23901.4-H21-J21-N21-R21-V21-Z21-AD21</f>
        <v>1830.4000000000046</v>
      </c>
      <c r="AI21" s="26">
        <f t="shared" si="117"/>
        <v>24246.1</v>
      </c>
      <c r="AJ21" s="26">
        <f t="shared" si="117"/>
        <v>23901.400000000009</v>
      </c>
      <c r="AK21" s="26">
        <f>27274.7-G21-I21-M21-Q21-U21-Y21-AC21-AG21</f>
        <v>3028.6000000000022</v>
      </c>
      <c r="AL21" s="23">
        <f>26901.5-H21-J21-N21-R21-V21-Z21-AD21-AH21</f>
        <v>3000.0999999999954</v>
      </c>
      <c r="AM21" s="26">
        <f t="shared" si="118"/>
        <v>27274.7</v>
      </c>
      <c r="AN21" s="26">
        <f t="shared" si="118"/>
        <v>26901.500000000004</v>
      </c>
      <c r="AO21" s="26">
        <f>31304.4-G21-I21-M21-Q21-U21-Y21-AC21-AG21-AK21</f>
        <v>4029.7000000000016</v>
      </c>
      <c r="AP21" s="26">
        <f>30849.7-H21-J21-N21-R21-V21-Z21-AD21-AH21-AL21</f>
        <v>3948.2000000000039</v>
      </c>
      <c r="AQ21" s="26">
        <f t="shared" si="119"/>
        <v>31304.400000000001</v>
      </c>
      <c r="AR21" s="26">
        <f t="shared" si="119"/>
        <v>30849.700000000008</v>
      </c>
      <c r="AS21" s="26">
        <v>3230.9</v>
      </c>
      <c r="AT21" s="26">
        <v>3161.6</v>
      </c>
      <c r="AU21" s="26">
        <f t="shared" si="120"/>
        <v>34535.300000000003</v>
      </c>
      <c r="AV21" s="26">
        <f t="shared" si="120"/>
        <v>34011.30000000001</v>
      </c>
      <c r="AW21" s="26">
        <f>116.1+AX21</f>
        <v>4898.2000000000007</v>
      </c>
      <c r="AX21" s="26">
        <v>4782.1000000000004</v>
      </c>
      <c r="AY21" s="26">
        <v>42918.6</v>
      </c>
      <c r="AZ21" s="26">
        <v>42412</v>
      </c>
      <c r="BA21" s="55">
        <f t="shared" si="109"/>
        <v>8.8379169995054907E-2</v>
      </c>
      <c r="BB21" s="55">
        <f t="shared" si="109"/>
        <v>9.3278753602416664E-2</v>
      </c>
      <c r="BC21" s="26">
        <v>2327.3000000000002</v>
      </c>
      <c r="BD21" s="26">
        <v>2321.6</v>
      </c>
      <c r="BE21" s="26">
        <v>3283.2</v>
      </c>
      <c r="BF21" s="26">
        <v>3163.8</v>
      </c>
      <c r="BG21" s="26">
        <f t="shared" si="125"/>
        <v>5610.5</v>
      </c>
      <c r="BH21" s="26">
        <f t="shared" si="125"/>
        <v>5485.4</v>
      </c>
      <c r="BI21" s="55">
        <f t="shared" si="22"/>
        <v>5.9684578336009153E-2</v>
      </c>
      <c r="BJ21" s="55">
        <f t="shared" si="22"/>
        <v>5.0118692089746286E-2</v>
      </c>
      <c r="BK21" s="26">
        <v>3990</v>
      </c>
      <c r="BL21" s="26">
        <v>3675.2</v>
      </c>
      <c r="BM21" s="26">
        <f t="shared" si="126"/>
        <v>9600.5</v>
      </c>
      <c r="BN21" s="26">
        <f t="shared" si="126"/>
        <v>9160.5999999999985</v>
      </c>
      <c r="BO21" s="55">
        <f t="shared" si="24"/>
        <v>1.2529398736513375E-2</v>
      </c>
      <c r="BP21" s="55">
        <f t="shared" si="24"/>
        <v>-2.0989633429518206E-2</v>
      </c>
      <c r="BQ21" s="26"/>
      <c r="BR21" s="26"/>
      <c r="BS21" s="26">
        <f t="shared" si="127"/>
        <v>9600.5</v>
      </c>
      <c r="BT21" s="26">
        <f t="shared" si="127"/>
        <v>9160.5999999999985</v>
      </c>
      <c r="BU21" s="55">
        <f t="shared" si="25"/>
        <v>-0.28843018084790983</v>
      </c>
      <c r="BV21" s="55">
        <f t="shared" si="25"/>
        <v>-0.31253564674451428</v>
      </c>
      <c r="BW21" s="26"/>
      <c r="BX21" s="26"/>
      <c r="BY21" s="26">
        <f t="shared" si="128"/>
        <v>9600.5</v>
      </c>
      <c r="BZ21" s="26">
        <f t="shared" si="128"/>
        <v>9160.5999999999985</v>
      </c>
      <c r="CA21" s="55">
        <f t="shared" si="27"/>
        <v>-0.42898692091285962</v>
      </c>
      <c r="CB21" s="55">
        <f t="shared" si="27"/>
        <v>-0.44870791858743686</v>
      </c>
      <c r="CC21" s="26"/>
      <c r="CD21" s="26"/>
      <c r="CE21" s="26">
        <f t="shared" si="129"/>
        <v>9600.5</v>
      </c>
      <c r="CF21" s="26">
        <f t="shared" si="129"/>
        <v>9160.5999999999985</v>
      </c>
      <c r="CG21" s="55">
        <f t="shared" si="29"/>
        <v>-0.51759432800872296</v>
      </c>
      <c r="CH21" s="55">
        <f t="shared" si="29"/>
        <v>-0.53489104165397361</v>
      </c>
      <c r="CI21" s="26"/>
      <c r="CJ21" s="26"/>
      <c r="CK21" s="26">
        <f t="shared" si="130"/>
        <v>9600.5</v>
      </c>
      <c r="CL21" s="26">
        <f t="shared" si="130"/>
        <v>9160.5999999999985</v>
      </c>
      <c r="CM21" s="55">
        <f t="shared" si="31"/>
        <v>-0.57109989278055751</v>
      </c>
      <c r="CN21" s="55">
        <f t="shared" si="31"/>
        <v>-0.5849485750532375</v>
      </c>
      <c r="CO21" s="26"/>
      <c r="CP21" s="26"/>
      <c r="CQ21" s="26">
        <f t="shared" si="131"/>
        <v>9600.5</v>
      </c>
      <c r="CR21" s="26">
        <f t="shared" si="131"/>
        <v>9160.5999999999985</v>
      </c>
      <c r="CS21" s="55">
        <f t="shared" si="33"/>
        <v>-0.604039412524076</v>
      </c>
      <c r="CT21" s="55">
        <f t="shared" si="33"/>
        <v>-0.61673374781393586</v>
      </c>
      <c r="CU21" s="26"/>
      <c r="CV21" s="26"/>
      <c r="CW21" s="26">
        <f t="shared" si="132"/>
        <v>9600.5</v>
      </c>
      <c r="CX21" s="26">
        <f t="shared" si="132"/>
        <v>9160.5999999999985</v>
      </c>
      <c r="CY21" s="55">
        <f t="shared" si="35"/>
        <v>-0.64800712748444522</v>
      </c>
      <c r="CZ21" s="55">
        <f t="shared" si="35"/>
        <v>-0.65947623738453254</v>
      </c>
      <c r="DA21" s="26"/>
      <c r="DB21" s="26"/>
      <c r="DC21" s="26">
        <f t="shared" si="133"/>
        <v>9600.5</v>
      </c>
      <c r="DD21" s="26">
        <f t="shared" si="133"/>
        <v>9160.5999999999985</v>
      </c>
      <c r="DE21" s="55">
        <f t="shared" si="37"/>
        <v>-0.69331787224799069</v>
      </c>
      <c r="DF21" s="55">
        <f t="shared" si="37"/>
        <v>-0.70305707997160438</v>
      </c>
      <c r="DG21" s="26"/>
      <c r="DH21" s="26"/>
      <c r="DI21" s="26">
        <f t="shared" si="134"/>
        <v>9600.5</v>
      </c>
      <c r="DJ21" s="26">
        <f t="shared" si="134"/>
        <v>9160.5999999999985</v>
      </c>
      <c r="DK21" s="55">
        <f t="shared" si="39"/>
        <v>-0.72200907477276877</v>
      </c>
      <c r="DL21" s="55">
        <f t="shared" si="39"/>
        <v>-0.73066010414185878</v>
      </c>
      <c r="DM21" s="26"/>
      <c r="DN21" s="26"/>
      <c r="DO21" s="26"/>
      <c r="DP21" s="26"/>
      <c r="DQ21" s="26">
        <v>42918.6</v>
      </c>
      <c r="DR21" s="26">
        <v>42412.6</v>
      </c>
      <c r="DS21" s="55">
        <f>IF($AY$21=0,1,DQ21/$AY$21-1)</f>
        <v>0</v>
      </c>
      <c r="DT21" s="55">
        <f>IF($AZ$21=0,1,DR21/$AZ$21-1)</f>
        <v>1.4146939545378601E-5</v>
      </c>
      <c r="DU21" s="55">
        <f>IF($E$21=0,1,DQ21/$E$21-1)</f>
        <v>8.8379169995054907E-2</v>
      </c>
      <c r="DV21" s="55">
        <f>IF($E$21=0,1,DR21/$E$21-1)</f>
        <v>7.5547440627892426E-2</v>
      </c>
      <c r="DW21" s="25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</row>
    <row r="22" spans="1:268" s="62" customFormat="1" ht="18" customHeight="1">
      <c r="A22" s="413" t="s">
        <v>89</v>
      </c>
      <c r="B22" s="414"/>
      <c r="C22" s="26">
        <f>'[1]прогноз '!B30</f>
        <v>37170.699999999997</v>
      </c>
      <c r="D22" s="26">
        <f>'[1]прогноз '!C30</f>
        <v>25724.100000000002</v>
      </c>
      <c r="E22" s="26">
        <f t="shared" si="110"/>
        <v>51579.199999999997</v>
      </c>
      <c r="F22" s="26">
        <f t="shared" si="110"/>
        <v>47919.200000000004</v>
      </c>
      <c r="G22" s="26">
        <v>650.20000000000005</v>
      </c>
      <c r="H22" s="26">
        <v>525.20000000000005</v>
      </c>
      <c r="I22" s="26">
        <f>26524.5-G22</f>
        <v>25874.3</v>
      </c>
      <c r="J22" s="26">
        <v>25391.3</v>
      </c>
      <c r="K22" s="26">
        <f t="shared" si="111"/>
        <v>26524.5</v>
      </c>
      <c r="L22" s="26">
        <f t="shared" si="111"/>
        <v>25916.5</v>
      </c>
      <c r="M22" s="26">
        <f>29122.9-G22-I22</f>
        <v>2598.4000000000015</v>
      </c>
      <c r="N22" s="26">
        <v>2088</v>
      </c>
      <c r="O22" s="26">
        <f t="shared" si="112"/>
        <v>29122.9</v>
      </c>
      <c r="P22" s="26">
        <f t="shared" si="112"/>
        <v>28004.5</v>
      </c>
      <c r="Q22" s="26">
        <f>31670.3-G22-I22-M22</f>
        <v>2547.3999999999978</v>
      </c>
      <c r="R22" s="26">
        <v>2205.9</v>
      </c>
      <c r="S22" s="26">
        <f t="shared" si="113"/>
        <v>31670.3</v>
      </c>
      <c r="T22" s="26">
        <f t="shared" si="113"/>
        <v>30210.400000000001</v>
      </c>
      <c r="U22" s="26">
        <f>32493.4-G22-I22-M22-Q22</f>
        <v>823.10000000000218</v>
      </c>
      <c r="V22" s="26">
        <v>706.8</v>
      </c>
      <c r="W22" s="26">
        <f t="shared" si="114"/>
        <v>32493.4</v>
      </c>
      <c r="X22" s="26">
        <f t="shared" si="114"/>
        <v>30917.200000000001</v>
      </c>
      <c r="Y22" s="26">
        <f>34280.5-G22-I22-M22-Q22-U22</f>
        <v>1787.1000000000022</v>
      </c>
      <c r="Z22" s="26">
        <v>1716.5</v>
      </c>
      <c r="AA22" s="26">
        <f t="shared" si="115"/>
        <v>34280.5</v>
      </c>
      <c r="AB22" s="26">
        <f t="shared" si="115"/>
        <v>32633.7</v>
      </c>
      <c r="AC22" s="26">
        <v>4658.1000000000004</v>
      </c>
      <c r="AD22" s="26">
        <v>4560</v>
      </c>
      <c r="AE22" s="26">
        <f t="shared" si="116"/>
        <v>38938.6</v>
      </c>
      <c r="AF22" s="26">
        <f t="shared" si="116"/>
        <v>37193.699999999997</v>
      </c>
      <c r="AG22" s="26">
        <f>40288.1-G22-I22-M22-Q22-U22-Y22-AC22</f>
        <v>1349.4999999999982</v>
      </c>
      <c r="AH22" s="26">
        <f>38221.2-H22-J22-N22-R22-V22-Z22-AD22</f>
        <v>1027.5000000000009</v>
      </c>
      <c r="AI22" s="26">
        <f t="shared" si="117"/>
        <v>40288.1</v>
      </c>
      <c r="AJ22" s="26">
        <f t="shared" si="117"/>
        <v>38221.199999999997</v>
      </c>
      <c r="AK22" s="26">
        <f>46565.1-G22-I22-M22-Q22-U22-Y22-AC22-AG22</f>
        <v>6277</v>
      </c>
      <c r="AL22" s="23">
        <f>44159-H22-J22-N22-R22-V22-Z22-AD22-AH22</f>
        <v>5937.8000000000038</v>
      </c>
      <c r="AM22" s="26">
        <f t="shared" si="118"/>
        <v>46565.1</v>
      </c>
      <c r="AN22" s="26">
        <f t="shared" si="118"/>
        <v>44159</v>
      </c>
      <c r="AO22" s="26">
        <f>47900.7-G22-I22-M22-Q22-U22-Y22-AC22-AG22-AK22</f>
        <v>1335.5999999999985</v>
      </c>
      <c r="AP22" s="26">
        <f>45200.8-H22-J22-N22-R22-V22-Z22-AD22-AH22-AL22</f>
        <v>1041.8000000000029</v>
      </c>
      <c r="AQ22" s="26">
        <f t="shared" si="119"/>
        <v>47900.7</v>
      </c>
      <c r="AR22" s="26">
        <f t="shared" si="119"/>
        <v>45200.800000000003</v>
      </c>
      <c r="AS22" s="26">
        <v>1896.7</v>
      </c>
      <c r="AT22" s="26">
        <v>1575.4</v>
      </c>
      <c r="AU22" s="26">
        <f t="shared" si="120"/>
        <v>49797.399999999994</v>
      </c>
      <c r="AV22" s="26">
        <f t="shared" si="120"/>
        <v>46776.200000000004</v>
      </c>
      <c r="AW22" s="26">
        <f>638.8+AX22</f>
        <v>1781.8</v>
      </c>
      <c r="AX22" s="26">
        <v>1143</v>
      </c>
      <c r="AY22" s="26">
        <v>76160</v>
      </c>
      <c r="AZ22" s="26">
        <v>68600</v>
      </c>
      <c r="BA22" s="55">
        <f t="shared" si="109"/>
        <v>0.47656419642026249</v>
      </c>
      <c r="BB22" s="55">
        <f t="shared" si="109"/>
        <v>0.43157648708659568</v>
      </c>
      <c r="BC22" s="26">
        <v>170.8</v>
      </c>
      <c r="BD22" s="26">
        <v>119.2</v>
      </c>
      <c r="BE22" s="26">
        <v>7778.3</v>
      </c>
      <c r="BF22" s="26">
        <v>6555.1</v>
      </c>
      <c r="BG22" s="26">
        <f t="shared" si="125"/>
        <v>7949.1</v>
      </c>
      <c r="BH22" s="26">
        <f t="shared" si="125"/>
        <v>6674.3</v>
      </c>
      <c r="BI22" s="55">
        <f t="shared" si="22"/>
        <v>-0.70031103319572474</v>
      </c>
      <c r="BJ22" s="55">
        <f t="shared" si="22"/>
        <v>-0.74246908340246565</v>
      </c>
      <c r="BK22" s="26">
        <v>1101.7</v>
      </c>
      <c r="BL22" s="26">
        <v>649</v>
      </c>
      <c r="BM22" s="26">
        <f t="shared" si="126"/>
        <v>9050.8000000000011</v>
      </c>
      <c r="BN22" s="26">
        <f t="shared" si="126"/>
        <v>7323.3</v>
      </c>
      <c r="BO22" s="55">
        <f t="shared" si="24"/>
        <v>-0.68922051032005738</v>
      </c>
      <c r="BP22" s="55">
        <f t="shared" si="24"/>
        <v>-0.73849559892160188</v>
      </c>
      <c r="BQ22" s="26"/>
      <c r="BR22" s="26"/>
      <c r="BS22" s="26">
        <f t="shared" si="127"/>
        <v>9050.8000000000011</v>
      </c>
      <c r="BT22" s="26">
        <f t="shared" si="127"/>
        <v>7323.3</v>
      </c>
      <c r="BU22" s="55">
        <f t="shared" si="25"/>
        <v>-0.71421805287603846</v>
      </c>
      <c r="BV22" s="55">
        <f t="shared" si="25"/>
        <v>-0.75759010142202687</v>
      </c>
      <c r="BW22" s="26"/>
      <c r="BX22" s="26"/>
      <c r="BY22" s="26">
        <f t="shared" si="128"/>
        <v>9050.8000000000011</v>
      </c>
      <c r="BZ22" s="26">
        <f t="shared" si="128"/>
        <v>7323.3</v>
      </c>
      <c r="CA22" s="55">
        <f t="shared" si="27"/>
        <v>-0.72145728055543579</v>
      </c>
      <c r="CB22" s="55">
        <f t="shared" si="27"/>
        <v>-0.76313184893845498</v>
      </c>
      <c r="CC22" s="26"/>
      <c r="CD22" s="26"/>
      <c r="CE22" s="26">
        <f t="shared" si="129"/>
        <v>9050.8000000000011</v>
      </c>
      <c r="CF22" s="26">
        <f t="shared" si="129"/>
        <v>7323.3</v>
      </c>
      <c r="CG22" s="55">
        <f t="shared" si="29"/>
        <v>-0.73597818001487725</v>
      </c>
      <c r="CH22" s="55">
        <f t="shared" si="29"/>
        <v>-0.77559087691558115</v>
      </c>
      <c r="CI22" s="26"/>
      <c r="CJ22" s="26"/>
      <c r="CK22" s="26">
        <f t="shared" si="130"/>
        <v>9050.8000000000011</v>
      </c>
      <c r="CL22" s="26">
        <f t="shared" si="130"/>
        <v>7323.3</v>
      </c>
      <c r="CM22" s="55">
        <f t="shared" si="31"/>
        <v>-0.76756226469364586</v>
      </c>
      <c r="CN22" s="55">
        <f t="shared" si="31"/>
        <v>-0.80310375144177637</v>
      </c>
      <c r="CO22" s="26"/>
      <c r="CP22" s="26"/>
      <c r="CQ22" s="26">
        <f t="shared" si="131"/>
        <v>9050.8000000000011</v>
      </c>
      <c r="CR22" s="26">
        <f t="shared" si="131"/>
        <v>7323.3</v>
      </c>
      <c r="CS22" s="55">
        <f t="shared" si="33"/>
        <v>-0.77534805562932974</v>
      </c>
      <c r="CT22" s="55">
        <f t="shared" si="33"/>
        <v>-0.80839691061505126</v>
      </c>
      <c r="CU22" s="26"/>
      <c r="CV22" s="26"/>
      <c r="CW22" s="26">
        <f t="shared" si="132"/>
        <v>9050.8000000000011</v>
      </c>
      <c r="CX22" s="26">
        <f t="shared" si="132"/>
        <v>7323.3</v>
      </c>
      <c r="CY22" s="55">
        <f t="shared" si="35"/>
        <v>-0.80563125602650909</v>
      </c>
      <c r="CZ22" s="55">
        <f t="shared" si="35"/>
        <v>-0.8341606467537761</v>
      </c>
      <c r="DA22" s="26"/>
      <c r="DB22" s="26"/>
      <c r="DC22" s="26">
        <f t="shared" si="133"/>
        <v>9050.8000000000011</v>
      </c>
      <c r="DD22" s="26">
        <f t="shared" si="133"/>
        <v>7323.3</v>
      </c>
      <c r="DE22" s="55">
        <f t="shared" si="37"/>
        <v>-0.81105077796357872</v>
      </c>
      <c r="DF22" s="55">
        <f t="shared" si="37"/>
        <v>-0.83798295605387518</v>
      </c>
      <c r="DG22" s="26"/>
      <c r="DH22" s="26"/>
      <c r="DI22" s="26">
        <f t="shared" si="134"/>
        <v>9050.8000000000011</v>
      </c>
      <c r="DJ22" s="26">
        <f t="shared" si="134"/>
        <v>7323.3</v>
      </c>
      <c r="DK22" s="55">
        <f t="shared" si="39"/>
        <v>-0.81824753902814196</v>
      </c>
      <c r="DL22" s="55">
        <f t="shared" si="39"/>
        <v>-0.84343961245248655</v>
      </c>
      <c r="DM22" s="26"/>
      <c r="DN22" s="26"/>
      <c r="DO22" s="26"/>
      <c r="DP22" s="26"/>
      <c r="DQ22" s="26">
        <v>31160</v>
      </c>
      <c r="DR22" s="26">
        <v>23600</v>
      </c>
      <c r="DS22" s="55">
        <f>IF($AY$22=0,1,DQ22/$AY$22-1)</f>
        <v>-0.59086134453781514</v>
      </c>
      <c r="DT22" s="55">
        <f>IF($AZ$22=0,1,DR22/$AZ$22-1)</f>
        <v>-0.65597667638483959</v>
      </c>
      <c r="DU22" s="55">
        <f>IF($E$22=0,1,DQ22/$E$22-1)</f>
        <v>-0.39588050997301238</v>
      </c>
      <c r="DV22" s="55">
        <f>IF($E$22=0,1,DR22/$E$22-1)</f>
        <v>-0.54245122064708251</v>
      </c>
      <c r="DW22" s="25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</row>
    <row r="23" spans="1:268" s="62" customFormat="1" ht="18" customHeight="1">
      <c r="A23" s="413" t="s">
        <v>90</v>
      </c>
      <c r="B23" s="414"/>
      <c r="C23" s="26"/>
      <c r="D23" s="26"/>
      <c r="E23" s="26"/>
      <c r="F23" s="26"/>
      <c r="G23" s="26"/>
      <c r="H23" s="26"/>
      <c r="I23" s="26"/>
      <c r="J23" s="26"/>
      <c r="K23" s="26">
        <f t="shared" si="111"/>
        <v>0</v>
      </c>
      <c r="L23" s="26">
        <f t="shared" si="111"/>
        <v>0</v>
      </c>
      <c r="M23" s="26"/>
      <c r="N23" s="26"/>
      <c r="O23" s="26">
        <f t="shared" si="112"/>
        <v>0</v>
      </c>
      <c r="P23" s="26">
        <f t="shared" si="112"/>
        <v>0</v>
      </c>
      <c r="Q23" s="26"/>
      <c r="R23" s="26"/>
      <c r="S23" s="26">
        <f t="shared" si="113"/>
        <v>0</v>
      </c>
      <c r="T23" s="26">
        <f t="shared" si="113"/>
        <v>0</v>
      </c>
      <c r="U23" s="26"/>
      <c r="V23" s="26"/>
      <c r="W23" s="26">
        <f t="shared" si="114"/>
        <v>0</v>
      </c>
      <c r="X23" s="26">
        <f t="shared" si="114"/>
        <v>0</v>
      </c>
      <c r="Y23" s="26"/>
      <c r="Z23" s="26"/>
      <c r="AA23" s="26">
        <f t="shared" si="115"/>
        <v>0</v>
      </c>
      <c r="AB23" s="26">
        <f t="shared" si="115"/>
        <v>0</v>
      </c>
      <c r="AC23" s="26"/>
      <c r="AD23" s="26"/>
      <c r="AE23" s="26">
        <f t="shared" si="116"/>
        <v>0</v>
      </c>
      <c r="AF23" s="26">
        <f t="shared" si="116"/>
        <v>0</v>
      </c>
      <c r="AG23" s="26"/>
      <c r="AH23" s="26"/>
      <c r="AI23" s="26">
        <f t="shared" si="117"/>
        <v>0</v>
      </c>
      <c r="AJ23" s="26">
        <f t="shared" si="117"/>
        <v>0</v>
      </c>
      <c r="AK23" s="26"/>
      <c r="AL23" s="23"/>
      <c r="AM23" s="26">
        <f t="shared" si="118"/>
        <v>0</v>
      </c>
      <c r="AN23" s="26">
        <f t="shared" si="118"/>
        <v>0</v>
      </c>
      <c r="AO23" s="26"/>
      <c r="AP23" s="26"/>
      <c r="AQ23" s="26">
        <f t="shared" si="119"/>
        <v>0</v>
      </c>
      <c r="AR23" s="26">
        <f t="shared" si="119"/>
        <v>0</v>
      </c>
      <c r="AS23" s="26"/>
      <c r="AT23" s="26"/>
      <c r="AU23" s="26">
        <f t="shared" si="120"/>
        <v>0</v>
      </c>
      <c r="AV23" s="26">
        <f t="shared" si="120"/>
        <v>0</v>
      </c>
      <c r="AW23" s="26"/>
      <c r="AX23" s="26"/>
      <c r="AY23" s="26"/>
      <c r="AZ23" s="26"/>
      <c r="BA23" s="55">
        <f t="shared" si="109"/>
        <v>1</v>
      </c>
      <c r="BB23" s="55">
        <f t="shared" si="109"/>
        <v>1</v>
      </c>
      <c r="BC23" s="26"/>
      <c r="BD23" s="26"/>
      <c r="BE23" s="26"/>
      <c r="BF23" s="26"/>
      <c r="BG23" s="26">
        <f t="shared" si="125"/>
        <v>0</v>
      </c>
      <c r="BH23" s="26">
        <f t="shared" si="125"/>
        <v>0</v>
      </c>
      <c r="BI23" s="55">
        <f t="shared" si="22"/>
        <v>1</v>
      </c>
      <c r="BJ23" s="55">
        <f t="shared" si="22"/>
        <v>1</v>
      </c>
      <c r="BK23" s="26"/>
      <c r="BL23" s="26"/>
      <c r="BM23" s="26">
        <f t="shared" si="126"/>
        <v>0</v>
      </c>
      <c r="BN23" s="26">
        <f t="shared" si="126"/>
        <v>0</v>
      </c>
      <c r="BO23" s="55">
        <f t="shared" si="24"/>
        <v>1</v>
      </c>
      <c r="BP23" s="55">
        <f t="shared" si="24"/>
        <v>1</v>
      </c>
      <c r="BQ23" s="26"/>
      <c r="BR23" s="26"/>
      <c r="BS23" s="26">
        <f t="shared" si="127"/>
        <v>0</v>
      </c>
      <c r="BT23" s="26">
        <f t="shared" si="127"/>
        <v>0</v>
      </c>
      <c r="BU23" s="55">
        <f t="shared" si="25"/>
        <v>1</v>
      </c>
      <c r="BV23" s="55">
        <f t="shared" si="25"/>
        <v>1</v>
      </c>
      <c r="BW23" s="26"/>
      <c r="BX23" s="26"/>
      <c r="BY23" s="26">
        <f t="shared" si="128"/>
        <v>0</v>
      </c>
      <c r="BZ23" s="26">
        <f t="shared" si="128"/>
        <v>0</v>
      </c>
      <c r="CA23" s="55">
        <f t="shared" si="27"/>
        <v>1</v>
      </c>
      <c r="CB23" s="55">
        <f t="shared" si="27"/>
        <v>1</v>
      </c>
      <c r="CC23" s="26"/>
      <c r="CD23" s="26"/>
      <c r="CE23" s="26">
        <f t="shared" si="129"/>
        <v>0</v>
      </c>
      <c r="CF23" s="26">
        <f t="shared" si="129"/>
        <v>0</v>
      </c>
      <c r="CG23" s="55">
        <f t="shared" si="29"/>
        <v>1</v>
      </c>
      <c r="CH23" s="55">
        <f t="shared" si="29"/>
        <v>1</v>
      </c>
      <c r="CI23" s="26"/>
      <c r="CJ23" s="26"/>
      <c r="CK23" s="26">
        <f t="shared" si="130"/>
        <v>0</v>
      </c>
      <c r="CL23" s="26">
        <f t="shared" si="130"/>
        <v>0</v>
      </c>
      <c r="CM23" s="55">
        <f t="shared" si="31"/>
        <v>1</v>
      </c>
      <c r="CN23" s="55">
        <f t="shared" si="31"/>
        <v>1</v>
      </c>
      <c r="CO23" s="26"/>
      <c r="CP23" s="26"/>
      <c r="CQ23" s="26">
        <f t="shared" si="131"/>
        <v>0</v>
      </c>
      <c r="CR23" s="26">
        <f t="shared" si="131"/>
        <v>0</v>
      </c>
      <c r="CS23" s="55">
        <f t="shared" si="33"/>
        <v>1</v>
      </c>
      <c r="CT23" s="55">
        <f t="shared" si="33"/>
        <v>1</v>
      </c>
      <c r="CU23" s="26"/>
      <c r="CV23" s="26"/>
      <c r="CW23" s="26">
        <f t="shared" si="132"/>
        <v>0</v>
      </c>
      <c r="CX23" s="26">
        <f t="shared" si="132"/>
        <v>0</v>
      </c>
      <c r="CY23" s="55">
        <f t="shared" si="35"/>
        <v>1</v>
      </c>
      <c r="CZ23" s="55">
        <f t="shared" si="35"/>
        <v>1</v>
      </c>
      <c r="DA23" s="26"/>
      <c r="DB23" s="26"/>
      <c r="DC23" s="26">
        <f t="shared" si="133"/>
        <v>0</v>
      </c>
      <c r="DD23" s="26">
        <f t="shared" si="133"/>
        <v>0</v>
      </c>
      <c r="DE23" s="55">
        <f t="shared" si="37"/>
        <v>1</v>
      </c>
      <c r="DF23" s="55">
        <f t="shared" si="37"/>
        <v>1</v>
      </c>
      <c r="DG23" s="26"/>
      <c r="DH23" s="26"/>
      <c r="DI23" s="26">
        <f t="shared" si="134"/>
        <v>0</v>
      </c>
      <c r="DJ23" s="26">
        <f t="shared" si="134"/>
        <v>0</v>
      </c>
      <c r="DK23" s="55">
        <f t="shared" si="39"/>
        <v>1</v>
      </c>
      <c r="DL23" s="55">
        <f t="shared" si="39"/>
        <v>1</v>
      </c>
      <c r="DM23" s="26"/>
      <c r="DN23" s="26"/>
      <c r="DO23" s="26"/>
      <c r="DP23" s="26"/>
      <c r="DQ23" s="26"/>
      <c r="DR23" s="26"/>
      <c r="DS23" s="55">
        <f>IF($AY$23=0,1,DQ23/$AY$23-1)</f>
        <v>1</v>
      </c>
      <c r="DT23" s="55">
        <f>IF($AZ$23=0,1,DR23/$AZ$23-1)</f>
        <v>1</v>
      </c>
      <c r="DU23" s="55">
        <f>IF($E$23=0,1,DQ23/$E$23-1)</f>
        <v>1</v>
      </c>
      <c r="DV23" s="55">
        <f>IF($E$23=0,1,DR23/$E$23-1)</f>
        <v>1</v>
      </c>
      <c r="DW23" s="25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</row>
    <row r="24" spans="1:268" s="62" customFormat="1" ht="18" customHeight="1">
      <c r="A24" s="413" t="s">
        <v>42</v>
      </c>
      <c r="B24" s="414"/>
      <c r="C24" s="26">
        <f>'[1]прогноз '!B31</f>
        <v>4905.2</v>
      </c>
      <c r="D24" s="26">
        <f>'[1]прогноз '!C31</f>
        <v>4718.4399999999996</v>
      </c>
      <c r="E24" s="26">
        <f t="shared" si="110"/>
        <v>4537.6999999999989</v>
      </c>
      <c r="F24" s="26">
        <f>H24+J24+N24+R24+V24+Z24+AD24+AH24+AL24+AP24+AT24+AX24</f>
        <v>4094.1999999999994</v>
      </c>
      <c r="G24" s="26">
        <v>-38.200000000000003</v>
      </c>
      <c r="H24" s="26">
        <v>-60.7</v>
      </c>
      <c r="I24" s="26">
        <f>288.5-G24</f>
        <v>326.7</v>
      </c>
      <c r="J24" s="26">
        <v>321.5</v>
      </c>
      <c r="K24" s="26">
        <f t="shared" si="111"/>
        <v>288.5</v>
      </c>
      <c r="L24" s="26">
        <f t="shared" si="111"/>
        <v>260.8</v>
      </c>
      <c r="M24" s="26">
        <f>641.7-G24-I24</f>
        <v>353.2000000000001</v>
      </c>
      <c r="N24" s="26">
        <v>351.4</v>
      </c>
      <c r="O24" s="26">
        <f t="shared" si="112"/>
        <v>641.70000000000005</v>
      </c>
      <c r="P24" s="26">
        <f t="shared" si="112"/>
        <v>612.20000000000005</v>
      </c>
      <c r="Q24" s="26">
        <f>1143.7-G24-I24-M24</f>
        <v>501.99999999999994</v>
      </c>
      <c r="R24" s="26">
        <v>495.3</v>
      </c>
      <c r="S24" s="26">
        <f t="shared" si="113"/>
        <v>1143.7</v>
      </c>
      <c r="T24" s="26">
        <f t="shared" si="113"/>
        <v>1107.5</v>
      </c>
      <c r="U24" s="26">
        <f>1430.8-G24-I24-M24-Q24</f>
        <v>287.09999999999997</v>
      </c>
      <c r="V24" s="26">
        <v>275.10000000000002</v>
      </c>
      <c r="W24" s="26">
        <f t="shared" si="114"/>
        <v>1430.8</v>
      </c>
      <c r="X24" s="26">
        <f t="shared" si="114"/>
        <v>1382.6</v>
      </c>
      <c r="Y24" s="26">
        <f>1845.7-G24-I24-M24-Q24-U24</f>
        <v>414.90000000000003</v>
      </c>
      <c r="Z24" s="26">
        <v>409.8</v>
      </c>
      <c r="AA24" s="26">
        <f t="shared" si="115"/>
        <v>1845.7</v>
      </c>
      <c r="AB24" s="26">
        <f t="shared" si="115"/>
        <v>1792.3999999999999</v>
      </c>
      <c r="AC24" s="26">
        <v>310.7</v>
      </c>
      <c r="AD24" s="26">
        <v>309.8</v>
      </c>
      <c r="AE24" s="26">
        <f t="shared" si="116"/>
        <v>2156.4</v>
      </c>
      <c r="AF24" s="26">
        <f t="shared" si="116"/>
        <v>2102.1999999999998</v>
      </c>
      <c r="AG24" s="26">
        <f>2624.4-G24-I24-M24-Q24-U24-Y24-AC24</f>
        <v>468.00000000000006</v>
      </c>
      <c r="AH24" s="26">
        <f>2562.4-H24-J24-N24-R24-V24-Z24-AD24</f>
        <v>460.19999999999976</v>
      </c>
      <c r="AI24" s="26">
        <f t="shared" si="117"/>
        <v>2624.4</v>
      </c>
      <c r="AJ24" s="26">
        <f t="shared" si="117"/>
        <v>2562.3999999999996</v>
      </c>
      <c r="AK24" s="26">
        <f>2957.5-G24-I24-M24-Q24-U24-Y24-AC24-AG24</f>
        <v>333.09999999999962</v>
      </c>
      <c r="AL24" s="23">
        <f>2895-H24-J24-N24-R24-V24-Z24-AD24-AH24</f>
        <v>332.59999999999997</v>
      </c>
      <c r="AM24" s="26">
        <f t="shared" si="118"/>
        <v>2957.4999999999995</v>
      </c>
      <c r="AN24" s="26">
        <f t="shared" si="118"/>
        <v>2894.9999999999995</v>
      </c>
      <c r="AO24" s="26">
        <f>3035.7-G24-I24-M24-Q24-U24-Y24-AC24-AG24-AK24</f>
        <v>78.199999999999818</v>
      </c>
      <c r="AP24" s="26">
        <f>2936.7-H24-J24-N24-R24-V24-Z24-AD24-AH24-AL24</f>
        <v>41.699999999999818</v>
      </c>
      <c r="AQ24" s="26">
        <f t="shared" si="119"/>
        <v>3035.6999999999994</v>
      </c>
      <c r="AR24" s="26">
        <f t="shared" si="119"/>
        <v>2936.6999999999994</v>
      </c>
      <c r="AS24" s="26">
        <v>596.6</v>
      </c>
      <c r="AT24" s="26">
        <v>596.5</v>
      </c>
      <c r="AU24" s="26">
        <f t="shared" si="120"/>
        <v>3632.2999999999993</v>
      </c>
      <c r="AV24" s="26">
        <f t="shared" si="120"/>
        <v>3533.1999999999994</v>
      </c>
      <c r="AW24" s="26">
        <f>344.4+AX24</f>
        <v>905.4</v>
      </c>
      <c r="AX24" s="26">
        <v>561</v>
      </c>
      <c r="AY24" s="26">
        <v>3757.5</v>
      </c>
      <c r="AZ24" s="26">
        <v>3371</v>
      </c>
      <c r="BA24" s="55">
        <f t="shared" si="109"/>
        <v>-0.17193732507658044</v>
      </c>
      <c r="BB24" s="55">
        <f t="shared" si="109"/>
        <v>-0.17664012505495563</v>
      </c>
      <c r="BC24" s="26">
        <v>191.2</v>
      </c>
      <c r="BD24" s="26">
        <v>189.5</v>
      </c>
      <c r="BE24" s="26">
        <v>427.2</v>
      </c>
      <c r="BF24" s="26">
        <v>398.5</v>
      </c>
      <c r="BG24" s="26">
        <f t="shared" si="125"/>
        <v>618.4</v>
      </c>
      <c r="BH24" s="26">
        <f t="shared" si="125"/>
        <v>588</v>
      </c>
      <c r="BI24" s="55">
        <f t="shared" si="22"/>
        <v>1.1435008665511264</v>
      </c>
      <c r="BJ24" s="55">
        <f t="shared" si="22"/>
        <v>1.2546012269938651</v>
      </c>
      <c r="BK24" s="26">
        <v>381</v>
      </c>
      <c r="BL24" s="26">
        <v>395.1</v>
      </c>
      <c r="BM24" s="26">
        <f t="shared" si="126"/>
        <v>999.4</v>
      </c>
      <c r="BN24" s="26">
        <f t="shared" si="126"/>
        <v>983.1</v>
      </c>
      <c r="BO24" s="55">
        <f t="shared" si="24"/>
        <v>0.55742558828112809</v>
      </c>
      <c r="BP24" s="55">
        <f t="shared" si="24"/>
        <v>0.60584776216922576</v>
      </c>
      <c r="BQ24" s="26"/>
      <c r="BR24" s="26"/>
      <c r="BS24" s="26">
        <f t="shared" si="127"/>
        <v>999.4</v>
      </c>
      <c r="BT24" s="26">
        <f t="shared" si="127"/>
        <v>983.1</v>
      </c>
      <c r="BU24" s="55">
        <f t="shared" si="25"/>
        <v>-0.12616945003060254</v>
      </c>
      <c r="BV24" s="55">
        <f t="shared" si="25"/>
        <v>-0.11232505643340851</v>
      </c>
      <c r="BW24" s="26"/>
      <c r="BX24" s="26"/>
      <c r="BY24" s="26">
        <f t="shared" si="128"/>
        <v>999.4</v>
      </c>
      <c r="BZ24" s="26">
        <f t="shared" si="128"/>
        <v>983.1</v>
      </c>
      <c r="CA24" s="55">
        <f t="shared" si="27"/>
        <v>-0.301509644953872</v>
      </c>
      <c r="CB24" s="55">
        <f t="shared" si="27"/>
        <v>-0.28894835816577458</v>
      </c>
      <c r="CC24" s="26"/>
      <c r="CD24" s="26"/>
      <c r="CE24" s="26">
        <f t="shared" si="129"/>
        <v>999.4</v>
      </c>
      <c r="CF24" s="26">
        <f t="shared" si="129"/>
        <v>983.1</v>
      </c>
      <c r="CG24" s="55">
        <f t="shared" si="29"/>
        <v>-0.4585252207834426</v>
      </c>
      <c r="CH24" s="55">
        <f t="shared" si="29"/>
        <v>-0.45151751841106891</v>
      </c>
      <c r="CI24" s="26"/>
      <c r="CJ24" s="26"/>
      <c r="CK24" s="26">
        <f t="shared" si="130"/>
        <v>999.4</v>
      </c>
      <c r="CL24" s="26">
        <f t="shared" si="130"/>
        <v>983.1</v>
      </c>
      <c r="CM24" s="55">
        <f t="shared" si="31"/>
        <v>-0.53654238545724353</v>
      </c>
      <c r="CN24" s="55">
        <f t="shared" si="31"/>
        <v>-0.5323470649795452</v>
      </c>
      <c r="CO24" s="26"/>
      <c r="CP24" s="26"/>
      <c r="CQ24" s="26">
        <f t="shared" si="131"/>
        <v>999.4</v>
      </c>
      <c r="CR24" s="26">
        <f t="shared" si="131"/>
        <v>983.1</v>
      </c>
      <c r="CS24" s="55">
        <f t="shared" si="33"/>
        <v>-0.61918914799573233</v>
      </c>
      <c r="CT24" s="55">
        <f t="shared" si="33"/>
        <v>-0.61633624726818603</v>
      </c>
      <c r="CU24" s="26"/>
      <c r="CV24" s="26"/>
      <c r="CW24" s="26">
        <f t="shared" si="132"/>
        <v>999.4</v>
      </c>
      <c r="CX24" s="26">
        <f t="shared" si="132"/>
        <v>983.1</v>
      </c>
      <c r="CY24" s="55">
        <f t="shared" si="35"/>
        <v>-0.66207945900253584</v>
      </c>
      <c r="CZ24" s="55">
        <f t="shared" si="35"/>
        <v>-0.66041450777202071</v>
      </c>
      <c r="DA24" s="26"/>
      <c r="DB24" s="26"/>
      <c r="DC24" s="26">
        <f t="shared" si="133"/>
        <v>999.4</v>
      </c>
      <c r="DD24" s="26">
        <f t="shared" si="133"/>
        <v>983.1</v>
      </c>
      <c r="DE24" s="55">
        <f t="shared" si="37"/>
        <v>-0.67078433310274388</v>
      </c>
      <c r="DF24" s="55">
        <f t="shared" si="37"/>
        <v>-0.66523648993768503</v>
      </c>
      <c r="DG24" s="26"/>
      <c r="DH24" s="26"/>
      <c r="DI24" s="26">
        <f t="shared" si="134"/>
        <v>999.4</v>
      </c>
      <c r="DJ24" s="26">
        <f t="shared" si="134"/>
        <v>983.1</v>
      </c>
      <c r="DK24" s="55">
        <f t="shared" si="39"/>
        <v>-0.72485752828786165</v>
      </c>
      <c r="DL24" s="55">
        <f t="shared" si="39"/>
        <v>-0.72175365108117284</v>
      </c>
      <c r="DM24" s="26"/>
      <c r="DN24" s="26"/>
      <c r="DO24" s="26"/>
      <c r="DP24" s="26"/>
      <c r="DQ24" s="26">
        <v>3757.5</v>
      </c>
      <c r="DR24" s="26">
        <v>3371</v>
      </c>
      <c r="DS24" s="55">
        <f>IF($AY$24=0,1,DQ24/$AY$24-1)</f>
        <v>0</v>
      </c>
      <c r="DT24" s="55">
        <f>IF($AZ$24=0,1,DR24/$AZ$24-1)</f>
        <v>0</v>
      </c>
      <c r="DU24" s="55">
        <f>IF($E$24=0,1,DQ24/$E$24-1)</f>
        <v>-0.17193732507658044</v>
      </c>
      <c r="DV24" s="55">
        <f>IF($E$24=0,1,DR24/$E$24-1)</f>
        <v>-0.25711263415386632</v>
      </c>
      <c r="DW24" s="25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</row>
    <row r="25" spans="1:268" s="62" customFormat="1" ht="18" customHeight="1">
      <c r="A25" s="413" t="s">
        <v>43</v>
      </c>
      <c r="B25" s="414"/>
      <c r="C25" s="26">
        <f>'[1]прогноз '!B32</f>
        <v>1969.7</v>
      </c>
      <c r="D25" s="26">
        <f>'[1]прогноз '!C32</f>
        <v>1936</v>
      </c>
      <c r="E25" s="26">
        <f t="shared" si="110"/>
        <v>-484.70000000000027</v>
      </c>
      <c r="F25" s="26">
        <f>H25+J25+N25+R25+V25+Z25+AD25+AH25+AL25+AP25+AT25+AX25</f>
        <v>-990.69999999999959</v>
      </c>
      <c r="G25" s="26">
        <v>89.2</v>
      </c>
      <c r="H25" s="26">
        <v>89.1</v>
      </c>
      <c r="I25" s="26">
        <f>94.4-G25</f>
        <v>5.2000000000000028</v>
      </c>
      <c r="J25" s="26">
        <v>5.3</v>
      </c>
      <c r="K25" s="26">
        <f t="shared" si="111"/>
        <v>94.4</v>
      </c>
      <c r="L25" s="26">
        <f t="shared" si="111"/>
        <v>94.399999999999991</v>
      </c>
      <c r="M25" s="26">
        <f>412-G25-I25</f>
        <v>317.60000000000002</v>
      </c>
      <c r="N25" s="26">
        <v>117.6</v>
      </c>
      <c r="O25" s="26">
        <f t="shared" si="112"/>
        <v>412</v>
      </c>
      <c r="P25" s="26">
        <f t="shared" si="112"/>
        <v>212</v>
      </c>
      <c r="Q25" s="26">
        <f>892.7-G25-I25-M25</f>
        <v>480.69999999999993</v>
      </c>
      <c r="R25" s="26">
        <v>480.7</v>
      </c>
      <c r="S25" s="26">
        <f t="shared" si="113"/>
        <v>892.69999999999993</v>
      </c>
      <c r="T25" s="26">
        <f t="shared" si="113"/>
        <v>692.7</v>
      </c>
      <c r="U25" s="26">
        <f>981.7-G25-I25-M25-Q25</f>
        <v>89</v>
      </c>
      <c r="V25" s="26">
        <v>89</v>
      </c>
      <c r="W25" s="26">
        <f t="shared" si="114"/>
        <v>981.69999999999993</v>
      </c>
      <c r="X25" s="26">
        <f t="shared" si="114"/>
        <v>781.7</v>
      </c>
      <c r="Y25" s="26">
        <f>-180.3-G25-I25-M25-Q25-U25</f>
        <v>-1162</v>
      </c>
      <c r="Z25" s="26">
        <v>-1264</v>
      </c>
      <c r="AA25" s="26">
        <f t="shared" si="115"/>
        <v>-180.30000000000007</v>
      </c>
      <c r="AB25" s="26">
        <f t="shared" si="115"/>
        <v>-482.29999999999995</v>
      </c>
      <c r="AC25" s="26">
        <f>-250+360</f>
        <v>110</v>
      </c>
      <c r="AD25" s="26">
        <v>101.2</v>
      </c>
      <c r="AE25" s="26">
        <f t="shared" si="116"/>
        <v>-70.300000000000068</v>
      </c>
      <c r="AF25" s="26">
        <f t="shared" si="116"/>
        <v>-381.09999999999997</v>
      </c>
      <c r="AG25" s="26">
        <f>-138.1-G25-I25-M25-Q25-U25-Y25-AC25</f>
        <v>-67.799999999999955</v>
      </c>
      <c r="AH25" s="26">
        <f>-449-H25-J25-N25-R25-V25-Z25-AD25</f>
        <v>-67.900000000000048</v>
      </c>
      <c r="AI25" s="26">
        <f t="shared" si="117"/>
        <v>-138.10000000000002</v>
      </c>
      <c r="AJ25" s="26">
        <f t="shared" si="117"/>
        <v>-449</v>
      </c>
      <c r="AK25" s="26">
        <f>-521.3-G25-I25-M25-Q25-U25-Y25-AC25-AG25</f>
        <v>-383.20000000000005</v>
      </c>
      <c r="AL25" s="23">
        <f>-1029.3-H25-J25-N25-R25-V25-Z25-AD25-AH25</f>
        <v>-580.29999999999973</v>
      </c>
      <c r="AM25" s="26">
        <f t="shared" si="118"/>
        <v>-521.30000000000007</v>
      </c>
      <c r="AN25" s="26">
        <f t="shared" si="118"/>
        <v>-1029.2999999999997</v>
      </c>
      <c r="AO25" s="26">
        <f>-550.1-G25-I25-M25-Q25-U25-Y25-AC25-AG25-AK25</f>
        <v>-28.800000000000182</v>
      </c>
      <c r="AP25" s="26">
        <f>-1056.1-H25-J25-N25-R25-V25-Z25-AD25-AH25-AL25</f>
        <v>-26.799999999999955</v>
      </c>
      <c r="AQ25" s="26">
        <f t="shared" si="119"/>
        <v>-550.10000000000025</v>
      </c>
      <c r="AR25" s="26">
        <f t="shared" si="119"/>
        <v>-1056.0999999999997</v>
      </c>
      <c r="AS25" s="26">
        <v>8.9</v>
      </c>
      <c r="AT25" s="26">
        <v>8.9</v>
      </c>
      <c r="AU25" s="26">
        <f t="shared" si="120"/>
        <v>-541.20000000000027</v>
      </c>
      <c r="AV25" s="26">
        <f t="shared" si="120"/>
        <v>-1047.1999999999996</v>
      </c>
      <c r="AW25" s="26">
        <f>0+AX25</f>
        <v>56.5</v>
      </c>
      <c r="AX25" s="26">
        <v>56.5</v>
      </c>
      <c r="AY25" s="26">
        <v>460</v>
      </c>
      <c r="AZ25" s="26">
        <v>450</v>
      </c>
      <c r="BA25" s="55">
        <f t="shared" si="109"/>
        <v>-1.9490406436971317</v>
      </c>
      <c r="BB25" s="55">
        <f t="shared" si="109"/>
        <v>-1.454224285858484</v>
      </c>
      <c r="BC25" s="26">
        <v>59.9</v>
      </c>
      <c r="BD25" s="26">
        <v>23.9</v>
      </c>
      <c r="BE25" s="26">
        <v>37.700000000000003</v>
      </c>
      <c r="BF25" s="26">
        <v>62.6</v>
      </c>
      <c r="BG25" s="26">
        <f t="shared" si="125"/>
        <v>97.6</v>
      </c>
      <c r="BH25" s="26">
        <f t="shared" si="125"/>
        <v>86.5</v>
      </c>
      <c r="BI25" s="55">
        <f t="shared" si="22"/>
        <v>3.3898305084745672E-2</v>
      </c>
      <c r="BJ25" s="55">
        <f t="shared" si="22"/>
        <v>-8.3686440677966045E-2</v>
      </c>
      <c r="BK25" s="26">
        <v>20</v>
      </c>
      <c r="BL25" s="26">
        <f>27-4</f>
        <v>23</v>
      </c>
      <c r="BM25" s="26">
        <f t="shared" si="126"/>
        <v>117.6</v>
      </c>
      <c r="BN25" s="26">
        <f t="shared" si="126"/>
        <v>109.5</v>
      </c>
      <c r="BO25" s="55">
        <f t="shared" si="24"/>
        <v>-0.71456310679611645</v>
      </c>
      <c r="BP25" s="55">
        <f t="shared" si="24"/>
        <v>-0.48349056603773588</v>
      </c>
      <c r="BQ25" s="26"/>
      <c r="BR25" s="26"/>
      <c r="BS25" s="26">
        <f t="shared" si="127"/>
        <v>117.6</v>
      </c>
      <c r="BT25" s="26">
        <f t="shared" si="127"/>
        <v>109.5</v>
      </c>
      <c r="BU25" s="55">
        <f t="shared" si="25"/>
        <v>-0.86826481460737093</v>
      </c>
      <c r="BV25" s="55">
        <f t="shared" si="25"/>
        <v>-0.84192291035080125</v>
      </c>
      <c r="BW25" s="26"/>
      <c r="BX25" s="26"/>
      <c r="BY25" s="26">
        <f t="shared" si="128"/>
        <v>117.6</v>
      </c>
      <c r="BZ25" s="26">
        <f t="shared" si="128"/>
        <v>109.5</v>
      </c>
      <c r="CA25" s="55">
        <f t="shared" si="27"/>
        <v>-0.88020780279107669</v>
      </c>
      <c r="CB25" s="55">
        <f t="shared" si="27"/>
        <v>-0.85992068568504543</v>
      </c>
      <c r="CC25" s="26"/>
      <c r="CD25" s="26"/>
      <c r="CE25" s="26">
        <f t="shared" si="129"/>
        <v>117.6</v>
      </c>
      <c r="CF25" s="26">
        <f t="shared" si="129"/>
        <v>109.5</v>
      </c>
      <c r="CG25" s="55">
        <f t="shared" si="29"/>
        <v>-1.6522462562396005</v>
      </c>
      <c r="CH25" s="55">
        <f t="shared" si="29"/>
        <v>-1.2270371138295666</v>
      </c>
      <c r="CI25" s="26"/>
      <c r="CJ25" s="26"/>
      <c r="CK25" s="26">
        <f t="shared" si="130"/>
        <v>117.6</v>
      </c>
      <c r="CL25" s="26">
        <f t="shared" si="130"/>
        <v>109.5</v>
      </c>
      <c r="CM25" s="55">
        <f t="shared" si="31"/>
        <v>-2.6728307254623029</v>
      </c>
      <c r="CN25" s="55">
        <f t="shared" si="31"/>
        <v>-1.2873261611125688</v>
      </c>
      <c r="CO25" s="26"/>
      <c r="CP25" s="26"/>
      <c r="CQ25" s="26">
        <f t="shared" si="131"/>
        <v>117.6</v>
      </c>
      <c r="CR25" s="26">
        <f t="shared" si="131"/>
        <v>109.5</v>
      </c>
      <c r="CS25" s="55">
        <f t="shared" si="33"/>
        <v>-1.8515568428674871</v>
      </c>
      <c r="CT25" s="55">
        <f t="shared" si="33"/>
        <v>-1.2438752783964366</v>
      </c>
      <c r="CU25" s="26"/>
      <c r="CV25" s="26"/>
      <c r="CW25" s="26">
        <f t="shared" si="132"/>
        <v>117.6</v>
      </c>
      <c r="CX25" s="26">
        <f t="shared" si="132"/>
        <v>109.5</v>
      </c>
      <c r="CY25" s="55">
        <f t="shared" si="35"/>
        <v>-1.2255898714751583</v>
      </c>
      <c r="CZ25" s="55">
        <f t="shared" si="35"/>
        <v>-1.1063829787234043</v>
      </c>
      <c r="DA25" s="26"/>
      <c r="DB25" s="26"/>
      <c r="DC25" s="26">
        <f t="shared" si="133"/>
        <v>117.6</v>
      </c>
      <c r="DD25" s="26">
        <f t="shared" si="133"/>
        <v>109.5</v>
      </c>
      <c r="DE25" s="55">
        <f t="shared" si="37"/>
        <v>-1.2137793128522085</v>
      </c>
      <c r="DF25" s="55">
        <f t="shared" si="37"/>
        <v>-1.1036833633178678</v>
      </c>
      <c r="DG25" s="26"/>
      <c r="DH25" s="26"/>
      <c r="DI25" s="26">
        <f t="shared" si="134"/>
        <v>117.6</v>
      </c>
      <c r="DJ25" s="26">
        <f t="shared" si="134"/>
        <v>109.5</v>
      </c>
      <c r="DK25" s="55">
        <f t="shared" si="39"/>
        <v>-1.2172949002217295</v>
      </c>
      <c r="DL25" s="55">
        <f t="shared" si="39"/>
        <v>-1.104564553093965</v>
      </c>
      <c r="DM25" s="26"/>
      <c r="DN25" s="26"/>
      <c r="DO25" s="26"/>
      <c r="DP25" s="26"/>
      <c r="DQ25" s="26">
        <v>460</v>
      </c>
      <c r="DR25" s="26">
        <v>450</v>
      </c>
      <c r="DS25" s="55">
        <f>IF($AY$25=0,1,DQ25/$AY$25-1)</f>
        <v>0</v>
      </c>
      <c r="DT25" s="55">
        <f>IF($AZ$25=0,1,DR25/$AZ$25-1)</f>
        <v>0</v>
      </c>
      <c r="DU25" s="55">
        <f>IF($E$25=0,1,DQ25/$E$25-1)</f>
        <v>-1.9490406436971317</v>
      </c>
      <c r="DV25" s="55">
        <f>IF($E$25=0,1,DR25/$E$25-1)</f>
        <v>-1.9284093253558896</v>
      </c>
      <c r="DW25" s="25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</row>
    <row r="26" spans="1:268" s="59" customFormat="1" ht="18" customHeight="1">
      <c r="A26" s="415" t="s">
        <v>44</v>
      </c>
      <c r="B26" s="416"/>
      <c r="C26" s="23">
        <f t="shared" ref="C26:D26" si="135">C27+C28+C30+C32+C34+C35</f>
        <v>368725</v>
      </c>
      <c r="D26" s="23">
        <f t="shared" si="135"/>
        <v>369398.39</v>
      </c>
      <c r="E26" s="23">
        <f>E27+E28+E30+E32+E34+E35</f>
        <v>424075.80000000005</v>
      </c>
      <c r="F26" s="23">
        <f t="shared" ref="F26:AX26" si="136">F27+F28+F30+F32+F34+F35</f>
        <v>425061.70000000007</v>
      </c>
      <c r="G26" s="23">
        <f t="shared" si="136"/>
        <v>13176.5</v>
      </c>
      <c r="H26" s="23">
        <f t="shared" si="136"/>
        <v>13197.699999999997</v>
      </c>
      <c r="I26" s="23">
        <f t="shared" si="136"/>
        <v>24155.599999999999</v>
      </c>
      <c r="J26" s="23">
        <f t="shared" si="136"/>
        <v>24236.1</v>
      </c>
      <c r="K26" s="23">
        <f t="shared" si="136"/>
        <v>37332.1</v>
      </c>
      <c r="L26" s="23">
        <f t="shared" si="136"/>
        <v>37433.799999999996</v>
      </c>
      <c r="M26" s="23">
        <f t="shared" si="136"/>
        <v>27835.399999999994</v>
      </c>
      <c r="N26" s="23">
        <f t="shared" si="136"/>
        <v>27972.699999999997</v>
      </c>
      <c r="O26" s="23">
        <f t="shared" si="136"/>
        <v>65167.5</v>
      </c>
      <c r="P26" s="23">
        <f t="shared" si="136"/>
        <v>65406.5</v>
      </c>
      <c r="Q26" s="23">
        <f t="shared" si="136"/>
        <v>32324.3</v>
      </c>
      <c r="R26" s="23">
        <f t="shared" si="136"/>
        <v>32375.9</v>
      </c>
      <c r="S26" s="23">
        <f t="shared" si="136"/>
        <v>97491.8</v>
      </c>
      <c r="T26" s="23">
        <f t="shared" si="136"/>
        <v>97782.399999999994</v>
      </c>
      <c r="U26" s="23">
        <f t="shared" si="136"/>
        <v>40458.400000000016</v>
      </c>
      <c r="V26" s="23">
        <f t="shared" si="136"/>
        <v>40467.5</v>
      </c>
      <c r="W26" s="23">
        <f t="shared" si="136"/>
        <v>137950.20000000001</v>
      </c>
      <c r="X26" s="23">
        <f t="shared" si="136"/>
        <v>138249.9</v>
      </c>
      <c r="Y26" s="23">
        <f t="shared" si="136"/>
        <v>85808.699999999983</v>
      </c>
      <c r="Z26" s="23">
        <f t="shared" si="136"/>
        <v>85967.4</v>
      </c>
      <c r="AA26" s="23">
        <f t="shared" si="136"/>
        <v>223758.89999999997</v>
      </c>
      <c r="AB26" s="23">
        <f t="shared" si="136"/>
        <v>224217.3</v>
      </c>
      <c r="AC26" s="23">
        <f t="shared" si="136"/>
        <v>29686.6</v>
      </c>
      <c r="AD26" s="23">
        <f t="shared" si="136"/>
        <v>29878.6</v>
      </c>
      <c r="AE26" s="23">
        <f t="shared" si="136"/>
        <v>253445.5</v>
      </c>
      <c r="AF26" s="23">
        <f t="shared" si="136"/>
        <v>254095.9</v>
      </c>
      <c r="AG26" s="23">
        <f t="shared" si="136"/>
        <v>18043.099999999995</v>
      </c>
      <c r="AH26" s="23">
        <f t="shared" si="136"/>
        <v>18134.800000000014</v>
      </c>
      <c r="AI26" s="23">
        <f t="shared" si="136"/>
        <v>271488.59999999998</v>
      </c>
      <c r="AJ26" s="23">
        <f t="shared" si="136"/>
        <v>272230.7</v>
      </c>
      <c r="AK26" s="23">
        <f t="shared" si="136"/>
        <v>30975.699999999993</v>
      </c>
      <c r="AL26" s="23">
        <f t="shared" si="136"/>
        <v>31081.699999999993</v>
      </c>
      <c r="AM26" s="23">
        <f t="shared" si="136"/>
        <v>302464.3</v>
      </c>
      <c r="AN26" s="23">
        <f t="shared" si="136"/>
        <v>303312.39999999997</v>
      </c>
      <c r="AO26" s="23">
        <f t="shared" si="136"/>
        <v>30356.900000000034</v>
      </c>
      <c r="AP26" s="23">
        <f t="shared" si="136"/>
        <v>30282.90000000002</v>
      </c>
      <c r="AQ26" s="23">
        <f t="shared" si="136"/>
        <v>332821.2</v>
      </c>
      <c r="AR26" s="23">
        <f t="shared" si="136"/>
        <v>333595.3</v>
      </c>
      <c r="AS26" s="23">
        <f t="shared" si="136"/>
        <v>32938.9</v>
      </c>
      <c r="AT26" s="23">
        <f t="shared" si="136"/>
        <v>33029.699999999997</v>
      </c>
      <c r="AU26" s="23">
        <f t="shared" si="136"/>
        <v>365760.10000000003</v>
      </c>
      <c r="AV26" s="23">
        <f t="shared" si="136"/>
        <v>366625.00000000006</v>
      </c>
      <c r="AW26" s="23">
        <f t="shared" si="136"/>
        <v>58315.7</v>
      </c>
      <c r="AX26" s="23">
        <f t="shared" si="136"/>
        <v>58436.7</v>
      </c>
      <c r="AY26" s="23">
        <f>AY27+AY28+AY30+AY32+AY34+AY35</f>
        <v>323112.2</v>
      </c>
      <c r="AZ26" s="23">
        <f>AZ27+AZ28+AZ30+AZ32+AZ34+AZ35</f>
        <v>323973</v>
      </c>
      <c r="BA26" s="54">
        <f t="shared" ref="BA26:BB41" si="137">IF(E26=0,1,AY26/E26-1)</f>
        <v>-0.23807913585259999</v>
      </c>
      <c r="BB26" s="54">
        <f t="shared" si="137"/>
        <v>-0.23782123865782323</v>
      </c>
      <c r="BC26" s="23">
        <f t="shared" ref="BC26:DJ26" si="138">BC27+BC28+BC30+BC32+BC34+BC35</f>
        <v>11049.5</v>
      </c>
      <c r="BD26" s="23">
        <f t="shared" si="138"/>
        <v>11049.1</v>
      </c>
      <c r="BE26" s="23">
        <f>BE27+BE28+BE30+BE32+BE34+BE35</f>
        <v>27465.9</v>
      </c>
      <c r="BF26" s="23">
        <f t="shared" si="138"/>
        <v>27558.2</v>
      </c>
      <c r="BG26" s="23">
        <f t="shared" si="138"/>
        <v>38515.4</v>
      </c>
      <c r="BH26" s="23">
        <f t="shared" si="138"/>
        <v>38607.300000000003</v>
      </c>
      <c r="BI26" s="54">
        <f t="shared" si="22"/>
        <v>3.1696582833540043E-2</v>
      </c>
      <c r="BJ26" s="54">
        <f t="shared" si="22"/>
        <v>3.134867419284193E-2</v>
      </c>
      <c r="BK26" s="23">
        <f t="shared" si="138"/>
        <v>28700</v>
      </c>
      <c r="BL26" s="23">
        <f t="shared" si="138"/>
        <v>28159.8</v>
      </c>
      <c r="BM26" s="23">
        <f t="shared" si="138"/>
        <v>67215.399999999994</v>
      </c>
      <c r="BN26" s="23">
        <f t="shared" si="138"/>
        <v>66767.10000000002</v>
      </c>
      <c r="BO26" s="54">
        <f t="shared" si="24"/>
        <v>3.1425173591130395E-2</v>
      </c>
      <c r="BP26" s="54">
        <f t="shared" si="24"/>
        <v>2.0802213847247897E-2</v>
      </c>
      <c r="BQ26" s="23">
        <f t="shared" si="138"/>
        <v>0</v>
      </c>
      <c r="BR26" s="23">
        <f t="shared" si="138"/>
        <v>0</v>
      </c>
      <c r="BS26" s="23">
        <f t="shared" si="138"/>
        <v>67215.399999999994</v>
      </c>
      <c r="BT26" s="23">
        <f t="shared" si="138"/>
        <v>66767.10000000002</v>
      </c>
      <c r="BU26" s="54">
        <f t="shared" si="25"/>
        <v>-0.31055329781581642</v>
      </c>
      <c r="BV26" s="54">
        <f t="shared" si="25"/>
        <v>-0.31718693752658944</v>
      </c>
      <c r="BW26" s="23">
        <f t="shared" ref="BW26:BX26" si="139">BW27+BW28+BW30+BW32+BW34+BW35</f>
        <v>0</v>
      </c>
      <c r="BX26" s="23">
        <f t="shared" si="139"/>
        <v>0</v>
      </c>
      <c r="BY26" s="23">
        <f t="shared" si="138"/>
        <v>67215.399999999994</v>
      </c>
      <c r="BZ26" s="23">
        <f t="shared" si="138"/>
        <v>66767.10000000002</v>
      </c>
      <c r="CA26" s="54">
        <f t="shared" si="27"/>
        <v>-0.5127560525464987</v>
      </c>
      <c r="CB26" s="54">
        <f t="shared" si="27"/>
        <v>-0.51705498521156235</v>
      </c>
      <c r="CC26" s="23">
        <f t="shared" ref="CC26:CD26" si="140">CC27+CC28+CC30+CC32+CC34+CC35</f>
        <v>0</v>
      </c>
      <c r="CD26" s="23">
        <f t="shared" si="140"/>
        <v>0</v>
      </c>
      <c r="CE26" s="23">
        <f t="shared" si="138"/>
        <v>67215.399999999994</v>
      </c>
      <c r="CF26" s="23">
        <f t="shared" si="138"/>
        <v>66767.10000000002</v>
      </c>
      <c r="CG26" s="54">
        <f t="shared" si="29"/>
        <v>-0.69960792620986245</v>
      </c>
      <c r="CH26" s="54">
        <f t="shared" si="29"/>
        <v>-0.70222146105585947</v>
      </c>
      <c r="CI26" s="23">
        <f t="shared" ref="CI26:CJ26" si="141">CI27+CI28+CI30+CI32+CI34+CI35</f>
        <v>0</v>
      </c>
      <c r="CJ26" s="23">
        <f t="shared" si="141"/>
        <v>0</v>
      </c>
      <c r="CK26" s="23">
        <f t="shared" si="138"/>
        <v>67215.399999999994</v>
      </c>
      <c r="CL26" s="23">
        <f t="shared" si="138"/>
        <v>66767.10000000002</v>
      </c>
      <c r="CM26" s="54">
        <f t="shared" si="31"/>
        <v>-0.73479347630950254</v>
      </c>
      <c r="CN26" s="54">
        <f t="shared" si="31"/>
        <v>-0.73723661027194842</v>
      </c>
      <c r="CO26" s="23">
        <f t="shared" ref="CO26:CP26" si="142">CO27+CO28+CO30+CO32+CO34+CO35</f>
        <v>0</v>
      </c>
      <c r="CP26" s="23">
        <f t="shared" si="142"/>
        <v>0</v>
      </c>
      <c r="CQ26" s="23">
        <f t="shared" si="138"/>
        <v>67215.399999999994</v>
      </c>
      <c r="CR26" s="23">
        <f t="shared" si="138"/>
        <v>66767.10000000002</v>
      </c>
      <c r="CS26" s="54">
        <f t="shared" si="33"/>
        <v>-0.75241907026667043</v>
      </c>
      <c r="CT26" s="54">
        <f t="shared" si="33"/>
        <v>-0.75474074011490977</v>
      </c>
      <c r="CU26" s="23">
        <f t="shared" ref="CU26:CV26" si="143">CU27+CU28+CU30+CU32+CU34+CU35</f>
        <v>0</v>
      </c>
      <c r="CV26" s="23">
        <f t="shared" si="143"/>
        <v>0</v>
      </c>
      <c r="CW26" s="23">
        <f t="shared" si="138"/>
        <v>67215.399999999994</v>
      </c>
      <c r="CX26" s="23">
        <f t="shared" si="138"/>
        <v>66767.10000000002</v>
      </c>
      <c r="CY26" s="54">
        <f t="shared" si="35"/>
        <v>-0.77777410424965854</v>
      </c>
      <c r="CZ26" s="54">
        <f t="shared" si="35"/>
        <v>-0.77987349017053043</v>
      </c>
      <c r="DA26" s="23">
        <f t="shared" ref="DA26:DB26" si="144">DA27+DA28+DA30+DA32+DA34+DA35</f>
        <v>0</v>
      </c>
      <c r="DB26" s="23">
        <f t="shared" si="144"/>
        <v>0</v>
      </c>
      <c r="DC26" s="23">
        <f t="shared" si="138"/>
        <v>67215.399999999994</v>
      </c>
      <c r="DD26" s="23">
        <f t="shared" si="138"/>
        <v>66767.10000000002</v>
      </c>
      <c r="DE26" s="54">
        <f t="shared" si="37"/>
        <v>-0.79804351405499419</v>
      </c>
      <c r="DF26" s="54">
        <f t="shared" si="37"/>
        <v>-0.7998559931749637</v>
      </c>
      <c r="DG26" s="23">
        <f t="shared" ref="DG26:DH26" si="145">DG27+DG28+DG30+DG32+DG34+DG35</f>
        <v>0</v>
      </c>
      <c r="DH26" s="23">
        <f t="shared" si="145"/>
        <v>0</v>
      </c>
      <c r="DI26" s="23">
        <f t="shared" si="138"/>
        <v>67215.399999999994</v>
      </c>
      <c r="DJ26" s="23">
        <f t="shared" si="138"/>
        <v>66767.10000000002</v>
      </c>
      <c r="DK26" s="54">
        <f t="shared" si="39"/>
        <v>-0.8162309120103588</v>
      </c>
      <c r="DL26" s="54">
        <f t="shared" si="39"/>
        <v>-0.81788721445618817</v>
      </c>
      <c r="DM26" s="23">
        <f t="shared" ref="DM26:DR26" si="146">DM27+DM28+DM30+DM32+DM34+DM35</f>
        <v>0</v>
      </c>
      <c r="DN26" s="23">
        <f t="shared" si="146"/>
        <v>0</v>
      </c>
      <c r="DO26" s="23">
        <f t="shared" si="146"/>
        <v>0</v>
      </c>
      <c r="DP26" s="23">
        <f t="shared" si="146"/>
        <v>0</v>
      </c>
      <c r="DQ26" s="23">
        <f t="shared" si="146"/>
        <v>321750.2</v>
      </c>
      <c r="DR26" s="23">
        <f t="shared" si="146"/>
        <v>322611</v>
      </c>
      <c r="DS26" s="54">
        <f>IF($AY$26=0,1,DQ26/$AY$26-1)</f>
        <v>-4.2152540201205735E-3</v>
      </c>
      <c r="DT26" s="54">
        <f>IF($AZ$26=0,1,DR26/$AZ$26-1)</f>
        <v>-4.2040540415404504E-3</v>
      </c>
      <c r="DU26" s="54">
        <f>IF($E$26=0,1,DQ26/$E$26-1)</f>
        <v>-0.24129082583821104</v>
      </c>
      <c r="DV26" s="54">
        <f>IF($E$26=0,1,DR26/$E$26-1)</f>
        <v>-0.23926100003820083</v>
      </c>
      <c r="DW26" s="52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8"/>
      <c r="JD26" s="58"/>
      <c r="JE26" s="58"/>
      <c r="JF26" s="58"/>
      <c r="JG26" s="58"/>
      <c r="JH26" s="58"/>
    </row>
    <row r="27" spans="1:268" s="64" customFormat="1" ht="18" customHeight="1">
      <c r="A27" s="401" t="s">
        <v>94</v>
      </c>
      <c r="B27" s="402"/>
      <c r="C27" s="29">
        <f>'[1]прогноз '!B34</f>
        <v>7299.4</v>
      </c>
      <c r="D27" s="29">
        <f>'[1]прогноз '!C34</f>
        <v>0</v>
      </c>
      <c r="E27" s="26">
        <f t="shared" si="110"/>
        <v>0</v>
      </c>
      <c r="F27" s="29">
        <f>H27+J27+N27+R27+V27+Z27+AD27+AH27+AL27+AP27+AT27+AX27</f>
        <v>0</v>
      </c>
      <c r="G27" s="29"/>
      <c r="H27" s="29">
        <v>0</v>
      </c>
      <c r="I27" s="29"/>
      <c r="J27" s="29">
        <v>0</v>
      </c>
      <c r="K27" s="26">
        <f t="shared" si="111"/>
        <v>0</v>
      </c>
      <c r="L27" s="26">
        <f t="shared" si="111"/>
        <v>0</v>
      </c>
      <c r="M27" s="29"/>
      <c r="N27" s="29">
        <v>0</v>
      </c>
      <c r="O27" s="26">
        <f t="shared" si="112"/>
        <v>0</v>
      </c>
      <c r="P27" s="26">
        <f t="shared" si="112"/>
        <v>0</v>
      </c>
      <c r="Q27" s="29"/>
      <c r="R27" s="29">
        <v>0</v>
      </c>
      <c r="S27" s="26">
        <f t="shared" si="113"/>
        <v>0</v>
      </c>
      <c r="T27" s="26">
        <f t="shared" si="113"/>
        <v>0</v>
      </c>
      <c r="U27" s="29"/>
      <c r="V27" s="29">
        <v>0</v>
      </c>
      <c r="W27" s="26">
        <f t="shared" si="114"/>
        <v>0</v>
      </c>
      <c r="X27" s="26">
        <f t="shared" si="114"/>
        <v>0</v>
      </c>
      <c r="Y27" s="29"/>
      <c r="Z27" s="29">
        <v>0</v>
      </c>
      <c r="AA27" s="26">
        <f t="shared" si="115"/>
        <v>0</v>
      </c>
      <c r="AB27" s="26">
        <f t="shared" si="115"/>
        <v>0</v>
      </c>
      <c r="AC27" s="29"/>
      <c r="AD27" s="29">
        <v>0</v>
      </c>
      <c r="AE27" s="26">
        <f t="shared" si="116"/>
        <v>0</v>
      </c>
      <c r="AF27" s="26">
        <f t="shared" si="116"/>
        <v>0</v>
      </c>
      <c r="AG27" s="26"/>
      <c r="AH27" s="29">
        <v>0</v>
      </c>
      <c r="AI27" s="26">
        <f t="shared" ref="AI27:AJ35" si="147">AE27+AG27</f>
        <v>0</v>
      </c>
      <c r="AJ27" s="26">
        <f t="shared" si="147"/>
        <v>0</v>
      </c>
      <c r="AK27" s="29"/>
      <c r="AL27" s="23"/>
      <c r="AM27" s="26">
        <f t="shared" ref="AM27:AN35" si="148">AI27+AK27</f>
        <v>0</v>
      </c>
      <c r="AN27" s="26">
        <f t="shared" si="148"/>
        <v>0</v>
      </c>
      <c r="AO27" s="29"/>
      <c r="AP27" s="29"/>
      <c r="AQ27" s="26">
        <f t="shared" ref="AQ27:AR35" si="149">AM27+AO27</f>
        <v>0</v>
      </c>
      <c r="AR27" s="26">
        <f t="shared" si="149"/>
        <v>0</v>
      </c>
      <c r="AS27" s="29">
        <v>0</v>
      </c>
      <c r="AT27" s="29">
        <v>0</v>
      </c>
      <c r="AU27" s="26">
        <f t="shared" ref="AU27:AV35" si="150">AQ27+AS27</f>
        <v>0</v>
      </c>
      <c r="AV27" s="26">
        <f t="shared" si="150"/>
        <v>0</v>
      </c>
      <c r="AW27" s="29">
        <v>0</v>
      </c>
      <c r="AX27" s="29">
        <v>0</v>
      </c>
      <c r="AY27" s="29">
        <v>2203</v>
      </c>
      <c r="AZ27" s="29">
        <v>2203</v>
      </c>
      <c r="BA27" s="55">
        <f t="shared" si="137"/>
        <v>1</v>
      </c>
      <c r="BB27" s="55">
        <f t="shared" si="137"/>
        <v>1</v>
      </c>
      <c r="BC27" s="29">
        <v>179</v>
      </c>
      <c r="BD27" s="29">
        <v>179</v>
      </c>
      <c r="BE27" s="29">
        <v>184</v>
      </c>
      <c r="BF27" s="29">
        <v>184</v>
      </c>
      <c r="BG27" s="26">
        <f t="shared" ref="BG27:BH35" si="151">BC27+BE27</f>
        <v>363</v>
      </c>
      <c r="BH27" s="26">
        <f t="shared" si="151"/>
        <v>363</v>
      </c>
      <c r="BI27" s="55">
        <f t="shared" si="22"/>
        <v>1</v>
      </c>
      <c r="BJ27" s="55">
        <f t="shared" si="22"/>
        <v>1</v>
      </c>
      <c r="BK27" s="29">
        <v>179</v>
      </c>
      <c r="BL27" s="29">
        <v>184</v>
      </c>
      <c r="BM27" s="26">
        <f t="shared" ref="BM27:BN35" si="152">BG27+BK27</f>
        <v>542</v>
      </c>
      <c r="BN27" s="26">
        <f t="shared" si="152"/>
        <v>547</v>
      </c>
      <c r="BO27" s="55">
        <f t="shared" si="24"/>
        <v>1</v>
      </c>
      <c r="BP27" s="55">
        <f t="shared" si="24"/>
        <v>1</v>
      </c>
      <c r="BQ27" s="29"/>
      <c r="BR27" s="29"/>
      <c r="BS27" s="26">
        <f t="shared" ref="BS27:BT35" si="153">BM27+BQ27</f>
        <v>542</v>
      </c>
      <c r="BT27" s="26">
        <f t="shared" si="153"/>
        <v>547</v>
      </c>
      <c r="BU27" s="55">
        <f t="shared" si="25"/>
        <v>1</v>
      </c>
      <c r="BV27" s="55">
        <f t="shared" si="25"/>
        <v>1</v>
      </c>
      <c r="BW27" s="29"/>
      <c r="BX27" s="29"/>
      <c r="BY27" s="26">
        <f t="shared" ref="BY27:BZ35" si="154">BS27+BW27</f>
        <v>542</v>
      </c>
      <c r="BZ27" s="26">
        <f t="shared" si="154"/>
        <v>547</v>
      </c>
      <c r="CA27" s="55">
        <f t="shared" si="27"/>
        <v>1</v>
      </c>
      <c r="CB27" s="55">
        <f t="shared" si="27"/>
        <v>1</v>
      </c>
      <c r="CC27" s="29"/>
      <c r="CD27" s="29"/>
      <c r="CE27" s="26">
        <f t="shared" ref="CE27:CF35" si="155">BY27+CC27</f>
        <v>542</v>
      </c>
      <c r="CF27" s="26">
        <f t="shared" si="155"/>
        <v>547</v>
      </c>
      <c r="CG27" s="55">
        <f t="shared" si="29"/>
        <v>1</v>
      </c>
      <c r="CH27" s="55">
        <f t="shared" si="29"/>
        <v>1</v>
      </c>
      <c r="CI27" s="29"/>
      <c r="CJ27" s="29"/>
      <c r="CK27" s="26">
        <f t="shared" ref="CK27:CL35" si="156">CE27+CI27</f>
        <v>542</v>
      </c>
      <c r="CL27" s="26">
        <f t="shared" si="156"/>
        <v>547</v>
      </c>
      <c r="CM27" s="55">
        <f t="shared" si="31"/>
        <v>1</v>
      </c>
      <c r="CN27" s="55">
        <f t="shared" si="31"/>
        <v>1</v>
      </c>
      <c r="CO27" s="29"/>
      <c r="CP27" s="29"/>
      <c r="CQ27" s="26">
        <f t="shared" ref="CQ27:CR35" si="157">CK27+CO27</f>
        <v>542</v>
      </c>
      <c r="CR27" s="26">
        <f t="shared" si="157"/>
        <v>547</v>
      </c>
      <c r="CS27" s="55">
        <f t="shared" si="33"/>
        <v>1</v>
      </c>
      <c r="CT27" s="55">
        <f t="shared" si="33"/>
        <v>1</v>
      </c>
      <c r="CU27" s="29"/>
      <c r="CV27" s="29"/>
      <c r="CW27" s="26">
        <f t="shared" ref="CW27:CX35" si="158">CQ27+CU27</f>
        <v>542</v>
      </c>
      <c r="CX27" s="26">
        <f t="shared" si="158"/>
        <v>547</v>
      </c>
      <c r="CY27" s="55">
        <f t="shared" si="35"/>
        <v>1</v>
      </c>
      <c r="CZ27" s="55">
        <f t="shared" si="35"/>
        <v>1</v>
      </c>
      <c r="DA27" s="29"/>
      <c r="DB27" s="29"/>
      <c r="DC27" s="26">
        <f t="shared" ref="DC27:DD35" si="159">CW27+DA27</f>
        <v>542</v>
      </c>
      <c r="DD27" s="26">
        <f t="shared" si="159"/>
        <v>547</v>
      </c>
      <c r="DE27" s="55">
        <f t="shared" si="37"/>
        <v>1</v>
      </c>
      <c r="DF27" s="55">
        <f t="shared" si="37"/>
        <v>1</v>
      </c>
      <c r="DG27" s="29"/>
      <c r="DH27" s="29"/>
      <c r="DI27" s="26">
        <f t="shared" ref="DI27:DJ35" si="160">DC27+DG27</f>
        <v>542</v>
      </c>
      <c r="DJ27" s="26">
        <f t="shared" si="160"/>
        <v>547</v>
      </c>
      <c r="DK27" s="55">
        <f t="shared" si="39"/>
        <v>1</v>
      </c>
      <c r="DL27" s="55">
        <f t="shared" si="39"/>
        <v>1</v>
      </c>
      <c r="DM27" s="29"/>
      <c r="DN27" s="29"/>
      <c r="DO27" s="29"/>
      <c r="DP27" s="29"/>
      <c r="DQ27" s="29">
        <f>AY27</f>
        <v>2203</v>
      </c>
      <c r="DR27" s="29">
        <f>AZ27</f>
        <v>2203</v>
      </c>
      <c r="DS27" s="55">
        <f>IF($AY$27=0,1,DQ27/$AY$27-1)</f>
        <v>0</v>
      </c>
      <c r="DT27" s="55">
        <f>IF($AZ$27=0,1,DR27/$AZ$27-1)</f>
        <v>0</v>
      </c>
      <c r="DU27" s="55">
        <f>IF($E$27=0,1,DQ27/$E$27-1)</f>
        <v>1</v>
      </c>
      <c r="DV27" s="55">
        <f>IF($E$27=0,1,DR27/$E$27-1)</f>
        <v>1</v>
      </c>
      <c r="DW27" s="25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  <c r="IW27" s="63"/>
      <c r="IX27" s="63"/>
      <c r="IY27" s="63"/>
      <c r="IZ27" s="63"/>
      <c r="JA27" s="63"/>
      <c r="JB27" s="63"/>
      <c r="JC27" s="63"/>
      <c r="JD27" s="63"/>
      <c r="JE27" s="63"/>
      <c r="JF27" s="63"/>
      <c r="JG27" s="63"/>
      <c r="JH27" s="63"/>
    </row>
    <row r="28" spans="1:268" s="64" customFormat="1" ht="18" customHeight="1">
      <c r="A28" s="401" t="s">
        <v>45</v>
      </c>
      <c r="B28" s="402"/>
      <c r="C28" s="29">
        <f>'[1]прогноз '!B35</f>
        <v>325162.8</v>
      </c>
      <c r="D28" s="29">
        <f>'[1]прогноз '!C35</f>
        <v>332462.25</v>
      </c>
      <c r="E28" s="26">
        <f t="shared" si="110"/>
        <v>320133.39999999997</v>
      </c>
      <c r="F28" s="29">
        <f t="shared" si="110"/>
        <v>320133.2</v>
      </c>
      <c r="G28" s="29">
        <v>17983.5</v>
      </c>
      <c r="H28" s="29">
        <v>17983.599999999999</v>
      </c>
      <c r="I28" s="29">
        <f>42139.1-G28</f>
        <v>24155.599999999999</v>
      </c>
      <c r="J28" s="29">
        <v>24155.5</v>
      </c>
      <c r="K28" s="26">
        <f t="shared" si="111"/>
        <v>42139.1</v>
      </c>
      <c r="L28" s="26">
        <f t="shared" si="111"/>
        <v>42139.1</v>
      </c>
      <c r="M28" s="29">
        <f>68553.9-G28-I28</f>
        <v>26414.799999999996</v>
      </c>
      <c r="N28" s="29">
        <v>26414.799999999999</v>
      </c>
      <c r="O28" s="26">
        <f t="shared" si="112"/>
        <v>68553.899999999994</v>
      </c>
      <c r="P28" s="26">
        <f t="shared" si="112"/>
        <v>68553.899999999994</v>
      </c>
      <c r="Q28" s="29">
        <f>96796.4-G28-I28-M28-2</f>
        <v>28240.5</v>
      </c>
      <c r="R28" s="29">
        <v>28242.5</v>
      </c>
      <c r="S28" s="26">
        <f t="shared" si="113"/>
        <v>96794.4</v>
      </c>
      <c r="T28" s="26">
        <f t="shared" si="113"/>
        <v>96796.4</v>
      </c>
      <c r="U28" s="29">
        <f>125484.3-G28-I28-M28-Q28</f>
        <v>28689.900000000016</v>
      </c>
      <c r="V28" s="29">
        <v>28687.9</v>
      </c>
      <c r="W28" s="26">
        <f t="shared" si="114"/>
        <v>125484.30000000002</v>
      </c>
      <c r="X28" s="26">
        <f t="shared" si="114"/>
        <v>125484.29999999999</v>
      </c>
      <c r="Y28" s="29">
        <f>170131.8-G28-I28-M28-Q28-U28</f>
        <v>44647.499999999978</v>
      </c>
      <c r="Z28" s="29">
        <v>44647.5</v>
      </c>
      <c r="AA28" s="26">
        <f t="shared" si="115"/>
        <v>170131.8</v>
      </c>
      <c r="AB28" s="26">
        <f t="shared" si="115"/>
        <v>170131.8</v>
      </c>
      <c r="AC28" s="29">
        <v>24951.599999999999</v>
      </c>
      <c r="AD28" s="29">
        <v>24951.599999999999</v>
      </c>
      <c r="AE28" s="26">
        <f t="shared" si="116"/>
        <v>195083.4</v>
      </c>
      <c r="AF28" s="26">
        <f t="shared" si="116"/>
        <v>195083.4</v>
      </c>
      <c r="AG28" s="26">
        <f>208447.4-G28-I28-M28-Q28-U28-Y28-AC28</f>
        <v>13364</v>
      </c>
      <c r="AH28" s="29">
        <f>208447.4-H28-J28-N28-R28-V28-Z28-AD28</f>
        <v>13364.000000000007</v>
      </c>
      <c r="AI28" s="26">
        <f t="shared" si="147"/>
        <v>208447.4</v>
      </c>
      <c r="AJ28" s="26">
        <f t="shared" si="147"/>
        <v>208447.4</v>
      </c>
      <c r="AK28" s="29">
        <f>228225.8-G28-I28-M28-Q28-U28-Y28-AC28-AG28</f>
        <v>19778.399999999994</v>
      </c>
      <c r="AL28" s="23">
        <f>228225.8-H28-J28-N28-R28-V28-Z28-AD28-AH28</f>
        <v>19778.399999999994</v>
      </c>
      <c r="AM28" s="26">
        <f t="shared" si="148"/>
        <v>228225.8</v>
      </c>
      <c r="AN28" s="26">
        <f t="shared" si="148"/>
        <v>228225.8</v>
      </c>
      <c r="AO28" s="29">
        <f>255143.1-G28-I28-M28-Q28-U28-Y28-AC28-AG28-AK28</f>
        <v>26917.300000000025</v>
      </c>
      <c r="AP28" s="29">
        <f>255143.1-H28-J28-N28-R28-V28-Z28-AD28-AH28-AL28</f>
        <v>26917.300000000017</v>
      </c>
      <c r="AQ28" s="26">
        <f t="shared" si="149"/>
        <v>255143.1</v>
      </c>
      <c r="AR28" s="26">
        <f t="shared" si="149"/>
        <v>255143.1</v>
      </c>
      <c r="AS28" s="29">
        <v>23445</v>
      </c>
      <c r="AT28" s="29">
        <v>23444.799999999999</v>
      </c>
      <c r="AU28" s="26">
        <f t="shared" si="150"/>
        <v>278588.09999999998</v>
      </c>
      <c r="AV28" s="26">
        <f t="shared" si="150"/>
        <v>278587.90000000002</v>
      </c>
      <c r="AW28" s="29">
        <v>41545.300000000003</v>
      </c>
      <c r="AX28" s="29">
        <v>41545.300000000003</v>
      </c>
      <c r="AY28" s="29">
        <v>299503.2</v>
      </c>
      <c r="AZ28" s="29">
        <v>299503.2</v>
      </c>
      <c r="BA28" s="55">
        <f t="shared" si="137"/>
        <v>-6.4442510528423314E-2</v>
      </c>
      <c r="BB28" s="55">
        <f t="shared" si="137"/>
        <v>-6.4441926048282361E-2</v>
      </c>
      <c r="BC28" s="29">
        <v>12232.5</v>
      </c>
      <c r="BD28" s="29">
        <v>12232.5</v>
      </c>
      <c r="BE28" s="29">
        <v>27281.9</v>
      </c>
      <c r="BF28" s="29">
        <v>27281.9</v>
      </c>
      <c r="BG28" s="26">
        <f t="shared" si="151"/>
        <v>39514.400000000001</v>
      </c>
      <c r="BH28" s="26">
        <f t="shared" si="151"/>
        <v>39514.400000000001</v>
      </c>
      <c r="BI28" s="55">
        <f t="shared" si="22"/>
        <v>-6.2286569955219639E-2</v>
      </c>
      <c r="BJ28" s="55">
        <f t="shared" si="22"/>
        <v>-6.2286569955219639E-2</v>
      </c>
      <c r="BK28" s="29">
        <v>28521</v>
      </c>
      <c r="BL28" s="29">
        <v>26642.2</v>
      </c>
      <c r="BM28" s="26">
        <f t="shared" si="152"/>
        <v>68035.399999999994</v>
      </c>
      <c r="BN28" s="26">
        <f t="shared" si="152"/>
        <v>66156.600000000006</v>
      </c>
      <c r="BO28" s="55">
        <f t="shared" si="24"/>
        <v>-7.5633917253431493E-3</v>
      </c>
      <c r="BP28" s="55">
        <f t="shared" si="24"/>
        <v>-3.4969564094821548E-2</v>
      </c>
      <c r="BQ28" s="29"/>
      <c r="BR28" s="29"/>
      <c r="BS28" s="26">
        <f t="shared" si="153"/>
        <v>68035.399999999994</v>
      </c>
      <c r="BT28" s="26">
        <f t="shared" si="153"/>
        <v>66156.600000000006</v>
      </c>
      <c r="BU28" s="55">
        <f t="shared" si="25"/>
        <v>-0.29711429586835603</v>
      </c>
      <c r="BV28" s="55">
        <f t="shared" si="25"/>
        <v>-0.31653863160200157</v>
      </c>
      <c r="BW28" s="29"/>
      <c r="BX28" s="29"/>
      <c r="BY28" s="26">
        <f t="shared" si="154"/>
        <v>68035.399999999994</v>
      </c>
      <c r="BZ28" s="26">
        <f t="shared" si="154"/>
        <v>66156.600000000006</v>
      </c>
      <c r="CA28" s="55">
        <f t="shared" si="27"/>
        <v>-0.45781743214091342</v>
      </c>
      <c r="CB28" s="55">
        <f t="shared" si="27"/>
        <v>-0.47278982310934503</v>
      </c>
      <c r="CC28" s="29"/>
      <c r="CD28" s="29"/>
      <c r="CE28" s="26">
        <f t="shared" si="155"/>
        <v>68035.399999999994</v>
      </c>
      <c r="CF28" s="26">
        <f t="shared" si="155"/>
        <v>66156.600000000006</v>
      </c>
      <c r="CG28" s="55">
        <f t="shared" si="29"/>
        <v>-0.60010180342534436</v>
      </c>
      <c r="CH28" s="55">
        <f t="shared" si="29"/>
        <v>-0.61114500640091962</v>
      </c>
      <c r="CI28" s="29"/>
      <c r="CJ28" s="29"/>
      <c r="CK28" s="26">
        <f t="shared" si="156"/>
        <v>68035.399999999994</v>
      </c>
      <c r="CL28" s="26">
        <f t="shared" si="156"/>
        <v>66156.600000000006</v>
      </c>
      <c r="CM28" s="55">
        <f t="shared" si="31"/>
        <v>-0.65124967065367945</v>
      </c>
      <c r="CN28" s="55">
        <f t="shared" si="31"/>
        <v>-0.66088042344966302</v>
      </c>
      <c r="CO28" s="29"/>
      <c r="CP28" s="29"/>
      <c r="CQ28" s="26">
        <f t="shared" si="157"/>
        <v>68035.399999999994</v>
      </c>
      <c r="CR28" s="26">
        <f t="shared" si="157"/>
        <v>66156.600000000006</v>
      </c>
      <c r="CS28" s="55">
        <f t="shared" si="33"/>
        <v>-0.67360878571764382</v>
      </c>
      <c r="CT28" s="55">
        <f t="shared" si="33"/>
        <v>-0.68262209075287095</v>
      </c>
      <c r="CU28" s="29"/>
      <c r="CV28" s="29"/>
      <c r="CW28" s="26">
        <f t="shared" si="158"/>
        <v>68035.399999999994</v>
      </c>
      <c r="CX28" s="26">
        <f t="shared" si="158"/>
        <v>66156.600000000006</v>
      </c>
      <c r="CY28" s="55">
        <f t="shared" si="35"/>
        <v>-0.70189435199701355</v>
      </c>
      <c r="CZ28" s="55">
        <f t="shared" si="35"/>
        <v>-0.71012655010958436</v>
      </c>
      <c r="DA28" s="29"/>
      <c r="DB28" s="29"/>
      <c r="DC28" s="26">
        <f t="shared" si="159"/>
        <v>68035.399999999994</v>
      </c>
      <c r="DD28" s="26">
        <f t="shared" si="159"/>
        <v>66156.600000000006</v>
      </c>
      <c r="DE28" s="55">
        <f t="shared" si="37"/>
        <v>-0.73334415079224169</v>
      </c>
      <c r="DF28" s="55">
        <f t="shared" si="37"/>
        <v>-0.74070786158826163</v>
      </c>
      <c r="DG28" s="29"/>
      <c r="DH28" s="29"/>
      <c r="DI28" s="26">
        <f t="shared" si="160"/>
        <v>68035.399999999994</v>
      </c>
      <c r="DJ28" s="26">
        <f t="shared" si="160"/>
        <v>66156.600000000006</v>
      </c>
      <c r="DK28" s="55">
        <f t="shared" si="39"/>
        <v>-0.75578497430435831</v>
      </c>
      <c r="DL28" s="55">
        <f t="shared" si="39"/>
        <v>-0.76252881047597543</v>
      </c>
      <c r="DM28" s="29"/>
      <c r="DN28" s="29"/>
      <c r="DO28" s="29"/>
      <c r="DP28" s="29"/>
      <c r="DQ28" s="29">
        <f t="shared" ref="DQ28:DR34" si="161">AY28</f>
        <v>299503.2</v>
      </c>
      <c r="DR28" s="29">
        <f t="shared" si="161"/>
        <v>299503.2</v>
      </c>
      <c r="DS28" s="55">
        <f>IF($AY$28=0,1,DQ28/$AY$28-1)</f>
        <v>0</v>
      </c>
      <c r="DT28" s="55">
        <f>IF($AZ$28=0,1,DR28/$AZ$28-1)</f>
        <v>0</v>
      </c>
      <c r="DU28" s="55">
        <f>IF($E$28=0,1,DQ28/$E$28-1)</f>
        <v>-6.4442510528423314E-2</v>
      </c>
      <c r="DV28" s="55">
        <f>IF($E$28=0,1,DR28/$E$28-1)</f>
        <v>-6.4442510528423314E-2</v>
      </c>
      <c r="DW28" s="25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</row>
    <row r="29" spans="1:268" s="64" customFormat="1" ht="18" customHeight="1">
      <c r="A29" s="401" t="s">
        <v>91</v>
      </c>
      <c r="B29" s="402"/>
      <c r="C29" s="29">
        <f>'[1]прогноз '!B36</f>
        <v>7372</v>
      </c>
      <c r="D29" s="29">
        <f>'[1]прогноз '!C36</f>
        <v>7372</v>
      </c>
      <c r="E29" s="26">
        <f t="shared" si="110"/>
        <v>8736</v>
      </c>
      <c r="F29" s="29">
        <f t="shared" si="110"/>
        <v>8736</v>
      </c>
      <c r="G29" s="30">
        <v>619</v>
      </c>
      <c r="H29" s="30">
        <v>619</v>
      </c>
      <c r="I29" s="30">
        <v>619</v>
      </c>
      <c r="J29" s="30">
        <v>619</v>
      </c>
      <c r="K29" s="26">
        <f t="shared" si="111"/>
        <v>1238</v>
      </c>
      <c r="L29" s="26">
        <f t="shared" si="111"/>
        <v>1238</v>
      </c>
      <c r="M29" s="30">
        <v>619</v>
      </c>
      <c r="N29" s="30">
        <v>619</v>
      </c>
      <c r="O29" s="26">
        <f t="shared" si="112"/>
        <v>1857</v>
      </c>
      <c r="P29" s="26">
        <f t="shared" si="112"/>
        <v>1857</v>
      </c>
      <c r="Q29" s="30">
        <v>1055</v>
      </c>
      <c r="R29" s="30">
        <v>1055</v>
      </c>
      <c r="S29" s="26">
        <f t="shared" si="113"/>
        <v>2912</v>
      </c>
      <c r="T29" s="26">
        <f t="shared" si="113"/>
        <v>2912</v>
      </c>
      <c r="U29" s="30">
        <v>728</v>
      </c>
      <c r="V29" s="30">
        <v>728</v>
      </c>
      <c r="W29" s="26">
        <f t="shared" si="114"/>
        <v>3640</v>
      </c>
      <c r="X29" s="26">
        <f t="shared" si="114"/>
        <v>3640</v>
      </c>
      <c r="Y29" s="30">
        <v>728</v>
      </c>
      <c r="Z29" s="30">
        <v>728</v>
      </c>
      <c r="AA29" s="26">
        <f t="shared" si="115"/>
        <v>4368</v>
      </c>
      <c r="AB29" s="26">
        <f t="shared" si="115"/>
        <v>4368</v>
      </c>
      <c r="AC29" s="30">
        <v>728</v>
      </c>
      <c r="AD29" s="30">
        <v>728</v>
      </c>
      <c r="AE29" s="26">
        <f t="shared" si="116"/>
        <v>5096</v>
      </c>
      <c r="AF29" s="26">
        <f t="shared" si="116"/>
        <v>5096</v>
      </c>
      <c r="AG29" s="26">
        <v>728</v>
      </c>
      <c r="AH29" s="30">
        <v>728</v>
      </c>
      <c r="AI29" s="26">
        <f t="shared" si="147"/>
        <v>5824</v>
      </c>
      <c r="AJ29" s="26">
        <f t="shared" si="147"/>
        <v>5824</v>
      </c>
      <c r="AK29" s="30">
        <v>728</v>
      </c>
      <c r="AL29" s="23">
        <v>728</v>
      </c>
      <c r="AM29" s="26">
        <f t="shared" si="148"/>
        <v>6552</v>
      </c>
      <c r="AN29" s="26">
        <f t="shared" si="148"/>
        <v>6552</v>
      </c>
      <c r="AO29" s="30">
        <v>728</v>
      </c>
      <c r="AP29" s="30">
        <v>728</v>
      </c>
      <c r="AQ29" s="26">
        <f t="shared" si="149"/>
        <v>7280</v>
      </c>
      <c r="AR29" s="26">
        <f t="shared" si="149"/>
        <v>7280</v>
      </c>
      <c r="AS29" s="30">
        <v>728</v>
      </c>
      <c r="AT29" s="30">
        <v>728</v>
      </c>
      <c r="AU29" s="26">
        <f t="shared" si="150"/>
        <v>8008</v>
      </c>
      <c r="AV29" s="26">
        <f t="shared" si="150"/>
        <v>8008</v>
      </c>
      <c r="AW29" s="30">
        <v>728</v>
      </c>
      <c r="AX29" s="30">
        <v>728</v>
      </c>
      <c r="AY29" s="30">
        <v>8074</v>
      </c>
      <c r="AZ29" s="30">
        <v>8074</v>
      </c>
      <c r="BA29" s="55">
        <f t="shared" si="137"/>
        <v>-7.5778388278388231E-2</v>
      </c>
      <c r="BB29" s="55">
        <f t="shared" si="137"/>
        <v>-7.5778388278388231E-2</v>
      </c>
      <c r="BC29" s="30">
        <v>671</v>
      </c>
      <c r="BD29" s="30">
        <v>671</v>
      </c>
      <c r="BE29" s="30">
        <v>673</v>
      </c>
      <c r="BF29" s="30">
        <v>673</v>
      </c>
      <c r="BG29" s="26">
        <f t="shared" si="151"/>
        <v>1344</v>
      </c>
      <c r="BH29" s="26">
        <f t="shared" si="151"/>
        <v>1344</v>
      </c>
      <c r="BI29" s="55">
        <f t="shared" si="22"/>
        <v>8.5621970920840118E-2</v>
      </c>
      <c r="BJ29" s="55">
        <f t="shared" si="22"/>
        <v>8.5621970920840118E-2</v>
      </c>
      <c r="BK29" s="30">
        <v>671</v>
      </c>
      <c r="BL29" s="30">
        <v>671</v>
      </c>
      <c r="BM29" s="26">
        <f t="shared" si="152"/>
        <v>2015</v>
      </c>
      <c r="BN29" s="26">
        <f t="shared" si="152"/>
        <v>2015</v>
      </c>
      <c r="BO29" s="55">
        <f t="shared" si="24"/>
        <v>8.5083467959073733E-2</v>
      </c>
      <c r="BP29" s="55">
        <f t="shared" si="24"/>
        <v>8.5083467959073733E-2</v>
      </c>
      <c r="BQ29" s="30"/>
      <c r="BR29" s="30"/>
      <c r="BS29" s="26">
        <f t="shared" si="153"/>
        <v>2015</v>
      </c>
      <c r="BT29" s="26">
        <f t="shared" si="153"/>
        <v>2015</v>
      </c>
      <c r="BU29" s="55">
        <f t="shared" si="25"/>
        <v>-0.3080357142857143</v>
      </c>
      <c r="BV29" s="55">
        <f t="shared" si="25"/>
        <v>-0.3080357142857143</v>
      </c>
      <c r="BW29" s="30"/>
      <c r="BX29" s="30"/>
      <c r="BY29" s="26">
        <f t="shared" si="154"/>
        <v>2015</v>
      </c>
      <c r="BZ29" s="26">
        <f t="shared" si="154"/>
        <v>2015</v>
      </c>
      <c r="CA29" s="55">
        <f t="shared" si="27"/>
        <v>-0.4464285714285714</v>
      </c>
      <c r="CB29" s="55">
        <f t="shared" si="27"/>
        <v>-0.4464285714285714</v>
      </c>
      <c r="CC29" s="30"/>
      <c r="CD29" s="30"/>
      <c r="CE29" s="26">
        <f t="shared" si="155"/>
        <v>2015</v>
      </c>
      <c r="CF29" s="26">
        <f t="shared" si="155"/>
        <v>2015</v>
      </c>
      <c r="CG29" s="55">
        <f t="shared" si="29"/>
        <v>-0.53869047619047616</v>
      </c>
      <c r="CH29" s="55">
        <f t="shared" si="29"/>
        <v>-0.53869047619047616</v>
      </c>
      <c r="CI29" s="30"/>
      <c r="CJ29" s="30"/>
      <c r="CK29" s="26">
        <f t="shared" si="156"/>
        <v>2015</v>
      </c>
      <c r="CL29" s="26">
        <f t="shared" si="156"/>
        <v>2015</v>
      </c>
      <c r="CM29" s="55">
        <f t="shared" si="31"/>
        <v>-0.60459183673469385</v>
      </c>
      <c r="CN29" s="55">
        <f t="shared" si="31"/>
        <v>-0.60459183673469385</v>
      </c>
      <c r="CO29" s="30"/>
      <c r="CP29" s="30"/>
      <c r="CQ29" s="26">
        <f t="shared" si="157"/>
        <v>2015</v>
      </c>
      <c r="CR29" s="26">
        <f t="shared" si="157"/>
        <v>2015</v>
      </c>
      <c r="CS29" s="55">
        <f t="shared" si="33"/>
        <v>-0.65401785714285721</v>
      </c>
      <c r="CT29" s="55">
        <f t="shared" si="33"/>
        <v>-0.65401785714285721</v>
      </c>
      <c r="CU29" s="30"/>
      <c r="CV29" s="30"/>
      <c r="CW29" s="26">
        <f t="shared" si="158"/>
        <v>2015</v>
      </c>
      <c r="CX29" s="26">
        <f t="shared" si="158"/>
        <v>2015</v>
      </c>
      <c r="CY29" s="55">
        <f t="shared" si="35"/>
        <v>-0.69246031746031744</v>
      </c>
      <c r="CZ29" s="55">
        <f t="shared" si="35"/>
        <v>-0.69246031746031744</v>
      </c>
      <c r="DA29" s="30"/>
      <c r="DB29" s="30"/>
      <c r="DC29" s="26">
        <f t="shared" si="159"/>
        <v>2015</v>
      </c>
      <c r="DD29" s="26">
        <f t="shared" si="159"/>
        <v>2015</v>
      </c>
      <c r="DE29" s="55">
        <f t="shared" si="37"/>
        <v>-0.7232142857142857</v>
      </c>
      <c r="DF29" s="55">
        <f t="shared" si="37"/>
        <v>-0.7232142857142857</v>
      </c>
      <c r="DG29" s="30"/>
      <c r="DH29" s="30"/>
      <c r="DI29" s="26">
        <f t="shared" si="160"/>
        <v>2015</v>
      </c>
      <c r="DJ29" s="26">
        <f t="shared" si="160"/>
        <v>2015</v>
      </c>
      <c r="DK29" s="55">
        <f t="shared" si="39"/>
        <v>-0.74837662337662336</v>
      </c>
      <c r="DL29" s="55">
        <f t="shared" si="39"/>
        <v>-0.74837662337662336</v>
      </c>
      <c r="DM29" s="30"/>
      <c r="DN29" s="30"/>
      <c r="DO29" s="30"/>
      <c r="DP29" s="30"/>
      <c r="DQ29" s="29">
        <f t="shared" si="161"/>
        <v>8074</v>
      </c>
      <c r="DR29" s="29">
        <f t="shared" si="161"/>
        <v>8074</v>
      </c>
      <c r="DS29" s="55">
        <f>IF($AY$29=0,1,DQ29/$AY$29-1)</f>
        <v>0</v>
      </c>
      <c r="DT29" s="55">
        <f>IF($AZ$29=0,1,DR29/$AZ$29-1)</f>
        <v>0</v>
      </c>
      <c r="DU29" s="55">
        <f>IF($E$29=0,1,DQ29/$E$29-1)</f>
        <v>-7.5778388278388231E-2</v>
      </c>
      <c r="DV29" s="55">
        <f>IF($E$29=0,1,DR29/$E$29-1)</f>
        <v>-7.5778388278388231E-2</v>
      </c>
      <c r="DW29" s="25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</row>
    <row r="30" spans="1:268" s="64" customFormat="1" ht="18" customHeight="1">
      <c r="A30" s="401" t="s">
        <v>46</v>
      </c>
      <c r="B30" s="402"/>
      <c r="C30" s="29">
        <f>'[1]прогноз '!B37</f>
        <v>33469</v>
      </c>
      <c r="D30" s="29">
        <f>'[1]прогноз '!C37</f>
        <v>33469.231</v>
      </c>
      <c r="E30" s="26">
        <f t="shared" si="110"/>
        <v>48359.100000000006</v>
      </c>
      <c r="F30" s="29">
        <f t="shared" si="110"/>
        <v>48359.100000000006</v>
      </c>
      <c r="G30" s="30">
        <v>0</v>
      </c>
      <c r="H30" s="30">
        <v>0</v>
      </c>
      <c r="I30" s="30">
        <v>0</v>
      </c>
      <c r="J30" s="30">
        <v>0</v>
      </c>
      <c r="K30" s="26">
        <f t="shared" si="111"/>
        <v>0</v>
      </c>
      <c r="L30" s="26">
        <f t="shared" si="111"/>
        <v>0</v>
      </c>
      <c r="M30" s="30">
        <v>1420.6</v>
      </c>
      <c r="N30" s="30">
        <v>1420.6</v>
      </c>
      <c r="O30" s="26">
        <f t="shared" si="112"/>
        <v>1420.6</v>
      </c>
      <c r="P30" s="26">
        <f t="shared" si="112"/>
        <v>1420.6</v>
      </c>
      <c r="Q30" s="30">
        <f>2910.3-M30</f>
        <v>1489.7000000000003</v>
      </c>
      <c r="R30" s="30">
        <v>1489.7</v>
      </c>
      <c r="S30" s="26">
        <f t="shared" si="113"/>
        <v>2910.3</v>
      </c>
      <c r="T30" s="26">
        <f t="shared" si="113"/>
        <v>2910.3</v>
      </c>
      <c r="U30" s="30">
        <f>3909.4-M30-Q30</f>
        <v>999.09999999999991</v>
      </c>
      <c r="V30" s="30">
        <v>999.1</v>
      </c>
      <c r="W30" s="26">
        <f t="shared" si="114"/>
        <v>3909.4</v>
      </c>
      <c r="X30" s="26">
        <f t="shared" si="114"/>
        <v>3909.4</v>
      </c>
      <c r="Y30" s="30">
        <f>22020.3-M30-Q30-U30</f>
        <v>18110.900000000001</v>
      </c>
      <c r="Z30" s="30">
        <v>18110.900000000001</v>
      </c>
      <c r="AA30" s="26">
        <f t="shared" si="115"/>
        <v>22020.300000000003</v>
      </c>
      <c r="AB30" s="26">
        <f t="shared" si="115"/>
        <v>22020.300000000003</v>
      </c>
      <c r="AC30" s="30">
        <v>425</v>
      </c>
      <c r="AD30" s="30">
        <v>425.2</v>
      </c>
      <c r="AE30" s="26">
        <f t="shared" si="116"/>
        <v>22445.300000000003</v>
      </c>
      <c r="AF30" s="26">
        <f t="shared" si="116"/>
        <v>22445.500000000004</v>
      </c>
      <c r="AG30" s="26">
        <f>23462-M30-Q30-U30-Y30-AC30</f>
        <v>1016.7000000000007</v>
      </c>
      <c r="AH30" s="30">
        <f>23462-N30-R30-V30-Z30-AD30</f>
        <v>1016.5000000000007</v>
      </c>
      <c r="AI30" s="26">
        <f t="shared" si="147"/>
        <v>23462.000000000004</v>
      </c>
      <c r="AJ30" s="26">
        <f t="shared" si="147"/>
        <v>23462.000000000004</v>
      </c>
      <c r="AK30" s="30">
        <f>28033.3-G30-I30-M30-Q30-U30-Y30-AC30-AG30</f>
        <v>4571.2999999999993</v>
      </c>
      <c r="AL30" s="23">
        <f>28033.3-H30-J30-N30-R30-V30-Z30-AD30-AH30</f>
        <v>4571.2999999999993</v>
      </c>
      <c r="AM30" s="26">
        <f t="shared" si="148"/>
        <v>28033.300000000003</v>
      </c>
      <c r="AN30" s="26">
        <f t="shared" si="148"/>
        <v>28033.300000000003</v>
      </c>
      <c r="AO30" s="30">
        <f>31305.4-G30-I30-M30-Q30-U30-Y30-AC30-AG30-AK30</f>
        <v>3272.1000000000022</v>
      </c>
      <c r="AP30" s="30">
        <f>31305.4-H30-J30-N30-R30-V30-Z30-AD30-AH30-AL30</f>
        <v>3272.1000000000013</v>
      </c>
      <c r="AQ30" s="26">
        <f t="shared" si="149"/>
        <v>31305.400000000005</v>
      </c>
      <c r="AR30" s="26">
        <f t="shared" si="149"/>
        <v>31305.400000000005</v>
      </c>
      <c r="AS30" s="30">
        <v>3303</v>
      </c>
      <c r="AT30" s="30">
        <v>3303</v>
      </c>
      <c r="AU30" s="26">
        <f t="shared" si="150"/>
        <v>34608.400000000009</v>
      </c>
      <c r="AV30" s="26">
        <f t="shared" si="150"/>
        <v>34608.400000000009</v>
      </c>
      <c r="AW30" s="30">
        <v>13750.7</v>
      </c>
      <c r="AX30" s="30">
        <v>13750.7</v>
      </c>
      <c r="AY30" s="30">
        <v>21354</v>
      </c>
      <c r="AZ30" s="30">
        <v>21354</v>
      </c>
      <c r="BA30" s="55">
        <f t="shared" si="137"/>
        <v>-0.55842850673399635</v>
      </c>
      <c r="BB30" s="55">
        <f t="shared" si="137"/>
        <v>-0.55842850673399635</v>
      </c>
      <c r="BC30" s="30">
        <v>0</v>
      </c>
      <c r="BD30" s="30">
        <v>0</v>
      </c>
      <c r="BE30" s="30">
        <v>0</v>
      </c>
      <c r="BF30" s="30">
        <v>0</v>
      </c>
      <c r="BG30" s="26">
        <f t="shared" si="151"/>
        <v>0</v>
      </c>
      <c r="BH30" s="26">
        <f t="shared" si="151"/>
        <v>0</v>
      </c>
      <c r="BI30" s="55">
        <f t="shared" si="22"/>
        <v>1</v>
      </c>
      <c r="BJ30" s="55">
        <f t="shared" si="22"/>
        <v>1</v>
      </c>
      <c r="BK30" s="30">
        <v>0</v>
      </c>
      <c r="BL30" s="30">
        <v>1267.5999999999999</v>
      </c>
      <c r="BM30" s="26">
        <f t="shared" si="152"/>
        <v>0</v>
      </c>
      <c r="BN30" s="26">
        <f t="shared" si="152"/>
        <v>1267.5999999999999</v>
      </c>
      <c r="BO30" s="55">
        <f t="shared" si="24"/>
        <v>-1</v>
      </c>
      <c r="BP30" s="55">
        <f t="shared" si="24"/>
        <v>-0.10770097142052659</v>
      </c>
      <c r="BQ30" s="30"/>
      <c r="BR30" s="30"/>
      <c r="BS30" s="26">
        <f t="shared" si="153"/>
        <v>0</v>
      </c>
      <c r="BT30" s="26">
        <f t="shared" si="153"/>
        <v>1267.5999999999999</v>
      </c>
      <c r="BU30" s="55">
        <f t="shared" si="25"/>
        <v>-1</v>
      </c>
      <c r="BV30" s="55">
        <f t="shared" si="25"/>
        <v>-0.5644435281586091</v>
      </c>
      <c r="BW30" s="30"/>
      <c r="BX30" s="30"/>
      <c r="BY30" s="26">
        <f t="shared" si="154"/>
        <v>0</v>
      </c>
      <c r="BZ30" s="26">
        <f t="shared" si="154"/>
        <v>1267.5999999999999</v>
      </c>
      <c r="CA30" s="55">
        <f t="shared" si="27"/>
        <v>-1</v>
      </c>
      <c r="CB30" s="55">
        <f t="shared" si="27"/>
        <v>-0.67575587046605623</v>
      </c>
      <c r="CC30" s="30"/>
      <c r="CD30" s="30"/>
      <c r="CE30" s="26">
        <f t="shared" si="155"/>
        <v>0</v>
      </c>
      <c r="CF30" s="26">
        <f t="shared" si="155"/>
        <v>1267.5999999999999</v>
      </c>
      <c r="CG30" s="55">
        <f t="shared" si="29"/>
        <v>-1</v>
      </c>
      <c r="CH30" s="55">
        <f t="shared" si="29"/>
        <v>-0.94243493503721565</v>
      </c>
      <c r="CI30" s="30"/>
      <c r="CJ30" s="30"/>
      <c r="CK30" s="26">
        <f t="shared" si="156"/>
        <v>0</v>
      </c>
      <c r="CL30" s="26">
        <f t="shared" si="156"/>
        <v>1267.5999999999999</v>
      </c>
      <c r="CM30" s="55">
        <f t="shared" si="31"/>
        <v>-1</v>
      </c>
      <c r="CN30" s="55">
        <f t="shared" si="31"/>
        <v>-0.94352542825956209</v>
      </c>
      <c r="CO30" s="30"/>
      <c r="CP30" s="30"/>
      <c r="CQ30" s="26">
        <f t="shared" si="157"/>
        <v>0</v>
      </c>
      <c r="CR30" s="26">
        <f t="shared" si="157"/>
        <v>1267.5999999999999</v>
      </c>
      <c r="CS30" s="55">
        <f t="shared" si="33"/>
        <v>-1</v>
      </c>
      <c r="CT30" s="55">
        <f t="shared" si="33"/>
        <v>-0.94597221038274659</v>
      </c>
      <c r="CU30" s="30"/>
      <c r="CV30" s="30"/>
      <c r="CW30" s="26">
        <f t="shared" si="158"/>
        <v>0</v>
      </c>
      <c r="CX30" s="26">
        <f t="shared" si="158"/>
        <v>1267.5999999999999</v>
      </c>
      <c r="CY30" s="55">
        <f t="shared" si="35"/>
        <v>-1</v>
      </c>
      <c r="CZ30" s="55">
        <f t="shared" si="35"/>
        <v>-0.95478234813596685</v>
      </c>
      <c r="DA30" s="30"/>
      <c r="DB30" s="30"/>
      <c r="DC30" s="26">
        <f t="shared" si="159"/>
        <v>0</v>
      </c>
      <c r="DD30" s="26">
        <f t="shared" si="159"/>
        <v>1267.5999999999999</v>
      </c>
      <c r="DE30" s="55">
        <f t="shared" si="37"/>
        <v>-1</v>
      </c>
      <c r="DF30" s="55">
        <f t="shared" si="37"/>
        <v>-0.95950858318373189</v>
      </c>
      <c r="DG30" s="30"/>
      <c r="DH30" s="30"/>
      <c r="DI30" s="26">
        <f t="shared" si="160"/>
        <v>0</v>
      </c>
      <c r="DJ30" s="26">
        <f t="shared" si="160"/>
        <v>1267.5999999999999</v>
      </c>
      <c r="DK30" s="55">
        <f t="shared" si="39"/>
        <v>-1</v>
      </c>
      <c r="DL30" s="55">
        <f t="shared" si="39"/>
        <v>-0.96337305394066186</v>
      </c>
      <c r="DM30" s="30"/>
      <c r="DN30" s="30"/>
      <c r="DO30" s="30"/>
      <c r="DP30" s="30"/>
      <c r="DQ30" s="29">
        <f t="shared" si="161"/>
        <v>21354</v>
      </c>
      <c r="DR30" s="29">
        <f t="shared" si="161"/>
        <v>21354</v>
      </c>
      <c r="DS30" s="55">
        <f>IF($AY$30=0,1,DQ30/$AY$30-1)</f>
        <v>0</v>
      </c>
      <c r="DT30" s="55">
        <f>IF($AZ$30=0,1,DR30/$AZ$30-1)</f>
        <v>0</v>
      </c>
      <c r="DU30" s="55">
        <f>IF($E$30=0,1,DQ30/$E$30-1)</f>
        <v>-0.55842850673399635</v>
      </c>
      <c r="DV30" s="55">
        <f>IF($E$30=0,1,DR30/$E$30-1)</f>
        <v>-0.55842850673399635</v>
      </c>
      <c r="DW30" s="25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</row>
    <row r="31" spans="1:268" s="64" customFormat="1" ht="18" customHeight="1">
      <c r="A31" s="401" t="s">
        <v>92</v>
      </c>
      <c r="B31" s="402"/>
      <c r="C31" s="29">
        <f>'[1]прогноз '!B38</f>
        <v>16834</v>
      </c>
      <c r="D31" s="29">
        <f>'[1]прогноз '!C38</f>
        <v>16833.671999999999</v>
      </c>
      <c r="E31" s="26">
        <f t="shared" si="110"/>
        <v>3934</v>
      </c>
      <c r="F31" s="29">
        <f t="shared" si="110"/>
        <v>3934</v>
      </c>
      <c r="G31" s="30">
        <v>0</v>
      </c>
      <c r="H31" s="30">
        <v>0</v>
      </c>
      <c r="I31" s="30">
        <v>0</v>
      </c>
      <c r="J31" s="30">
        <v>0</v>
      </c>
      <c r="K31" s="26">
        <f t="shared" si="111"/>
        <v>0</v>
      </c>
      <c r="L31" s="26">
        <f t="shared" si="111"/>
        <v>0</v>
      </c>
      <c r="M31" s="30">
        <v>450</v>
      </c>
      <c r="N31" s="30">
        <v>450</v>
      </c>
      <c r="O31" s="26">
        <f t="shared" si="112"/>
        <v>450</v>
      </c>
      <c r="P31" s="26">
        <f t="shared" si="112"/>
        <v>450</v>
      </c>
      <c r="Q31" s="30">
        <v>149</v>
      </c>
      <c r="R31" s="30">
        <v>149</v>
      </c>
      <c r="S31" s="26">
        <f t="shared" si="113"/>
        <v>599</v>
      </c>
      <c r="T31" s="26">
        <f t="shared" si="113"/>
        <v>599</v>
      </c>
      <c r="U31" s="30">
        <v>0</v>
      </c>
      <c r="V31" s="30">
        <v>0</v>
      </c>
      <c r="W31" s="26">
        <f t="shared" si="114"/>
        <v>599</v>
      </c>
      <c r="X31" s="26">
        <f t="shared" si="114"/>
        <v>599</v>
      </c>
      <c r="Y31" s="30">
        <v>300</v>
      </c>
      <c r="Z31" s="30">
        <v>300</v>
      </c>
      <c r="AA31" s="26">
        <f t="shared" si="115"/>
        <v>899</v>
      </c>
      <c r="AB31" s="26">
        <f t="shared" si="115"/>
        <v>899</v>
      </c>
      <c r="AC31" s="30">
        <v>0</v>
      </c>
      <c r="AD31" s="30">
        <v>0</v>
      </c>
      <c r="AE31" s="26">
        <f t="shared" si="116"/>
        <v>899</v>
      </c>
      <c r="AF31" s="26">
        <f t="shared" si="116"/>
        <v>899</v>
      </c>
      <c r="AG31" s="26">
        <v>377</v>
      </c>
      <c r="AH31" s="30">
        <v>377</v>
      </c>
      <c r="AI31" s="26">
        <f t="shared" si="147"/>
        <v>1276</v>
      </c>
      <c r="AJ31" s="26">
        <f t="shared" si="147"/>
        <v>1276</v>
      </c>
      <c r="AK31" s="30">
        <v>526</v>
      </c>
      <c r="AL31" s="23">
        <v>526</v>
      </c>
      <c r="AM31" s="26">
        <f t="shared" si="148"/>
        <v>1802</v>
      </c>
      <c r="AN31" s="26">
        <f t="shared" si="148"/>
        <v>1802</v>
      </c>
      <c r="AO31" s="30">
        <v>377</v>
      </c>
      <c r="AP31" s="30">
        <v>377</v>
      </c>
      <c r="AQ31" s="26">
        <f t="shared" si="149"/>
        <v>2179</v>
      </c>
      <c r="AR31" s="26">
        <f t="shared" si="149"/>
        <v>2179</v>
      </c>
      <c r="AS31" s="30">
        <v>877</v>
      </c>
      <c r="AT31" s="30">
        <v>877</v>
      </c>
      <c r="AU31" s="26">
        <f t="shared" si="150"/>
        <v>3056</v>
      </c>
      <c r="AV31" s="26">
        <f t="shared" si="150"/>
        <v>3056</v>
      </c>
      <c r="AW31" s="30">
        <v>878</v>
      </c>
      <c r="AX31" s="30">
        <v>878</v>
      </c>
      <c r="AY31" s="30">
        <v>4608</v>
      </c>
      <c r="AZ31" s="30">
        <v>4608</v>
      </c>
      <c r="BA31" s="55">
        <f t="shared" si="137"/>
        <v>0.17132689374682264</v>
      </c>
      <c r="BB31" s="55">
        <f t="shared" si="137"/>
        <v>0.17132689374682264</v>
      </c>
      <c r="BC31" s="30">
        <v>0</v>
      </c>
      <c r="BD31" s="30">
        <v>0</v>
      </c>
      <c r="BE31" s="30">
        <v>0</v>
      </c>
      <c r="BF31" s="30">
        <v>0</v>
      </c>
      <c r="BG31" s="26">
        <f t="shared" si="151"/>
        <v>0</v>
      </c>
      <c r="BH31" s="26">
        <f t="shared" si="151"/>
        <v>0</v>
      </c>
      <c r="BI31" s="55">
        <f t="shared" si="22"/>
        <v>1</v>
      </c>
      <c r="BJ31" s="55">
        <f t="shared" si="22"/>
        <v>1</v>
      </c>
      <c r="BK31" s="30">
        <v>0</v>
      </c>
      <c r="BL31" s="30">
        <v>1152</v>
      </c>
      <c r="BM31" s="26">
        <f t="shared" si="152"/>
        <v>0</v>
      </c>
      <c r="BN31" s="26">
        <f t="shared" si="152"/>
        <v>1152</v>
      </c>
      <c r="BO31" s="55">
        <f t="shared" si="24"/>
        <v>-1</v>
      </c>
      <c r="BP31" s="55">
        <f t="shared" si="24"/>
        <v>1.56</v>
      </c>
      <c r="BQ31" s="30"/>
      <c r="BR31" s="30"/>
      <c r="BS31" s="26">
        <f t="shared" si="153"/>
        <v>0</v>
      </c>
      <c r="BT31" s="26">
        <f t="shared" si="153"/>
        <v>1152</v>
      </c>
      <c r="BU31" s="55">
        <f t="shared" si="25"/>
        <v>-1</v>
      </c>
      <c r="BV31" s="55">
        <f t="shared" si="25"/>
        <v>0.92320534223706185</v>
      </c>
      <c r="BW31" s="30"/>
      <c r="BX31" s="30"/>
      <c r="BY31" s="26">
        <f t="shared" si="154"/>
        <v>0</v>
      </c>
      <c r="BZ31" s="26">
        <f t="shared" si="154"/>
        <v>1152</v>
      </c>
      <c r="CA31" s="55">
        <f t="shared" si="27"/>
        <v>-1</v>
      </c>
      <c r="CB31" s="55">
        <f t="shared" si="27"/>
        <v>0.92320534223706185</v>
      </c>
      <c r="CC31" s="30"/>
      <c r="CD31" s="30"/>
      <c r="CE31" s="26">
        <f t="shared" si="155"/>
        <v>0</v>
      </c>
      <c r="CF31" s="26">
        <f t="shared" si="155"/>
        <v>1152</v>
      </c>
      <c r="CG31" s="55">
        <f t="shared" si="29"/>
        <v>-1</v>
      </c>
      <c r="CH31" s="55">
        <f t="shared" si="29"/>
        <v>0.28142380422691882</v>
      </c>
      <c r="CI31" s="30"/>
      <c r="CJ31" s="30"/>
      <c r="CK31" s="26">
        <f t="shared" si="156"/>
        <v>0</v>
      </c>
      <c r="CL31" s="26">
        <f t="shared" si="156"/>
        <v>1152</v>
      </c>
      <c r="CM31" s="55">
        <f t="shared" si="31"/>
        <v>-1</v>
      </c>
      <c r="CN31" s="55">
        <f t="shared" si="31"/>
        <v>0.28142380422691882</v>
      </c>
      <c r="CO31" s="30"/>
      <c r="CP31" s="30"/>
      <c r="CQ31" s="26">
        <f t="shared" si="157"/>
        <v>0</v>
      </c>
      <c r="CR31" s="26">
        <f t="shared" si="157"/>
        <v>1152</v>
      </c>
      <c r="CS31" s="55">
        <f t="shared" si="33"/>
        <v>-1</v>
      </c>
      <c r="CT31" s="55">
        <f t="shared" si="33"/>
        <v>-9.7178683385579889E-2</v>
      </c>
      <c r="CU31" s="30"/>
      <c r="CV31" s="30"/>
      <c r="CW31" s="26">
        <f t="shared" si="158"/>
        <v>0</v>
      </c>
      <c r="CX31" s="26">
        <f t="shared" si="158"/>
        <v>1152</v>
      </c>
      <c r="CY31" s="55">
        <f t="shared" si="35"/>
        <v>-1</v>
      </c>
      <c r="CZ31" s="55">
        <f t="shared" si="35"/>
        <v>-0.36071032186459484</v>
      </c>
      <c r="DA31" s="30"/>
      <c r="DB31" s="30"/>
      <c r="DC31" s="26">
        <f t="shared" si="159"/>
        <v>0</v>
      </c>
      <c r="DD31" s="26">
        <f t="shared" si="159"/>
        <v>1152</v>
      </c>
      <c r="DE31" s="55">
        <f t="shared" si="37"/>
        <v>-1</v>
      </c>
      <c r="DF31" s="55">
        <f t="shared" si="37"/>
        <v>-0.47131711794401099</v>
      </c>
      <c r="DG31" s="30"/>
      <c r="DH31" s="30"/>
      <c r="DI31" s="26">
        <f t="shared" si="160"/>
        <v>0</v>
      </c>
      <c r="DJ31" s="26">
        <f t="shared" si="160"/>
        <v>1152</v>
      </c>
      <c r="DK31" s="55">
        <f t="shared" si="39"/>
        <v>-1</v>
      </c>
      <c r="DL31" s="55">
        <f t="shared" si="39"/>
        <v>-0.62303664921465973</v>
      </c>
      <c r="DM31" s="30"/>
      <c r="DN31" s="30"/>
      <c r="DO31" s="30"/>
      <c r="DP31" s="30"/>
      <c r="DQ31" s="29">
        <f t="shared" si="161"/>
        <v>4608</v>
      </c>
      <c r="DR31" s="29">
        <f t="shared" si="161"/>
        <v>4608</v>
      </c>
      <c r="DS31" s="55">
        <f>IF($AY$31=0,1,DQ31/$AY$31-1)</f>
        <v>0</v>
      </c>
      <c r="DT31" s="55">
        <f>IF($AZ$31=0,1,DR31/$AZ$31-1)</f>
        <v>0</v>
      </c>
      <c r="DU31" s="55">
        <f>IF($E$31=0,1,DQ31/$E$31-1)</f>
        <v>0.17132689374682264</v>
      </c>
      <c r="DV31" s="55">
        <f>IF($E$31=0,1,DR31/$E$31-1)</f>
        <v>0.17132689374682264</v>
      </c>
      <c r="DW31" s="25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  <c r="IW31" s="63"/>
      <c r="IX31" s="63"/>
      <c r="IY31" s="63"/>
      <c r="IZ31" s="63"/>
      <c r="JA31" s="63"/>
      <c r="JB31" s="63"/>
      <c r="JC31" s="63"/>
      <c r="JD31" s="63"/>
      <c r="JE31" s="63"/>
      <c r="JF31" s="63"/>
      <c r="JG31" s="63"/>
      <c r="JH31" s="63"/>
    </row>
    <row r="32" spans="1:268" s="66" customFormat="1" ht="18" customHeight="1">
      <c r="A32" s="401" t="s">
        <v>47</v>
      </c>
      <c r="B32" s="402"/>
      <c r="C32" s="29">
        <f>'[1]прогноз '!B39</f>
        <v>6327</v>
      </c>
      <c r="D32" s="29">
        <f>'[1]прогноз '!C39</f>
        <v>7000.0650000000005</v>
      </c>
      <c r="E32" s="26">
        <f t="shared" si="110"/>
        <v>60014.400000000001</v>
      </c>
      <c r="F32" s="29">
        <f t="shared" si="110"/>
        <v>61206.2</v>
      </c>
      <c r="G32" s="29">
        <v>0</v>
      </c>
      <c r="H32" s="29">
        <v>21.1</v>
      </c>
      <c r="I32" s="29">
        <v>0</v>
      </c>
      <c r="J32" s="29">
        <v>80.599999999999994</v>
      </c>
      <c r="K32" s="26">
        <f t="shared" si="111"/>
        <v>0</v>
      </c>
      <c r="L32" s="26">
        <f t="shared" si="111"/>
        <v>101.69999999999999</v>
      </c>
      <c r="M32" s="29">
        <v>0</v>
      </c>
      <c r="N32" s="29">
        <v>137.30000000000001</v>
      </c>
      <c r="O32" s="26">
        <f t="shared" si="112"/>
        <v>0</v>
      </c>
      <c r="P32" s="26">
        <f t="shared" si="112"/>
        <v>239</v>
      </c>
      <c r="Q32" s="29">
        <v>2594.1</v>
      </c>
      <c r="R32" s="29">
        <v>2643.7</v>
      </c>
      <c r="S32" s="26">
        <f t="shared" si="113"/>
        <v>2594.1</v>
      </c>
      <c r="T32" s="26">
        <f t="shared" si="113"/>
        <v>2882.7</v>
      </c>
      <c r="U32" s="29">
        <f>13353.5-Q32</f>
        <v>10759.4</v>
      </c>
      <c r="V32" s="29">
        <v>10780.5</v>
      </c>
      <c r="W32" s="26">
        <f t="shared" si="114"/>
        <v>13353.5</v>
      </c>
      <c r="X32" s="26">
        <f t="shared" si="114"/>
        <v>13663.2</v>
      </c>
      <c r="Y32" s="29">
        <f>36393.8-Q32-U32</f>
        <v>23040.300000000003</v>
      </c>
      <c r="Z32" s="29">
        <v>23209</v>
      </c>
      <c r="AA32" s="26">
        <f t="shared" si="115"/>
        <v>36393.800000000003</v>
      </c>
      <c r="AB32" s="26">
        <f t="shared" si="115"/>
        <v>36872.199999999997</v>
      </c>
      <c r="AC32" s="29">
        <v>4305</v>
      </c>
      <c r="AD32" s="29">
        <v>4501.8</v>
      </c>
      <c r="AE32" s="26">
        <f t="shared" si="116"/>
        <v>40698.800000000003</v>
      </c>
      <c r="AF32" s="26">
        <f t="shared" si="116"/>
        <v>41374</v>
      </c>
      <c r="AG32" s="26">
        <f>44361.2-G32-I32-M32-Q32-U32-Y32-AC32</f>
        <v>3662.3999999999942</v>
      </c>
      <c r="AH32" s="29">
        <f>45128.3-H32-J32-N32-R32-V32-Z32-AD32</f>
        <v>3754.3000000000056</v>
      </c>
      <c r="AI32" s="26">
        <f t="shared" si="147"/>
        <v>44361.2</v>
      </c>
      <c r="AJ32" s="26">
        <f t="shared" si="147"/>
        <v>45128.3</v>
      </c>
      <c r="AK32" s="29">
        <f>50472.2-G32-I32-M32-Q32-U32-Y32-AC32-AG32</f>
        <v>6111</v>
      </c>
      <c r="AL32" s="23">
        <f>51360.3-H32-J32-N32-R32-V32-Z32-AD32-AH32</f>
        <v>6232.0000000000009</v>
      </c>
      <c r="AM32" s="26">
        <f t="shared" si="148"/>
        <v>50472.2</v>
      </c>
      <c r="AN32" s="26">
        <f t="shared" si="148"/>
        <v>51360.3</v>
      </c>
      <c r="AO32" s="29">
        <f>50474.3-G32-I32-M32-Q32-U32-Y32-AC32-AG32-AK32</f>
        <v>2.1000000000058208</v>
      </c>
      <c r="AP32" s="29">
        <f>51453.8-H32-J32-N32-R32-V32-Z32-AD32-AH32-AL32</f>
        <v>93.5</v>
      </c>
      <c r="AQ32" s="26">
        <f t="shared" si="149"/>
        <v>50474.3</v>
      </c>
      <c r="AR32" s="26">
        <f t="shared" si="149"/>
        <v>51453.8</v>
      </c>
      <c r="AS32" s="29">
        <v>6193.9</v>
      </c>
      <c r="AT32" s="29">
        <v>6285.2</v>
      </c>
      <c r="AU32" s="26">
        <f t="shared" si="150"/>
        <v>56668.200000000004</v>
      </c>
      <c r="AV32" s="26">
        <f t="shared" si="150"/>
        <v>57739</v>
      </c>
      <c r="AW32" s="29">
        <f>-121+AX32</f>
        <v>3346.2</v>
      </c>
      <c r="AX32" s="29">
        <v>3467.2</v>
      </c>
      <c r="AY32" s="29">
        <v>52</v>
      </c>
      <c r="AZ32" s="29">
        <v>912.8</v>
      </c>
      <c r="BA32" s="55">
        <f t="shared" si="137"/>
        <v>-0.99913354128342535</v>
      </c>
      <c r="BB32" s="55">
        <f t="shared" si="137"/>
        <v>-0.98508647816724448</v>
      </c>
      <c r="BC32" s="29">
        <v>0</v>
      </c>
      <c r="BD32" s="29">
        <v>0</v>
      </c>
      <c r="BE32" s="29">
        <v>0</v>
      </c>
      <c r="BF32" s="29">
        <v>92.3</v>
      </c>
      <c r="BG32" s="26">
        <f t="shared" si="151"/>
        <v>0</v>
      </c>
      <c r="BH32" s="26">
        <f t="shared" si="151"/>
        <v>92.3</v>
      </c>
      <c r="BI32" s="55">
        <f t="shared" si="22"/>
        <v>1</v>
      </c>
      <c r="BJ32" s="55">
        <f t="shared" si="22"/>
        <v>-9.242871189773838E-2</v>
      </c>
      <c r="BK32" s="29">
        <v>0</v>
      </c>
      <c r="BL32" s="29">
        <v>66</v>
      </c>
      <c r="BM32" s="26">
        <f t="shared" si="152"/>
        <v>0</v>
      </c>
      <c r="BN32" s="26">
        <f t="shared" si="152"/>
        <v>158.30000000000001</v>
      </c>
      <c r="BO32" s="55">
        <f t="shared" si="24"/>
        <v>1</v>
      </c>
      <c r="BP32" s="55">
        <f t="shared" si="24"/>
        <v>-0.33765690376569035</v>
      </c>
      <c r="BQ32" s="29"/>
      <c r="BR32" s="29"/>
      <c r="BS32" s="26">
        <f t="shared" si="153"/>
        <v>0</v>
      </c>
      <c r="BT32" s="26">
        <f t="shared" si="153"/>
        <v>158.30000000000001</v>
      </c>
      <c r="BU32" s="55">
        <f t="shared" si="25"/>
        <v>-1</v>
      </c>
      <c r="BV32" s="55">
        <f t="shared" si="25"/>
        <v>-0.94508620390606024</v>
      </c>
      <c r="BW32" s="29"/>
      <c r="BX32" s="29"/>
      <c r="BY32" s="26">
        <f t="shared" si="154"/>
        <v>0</v>
      </c>
      <c r="BZ32" s="26">
        <f t="shared" si="154"/>
        <v>158.30000000000001</v>
      </c>
      <c r="CA32" s="55">
        <f t="shared" si="27"/>
        <v>-1</v>
      </c>
      <c r="CB32" s="55">
        <f t="shared" si="27"/>
        <v>-0.98841413431699743</v>
      </c>
      <c r="CC32" s="29"/>
      <c r="CD32" s="29"/>
      <c r="CE32" s="26">
        <f t="shared" si="155"/>
        <v>0</v>
      </c>
      <c r="CF32" s="26">
        <f t="shared" si="155"/>
        <v>158.30000000000001</v>
      </c>
      <c r="CG32" s="55">
        <f t="shared" si="29"/>
        <v>-1</v>
      </c>
      <c r="CH32" s="55">
        <f t="shared" si="29"/>
        <v>-0.99570679265137418</v>
      </c>
      <c r="CI32" s="29"/>
      <c r="CJ32" s="29"/>
      <c r="CK32" s="26">
        <f t="shared" si="156"/>
        <v>0</v>
      </c>
      <c r="CL32" s="26">
        <f t="shared" si="156"/>
        <v>158.30000000000001</v>
      </c>
      <c r="CM32" s="55">
        <f t="shared" si="31"/>
        <v>-1</v>
      </c>
      <c r="CN32" s="55">
        <f t="shared" si="31"/>
        <v>-0.99617392565379226</v>
      </c>
      <c r="CO32" s="29"/>
      <c r="CP32" s="29"/>
      <c r="CQ32" s="26">
        <f t="shared" si="157"/>
        <v>0</v>
      </c>
      <c r="CR32" s="26">
        <f t="shared" si="157"/>
        <v>158.30000000000001</v>
      </c>
      <c r="CS32" s="55">
        <f t="shared" si="33"/>
        <v>-1</v>
      </c>
      <c r="CT32" s="55">
        <f t="shared" si="33"/>
        <v>-0.99649222328339426</v>
      </c>
      <c r="CU32" s="29"/>
      <c r="CV32" s="29"/>
      <c r="CW32" s="26">
        <f t="shared" si="158"/>
        <v>0</v>
      </c>
      <c r="CX32" s="26">
        <f t="shared" si="158"/>
        <v>158.30000000000001</v>
      </c>
      <c r="CY32" s="55">
        <f t="shared" si="35"/>
        <v>-1</v>
      </c>
      <c r="CZ32" s="55">
        <f t="shared" si="35"/>
        <v>-0.99691785289416146</v>
      </c>
      <c r="DA32" s="29"/>
      <c r="DB32" s="29"/>
      <c r="DC32" s="26">
        <f t="shared" si="159"/>
        <v>0</v>
      </c>
      <c r="DD32" s="26">
        <f t="shared" si="159"/>
        <v>158.30000000000001</v>
      </c>
      <c r="DE32" s="55">
        <f t="shared" si="37"/>
        <v>-1</v>
      </c>
      <c r="DF32" s="55">
        <f t="shared" si="37"/>
        <v>-0.99692345366134283</v>
      </c>
      <c r="DG32" s="29"/>
      <c r="DH32" s="29"/>
      <c r="DI32" s="26">
        <f t="shared" si="160"/>
        <v>0</v>
      </c>
      <c r="DJ32" s="26">
        <f t="shared" si="160"/>
        <v>158.30000000000001</v>
      </c>
      <c r="DK32" s="55">
        <f t="shared" si="39"/>
        <v>-1</v>
      </c>
      <c r="DL32" s="55">
        <f t="shared" si="39"/>
        <v>-0.99725835224025361</v>
      </c>
      <c r="DM32" s="29"/>
      <c r="DN32" s="29"/>
      <c r="DO32" s="29"/>
      <c r="DP32" s="29"/>
      <c r="DQ32" s="29">
        <f t="shared" si="161"/>
        <v>52</v>
      </c>
      <c r="DR32" s="29">
        <f t="shared" si="161"/>
        <v>912.8</v>
      </c>
      <c r="DS32" s="55">
        <f>IF($AY$32=0,1,DQ32/$AY$32-1)</f>
        <v>0</v>
      </c>
      <c r="DT32" s="55">
        <f>IF($AZ$32=0,1,DR32/$AZ$32-1)</f>
        <v>0</v>
      </c>
      <c r="DU32" s="55">
        <f>IF($E$32=0,1,DQ32/$E$32-1)</f>
        <v>-0.99913354128342535</v>
      </c>
      <c r="DV32" s="55">
        <f>IF($E$32=0,1,DR32/$E$32-1)</f>
        <v>-0.98479031699058894</v>
      </c>
      <c r="DW32" s="2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  <c r="IV32" s="65"/>
      <c r="IW32" s="65"/>
      <c r="IX32" s="65"/>
      <c r="IY32" s="65"/>
      <c r="IZ32" s="65"/>
      <c r="JA32" s="65"/>
      <c r="JB32" s="65"/>
      <c r="JC32" s="65"/>
      <c r="JD32" s="65"/>
      <c r="JE32" s="65"/>
      <c r="JF32" s="65"/>
      <c r="JG32" s="65"/>
      <c r="JH32" s="65"/>
    </row>
    <row r="33" spans="1:268" s="66" customFormat="1" ht="33" customHeight="1">
      <c r="A33" s="401" t="s">
        <v>118</v>
      </c>
      <c r="B33" s="402"/>
      <c r="C33" s="29"/>
      <c r="D33" s="29"/>
      <c r="E33" s="26">
        <f t="shared" si="110"/>
        <v>0</v>
      </c>
      <c r="F33" s="29">
        <f t="shared" si="110"/>
        <v>0</v>
      </c>
      <c r="G33" s="29"/>
      <c r="H33" s="29"/>
      <c r="I33" s="29"/>
      <c r="J33" s="29"/>
      <c r="K33" s="26">
        <f t="shared" si="111"/>
        <v>0</v>
      </c>
      <c r="L33" s="26">
        <f t="shared" si="111"/>
        <v>0</v>
      </c>
      <c r="M33" s="29"/>
      <c r="N33" s="29"/>
      <c r="O33" s="26">
        <f t="shared" si="112"/>
        <v>0</v>
      </c>
      <c r="P33" s="26">
        <f t="shared" si="112"/>
        <v>0</v>
      </c>
      <c r="Q33" s="29"/>
      <c r="R33" s="29"/>
      <c r="S33" s="26">
        <f t="shared" si="113"/>
        <v>0</v>
      </c>
      <c r="T33" s="26">
        <f t="shared" si="113"/>
        <v>0</v>
      </c>
      <c r="U33" s="29"/>
      <c r="V33" s="29"/>
      <c r="W33" s="26">
        <f t="shared" si="114"/>
        <v>0</v>
      </c>
      <c r="X33" s="26">
        <f t="shared" si="114"/>
        <v>0</v>
      </c>
      <c r="Y33" s="29"/>
      <c r="Z33" s="29"/>
      <c r="AA33" s="26">
        <f t="shared" si="115"/>
        <v>0</v>
      </c>
      <c r="AB33" s="26">
        <f t="shared" si="115"/>
        <v>0</v>
      </c>
      <c r="AC33" s="29"/>
      <c r="AD33" s="29"/>
      <c r="AE33" s="26">
        <f t="shared" si="116"/>
        <v>0</v>
      </c>
      <c r="AF33" s="26">
        <f t="shared" si="116"/>
        <v>0</v>
      </c>
      <c r="AG33" s="26"/>
      <c r="AH33" s="29"/>
      <c r="AI33" s="26">
        <f t="shared" si="147"/>
        <v>0</v>
      </c>
      <c r="AJ33" s="26">
        <f t="shared" si="147"/>
        <v>0</v>
      </c>
      <c r="AK33" s="29"/>
      <c r="AL33" s="23"/>
      <c r="AM33" s="26">
        <f t="shared" si="148"/>
        <v>0</v>
      </c>
      <c r="AN33" s="26">
        <f t="shared" si="148"/>
        <v>0</v>
      </c>
      <c r="AO33" s="29"/>
      <c r="AP33" s="29"/>
      <c r="AQ33" s="26">
        <f t="shared" si="149"/>
        <v>0</v>
      </c>
      <c r="AR33" s="26">
        <f t="shared" si="149"/>
        <v>0</v>
      </c>
      <c r="AS33" s="29"/>
      <c r="AT33" s="29"/>
      <c r="AU33" s="26">
        <f t="shared" si="150"/>
        <v>0</v>
      </c>
      <c r="AV33" s="26">
        <f t="shared" si="150"/>
        <v>0</v>
      </c>
      <c r="AW33" s="29"/>
      <c r="AX33" s="29"/>
      <c r="AY33" s="29"/>
      <c r="AZ33" s="29"/>
      <c r="BA33" s="55">
        <f t="shared" si="137"/>
        <v>1</v>
      </c>
      <c r="BB33" s="55">
        <f t="shared" si="137"/>
        <v>1</v>
      </c>
      <c r="BC33" s="29"/>
      <c r="BD33" s="29"/>
      <c r="BE33" s="29"/>
      <c r="BF33" s="29"/>
      <c r="BG33" s="26">
        <f t="shared" si="151"/>
        <v>0</v>
      </c>
      <c r="BH33" s="26">
        <f t="shared" si="151"/>
        <v>0</v>
      </c>
      <c r="BI33" s="55">
        <f t="shared" si="22"/>
        <v>1</v>
      </c>
      <c r="BJ33" s="55">
        <f t="shared" si="22"/>
        <v>1</v>
      </c>
      <c r="BK33" s="29"/>
      <c r="BL33" s="29"/>
      <c r="BM33" s="26">
        <f t="shared" si="152"/>
        <v>0</v>
      </c>
      <c r="BN33" s="26">
        <f t="shared" si="152"/>
        <v>0</v>
      </c>
      <c r="BO33" s="55">
        <f t="shared" si="24"/>
        <v>1</v>
      </c>
      <c r="BP33" s="55">
        <f t="shared" si="24"/>
        <v>1</v>
      </c>
      <c r="BQ33" s="29"/>
      <c r="BR33" s="29"/>
      <c r="BS33" s="26">
        <f t="shared" si="153"/>
        <v>0</v>
      </c>
      <c r="BT33" s="26">
        <f t="shared" si="153"/>
        <v>0</v>
      </c>
      <c r="BU33" s="55">
        <f t="shared" si="25"/>
        <v>1</v>
      </c>
      <c r="BV33" s="55">
        <f t="shared" si="25"/>
        <v>1</v>
      </c>
      <c r="BW33" s="29"/>
      <c r="BX33" s="29"/>
      <c r="BY33" s="26">
        <f t="shared" si="154"/>
        <v>0</v>
      </c>
      <c r="BZ33" s="26">
        <f t="shared" si="154"/>
        <v>0</v>
      </c>
      <c r="CA33" s="55">
        <f t="shared" si="27"/>
        <v>1</v>
      </c>
      <c r="CB33" s="55">
        <f t="shared" si="27"/>
        <v>1</v>
      </c>
      <c r="CC33" s="29"/>
      <c r="CD33" s="29"/>
      <c r="CE33" s="26">
        <f t="shared" si="155"/>
        <v>0</v>
      </c>
      <c r="CF33" s="26">
        <f t="shared" si="155"/>
        <v>0</v>
      </c>
      <c r="CG33" s="55">
        <f t="shared" si="29"/>
        <v>1</v>
      </c>
      <c r="CH33" s="55">
        <f t="shared" si="29"/>
        <v>1</v>
      </c>
      <c r="CI33" s="29"/>
      <c r="CJ33" s="29"/>
      <c r="CK33" s="26">
        <f t="shared" si="156"/>
        <v>0</v>
      </c>
      <c r="CL33" s="26">
        <f t="shared" si="156"/>
        <v>0</v>
      </c>
      <c r="CM33" s="55">
        <f t="shared" si="31"/>
        <v>1</v>
      </c>
      <c r="CN33" s="55">
        <f t="shared" si="31"/>
        <v>1</v>
      </c>
      <c r="CO33" s="29"/>
      <c r="CP33" s="29"/>
      <c r="CQ33" s="26">
        <f t="shared" si="157"/>
        <v>0</v>
      </c>
      <c r="CR33" s="26">
        <f t="shared" si="157"/>
        <v>0</v>
      </c>
      <c r="CS33" s="55">
        <f t="shared" si="33"/>
        <v>1</v>
      </c>
      <c r="CT33" s="55">
        <f t="shared" si="33"/>
        <v>1</v>
      </c>
      <c r="CU33" s="29"/>
      <c r="CV33" s="29"/>
      <c r="CW33" s="26">
        <f t="shared" si="158"/>
        <v>0</v>
      </c>
      <c r="CX33" s="26">
        <f t="shared" si="158"/>
        <v>0</v>
      </c>
      <c r="CY33" s="55">
        <f t="shared" si="35"/>
        <v>1</v>
      </c>
      <c r="CZ33" s="55">
        <f t="shared" si="35"/>
        <v>1</v>
      </c>
      <c r="DA33" s="29"/>
      <c r="DB33" s="29"/>
      <c r="DC33" s="26">
        <f t="shared" si="159"/>
        <v>0</v>
      </c>
      <c r="DD33" s="26">
        <f t="shared" si="159"/>
        <v>0</v>
      </c>
      <c r="DE33" s="55">
        <f t="shared" si="37"/>
        <v>1</v>
      </c>
      <c r="DF33" s="55">
        <f t="shared" si="37"/>
        <v>1</v>
      </c>
      <c r="DG33" s="29"/>
      <c r="DH33" s="29"/>
      <c r="DI33" s="26">
        <f t="shared" si="160"/>
        <v>0</v>
      </c>
      <c r="DJ33" s="26">
        <f t="shared" si="160"/>
        <v>0</v>
      </c>
      <c r="DK33" s="55">
        <f t="shared" si="39"/>
        <v>1</v>
      </c>
      <c r="DL33" s="55">
        <f t="shared" si="39"/>
        <v>1</v>
      </c>
      <c r="DM33" s="29"/>
      <c r="DN33" s="29"/>
      <c r="DO33" s="29"/>
      <c r="DP33" s="29"/>
      <c r="DQ33" s="29"/>
      <c r="DR33" s="29"/>
      <c r="DS33" s="55">
        <f>IF($AY$33=0,1,DQ33/$AY$33-1)</f>
        <v>1</v>
      </c>
      <c r="DT33" s="55">
        <f>IF($AZ$33=0,1,DR33/$AZ$33-1)</f>
        <v>1</v>
      </c>
      <c r="DU33" s="55">
        <f>IF($E$33=0,1,DQ33/$E$33-1)</f>
        <v>1</v>
      </c>
      <c r="DV33" s="55">
        <f>IF($E$33=0,1,DR33/$E$33-1)</f>
        <v>1</v>
      </c>
      <c r="DW33" s="2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65"/>
      <c r="JF33" s="65"/>
      <c r="JG33" s="65"/>
      <c r="JH33" s="65"/>
    </row>
    <row r="34" spans="1:268" s="66" customFormat="1" ht="18" customHeight="1">
      <c r="A34" s="401" t="s">
        <v>48</v>
      </c>
      <c r="B34" s="402"/>
      <c r="C34" s="29">
        <f>'[1]прогноз '!B40</f>
        <v>200</v>
      </c>
      <c r="D34" s="29">
        <f>'[1]прогноз '!C40</f>
        <v>200</v>
      </c>
      <c r="E34" s="26">
        <f t="shared" si="110"/>
        <v>705.4</v>
      </c>
      <c r="F34" s="29">
        <f t="shared" si="110"/>
        <v>500</v>
      </c>
      <c r="G34" s="31">
        <v>0</v>
      </c>
      <c r="H34" s="31">
        <v>0</v>
      </c>
      <c r="I34" s="31">
        <v>0</v>
      </c>
      <c r="J34" s="31">
        <v>0</v>
      </c>
      <c r="K34" s="26">
        <f t="shared" si="111"/>
        <v>0</v>
      </c>
      <c r="L34" s="26">
        <f t="shared" si="111"/>
        <v>0</v>
      </c>
      <c r="M34" s="31">
        <v>0</v>
      </c>
      <c r="N34" s="31">
        <v>0</v>
      </c>
      <c r="O34" s="26">
        <f t="shared" si="112"/>
        <v>0</v>
      </c>
      <c r="P34" s="26">
        <f t="shared" si="112"/>
        <v>0</v>
      </c>
      <c r="Q34" s="31">
        <v>0</v>
      </c>
      <c r="R34" s="31">
        <v>0</v>
      </c>
      <c r="S34" s="26">
        <f t="shared" si="113"/>
        <v>0</v>
      </c>
      <c r="T34" s="26">
        <f t="shared" si="113"/>
        <v>0</v>
      </c>
      <c r="U34" s="31">
        <v>10</v>
      </c>
      <c r="V34" s="31">
        <v>0</v>
      </c>
      <c r="W34" s="26">
        <f t="shared" si="114"/>
        <v>10</v>
      </c>
      <c r="X34" s="26">
        <f t="shared" si="114"/>
        <v>0</v>
      </c>
      <c r="Y34" s="31">
        <f>20-U34</f>
        <v>10</v>
      </c>
      <c r="Z34" s="31">
        <v>0</v>
      </c>
      <c r="AA34" s="26">
        <f t="shared" si="115"/>
        <v>20</v>
      </c>
      <c r="AB34" s="26">
        <f t="shared" si="115"/>
        <v>0</v>
      </c>
      <c r="AC34" s="31">
        <v>5</v>
      </c>
      <c r="AD34" s="31">
        <v>0</v>
      </c>
      <c r="AE34" s="26">
        <f t="shared" si="116"/>
        <v>25</v>
      </c>
      <c r="AF34" s="26">
        <f t="shared" si="116"/>
        <v>0</v>
      </c>
      <c r="AG34" s="26">
        <f>25-G34-I34-M34-Q34-U34-Y34-AC34</f>
        <v>0</v>
      </c>
      <c r="AH34" s="31">
        <v>0</v>
      </c>
      <c r="AI34" s="26">
        <f t="shared" si="147"/>
        <v>25</v>
      </c>
      <c r="AJ34" s="26">
        <f t="shared" si="147"/>
        <v>0</v>
      </c>
      <c r="AK34" s="31">
        <f>540-G34-I34-M34-Q34-U34-Y34-AC34-AG34</f>
        <v>515</v>
      </c>
      <c r="AL34" s="23">
        <f>500-H34-J34-N34-R34-V34-Z34-AD34-AH34</f>
        <v>500</v>
      </c>
      <c r="AM34" s="26">
        <f t="shared" si="148"/>
        <v>540</v>
      </c>
      <c r="AN34" s="26">
        <f t="shared" si="148"/>
        <v>500</v>
      </c>
      <c r="AO34" s="31">
        <f>705.4-G34-I34-M34-Q34-U34-Y34-AC34-AG34-AK34</f>
        <v>165.39999999999998</v>
      </c>
      <c r="AP34" s="31">
        <f>500-H34-J34-N34-R34-V34-Z34-AD34-AH34-AL34</f>
        <v>0</v>
      </c>
      <c r="AQ34" s="26">
        <f t="shared" si="149"/>
        <v>705.4</v>
      </c>
      <c r="AR34" s="26">
        <f t="shared" si="149"/>
        <v>500</v>
      </c>
      <c r="AS34" s="31">
        <v>0</v>
      </c>
      <c r="AT34" s="31">
        <v>0</v>
      </c>
      <c r="AU34" s="26">
        <f t="shared" si="150"/>
        <v>705.4</v>
      </c>
      <c r="AV34" s="26">
        <f t="shared" si="150"/>
        <v>500</v>
      </c>
      <c r="AW34" s="31">
        <v>0</v>
      </c>
      <c r="AX34" s="31">
        <v>0</v>
      </c>
      <c r="AY34" s="31">
        <v>0</v>
      </c>
      <c r="AZ34" s="31">
        <v>0</v>
      </c>
      <c r="BA34" s="55">
        <f t="shared" si="137"/>
        <v>-1</v>
      </c>
      <c r="BB34" s="55">
        <f t="shared" si="137"/>
        <v>-1</v>
      </c>
      <c r="BC34" s="31">
        <v>0</v>
      </c>
      <c r="BD34" s="31">
        <v>0</v>
      </c>
      <c r="BE34" s="31">
        <v>0</v>
      </c>
      <c r="BF34" s="31">
        <v>0</v>
      </c>
      <c r="BG34" s="26">
        <f t="shared" si="151"/>
        <v>0</v>
      </c>
      <c r="BH34" s="26">
        <f t="shared" si="151"/>
        <v>0</v>
      </c>
      <c r="BI34" s="55">
        <f t="shared" si="22"/>
        <v>1</v>
      </c>
      <c r="BJ34" s="55">
        <f t="shared" si="22"/>
        <v>1</v>
      </c>
      <c r="BK34" s="31">
        <v>0</v>
      </c>
      <c r="BL34" s="31">
        <v>0</v>
      </c>
      <c r="BM34" s="26">
        <f t="shared" si="152"/>
        <v>0</v>
      </c>
      <c r="BN34" s="26">
        <f t="shared" si="152"/>
        <v>0</v>
      </c>
      <c r="BO34" s="55">
        <f t="shared" si="24"/>
        <v>1</v>
      </c>
      <c r="BP34" s="55">
        <f t="shared" si="24"/>
        <v>1</v>
      </c>
      <c r="BQ34" s="31"/>
      <c r="BR34" s="31"/>
      <c r="BS34" s="26">
        <f t="shared" si="153"/>
        <v>0</v>
      </c>
      <c r="BT34" s="26">
        <f t="shared" si="153"/>
        <v>0</v>
      </c>
      <c r="BU34" s="55">
        <f t="shared" si="25"/>
        <v>1</v>
      </c>
      <c r="BV34" s="55">
        <f t="shared" si="25"/>
        <v>1</v>
      </c>
      <c r="BW34" s="31"/>
      <c r="BX34" s="31"/>
      <c r="BY34" s="26">
        <f t="shared" si="154"/>
        <v>0</v>
      </c>
      <c r="BZ34" s="26">
        <f t="shared" si="154"/>
        <v>0</v>
      </c>
      <c r="CA34" s="55">
        <f t="shared" si="27"/>
        <v>-1</v>
      </c>
      <c r="CB34" s="55">
        <f t="shared" si="27"/>
        <v>1</v>
      </c>
      <c r="CC34" s="31"/>
      <c r="CD34" s="31"/>
      <c r="CE34" s="26">
        <f t="shared" si="155"/>
        <v>0</v>
      </c>
      <c r="CF34" s="26">
        <f t="shared" si="155"/>
        <v>0</v>
      </c>
      <c r="CG34" s="55">
        <f t="shared" si="29"/>
        <v>-1</v>
      </c>
      <c r="CH34" s="55">
        <f t="shared" si="29"/>
        <v>1</v>
      </c>
      <c r="CI34" s="31"/>
      <c r="CJ34" s="31"/>
      <c r="CK34" s="26">
        <f t="shared" si="156"/>
        <v>0</v>
      </c>
      <c r="CL34" s="26">
        <f t="shared" si="156"/>
        <v>0</v>
      </c>
      <c r="CM34" s="55">
        <f t="shared" si="31"/>
        <v>-1</v>
      </c>
      <c r="CN34" s="55">
        <f t="shared" si="31"/>
        <v>1</v>
      </c>
      <c r="CO34" s="31"/>
      <c r="CP34" s="31"/>
      <c r="CQ34" s="26">
        <f t="shared" si="157"/>
        <v>0</v>
      </c>
      <c r="CR34" s="26">
        <f t="shared" si="157"/>
        <v>0</v>
      </c>
      <c r="CS34" s="55">
        <f t="shared" si="33"/>
        <v>-1</v>
      </c>
      <c r="CT34" s="55">
        <f t="shared" si="33"/>
        <v>1</v>
      </c>
      <c r="CU34" s="31"/>
      <c r="CV34" s="31"/>
      <c r="CW34" s="26">
        <f t="shared" si="158"/>
        <v>0</v>
      </c>
      <c r="CX34" s="26">
        <f t="shared" si="158"/>
        <v>0</v>
      </c>
      <c r="CY34" s="55">
        <f t="shared" si="35"/>
        <v>-1</v>
      </c>
      <c r="CZ34" s="55">
        <f t="shared" si="35"/>
        <v>-1</v>
      </c>
      <c r="DA34" s="31"/>
      <c r="DB34" s="31"/>
      <c r="DC34" s="26">
        <f t="shared" si="159"/>
        <v>0</v>
      </c>
      <c r="DD34" s="26">
        <f t="shared" si="159"/>
        <v>0</v>
      </c>
      <c r="DE34" s="55">
        <f t="shared" si="37"/>
        <v>-1</v>
      </c>
      <c r="DF34" s="55">
        <f t="shared" si="37"/>
        <v>-1</v>
      </c>
      <c r="DG34" s="31"/>
      <c r="DH34" s="31"/>
      <c r="DI34" s="26">
        <f t="shared" si="160"/>
        <v>0</v>
      </c>
      <c r="DJ34" s="26">
        <f t="shared" si="160"/>
        <v>0</v>
      </c>
      <c r="DK34" s="55">
        <f t="shared" si="39"/>
        <v>-1</v>
      </c>
      <c r="DL34" s="55">
        <f t="shared" si="39"/>
        <v>-1</v>
      </c>
      <c r="DM34" s="31"/>
      <c r="DN34" s="31"/>
      <c r="DO34" s="31"/>
      <c r="DP34" s="31"/>
      <c r="DQ34" s="29">
        <f t="shared" si="161"/>
        <v>0</v>
      </c>
      <c r="DR34" s="29">
        <f t="shared" si="161"/>
        <v>0</v>
      </c>
      <c r="DS34" s="55">
        <f>IF($AY$34=0,1,DQ34/$AY$34-1)</f>
        <v>1</v>
      </c>
      <c r="DT34" s="55">
        <f>IF($AZ$34=0,1,DR34/$AZ$34-1)</f>
        <v>1</v>
      </c>
      <c r="DU34" s="55">
        <f>IF($E$34=0,1,DQ34/$E$34-1)</f>
        <v>-1</v>
      </c>
      <c r="DV34" s="55">
        <f>IF($E$34=0,1,DR34/$E$34-1)</f>
        <v>-1</v>
      </c>
      <c r="DW34" s="2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  <c r="IW34" s="65"/>
      <c r="IX34" s="65"/>
      <c r="IY34" s="65"/>
      <c r="IZ34" s="65"/>
      <c r="JA34" s="65"/>
      <c r="JB34" s="65"/>
      <c r="JC34" s="65"/>
      <c r="JD34" s="65"/>
      <c r="JE34" s="65"/>
      <c r="JF34" s="65"/>
      <c r="JG34" s="65"/>
      <c r="JH34" s="65"/>
    </row>
    <row r="35" spans="1:268" s="66" customFormat="1" ht="18" customHeight="1">
      <c r="A35" s="401" t="s">
        <v>93</v>
      </c>
      <c r="B35" s="402"/>
      <c r="C35" s="29">
        <f>'[1]прогноз '!B41</f>
        <v>-3733.2</v>
      </c>
      <c r="D35" s="29">
        <f>'[1]прогноз '!C41</f>
        <v>-3733.155999999999</v>
      </c>
      <c r="E35" s="26">
        <f t="shared" si="110"/>
        <v>-5136.5</v>
      </c>
      <c r="F35" s="29">
        <f t="shared" si="110"/>
        <v>-5136.8</v>
      </c>
      <c r="G35" s="31">
        <v>-4807</v>
      </c>
      <c r="H35" s="31">
        <v>-4807</v>
      </c>
      <c r="I35" s="31">
        <v>0</v>
      </c>
      <c r="J35" s="31">
        <v>0</v>
      </c>
      <c r="K35" s="26">
        <f t="shared" si="111"/>
        <v>-4807</v>
      </c>
      <c r="L35" s="26">
        <f t="shared" si="111"/>
        <v>-4807</v>
      </c>
      <c r="M35" s="31">
        <v>0</v>
      </c>
      <c r="N35" s="31">
        <v>0</v>
      </c>
      <c r="O35" s="26">
        <f t="shared" si="112"/>
        <v>-4807</v>
      </c>
      <c r="P35" s="26">
        <f t="shared" si="112"/>
        <v>-4807</v>
      </c>
      <c r="Q35" s="31">
        <v>0</v>
      </c>
      <c r="R35" s="31">
        <v>0</v>
      </c>
      <c r="S35" s="26">
        <f t="shared" si="113"/>
        <v>-4807</v>
      </c>
      <c r="T35" s="26">
        <f t="shared" si="113"/>
        <v>-4807</v>
      </c>
      <c r="U35" s="31">
        <v>0</v>
      </c>
      <c r="V35" s="31">
        <v>0</v>
      </c>
      <c r="W35" s="26">
        <f t="shared" si="114"/>
        <v>-4807</v>
      </c>
      <c r="X35" s="26">
        <f t="shared" si="114"/>
        <v>-4807</v>
      </c>
      <c r="Y35" s="31">
        <v>0</v>
      </c>
      <c r="Z35" s="31">
        <v>0</v>
      </c>
      <c r="AA35" s="26">
        <f t="shared" si="115"/>
        <v>-4807</v>
      </c>
      <c r="AB35" s="26">
        <f t="shared" si="115"/>
        <v>-4807</v>
      </c>
      <c r="AC35" s="31">
        <v>0</v>
      </c>
      <c r="AD35" s="31">
        <v>0</v>
      </c>
      <c r="AE35" s="26">
        <f t="shared" si="116"/>
        <v>-4807</v>
      </c>
      <c r="AF35" s="26">
        <f t="shared" si="116"/>
        <v>-4807</v>
      </c>
      <c r="AG35" s="31">
        <f>-4807-G35-I35-M35-Q35-U35-Y35-AC35</f>
        <v>0</v>
      </c>
      <c r="AH35" s="31">
        <f>-4807-H35-J35-N35-R35-V35-Z35-AD35</f>
        <v>0</v>
      </c>
      <c r="AI35" s="26">
        <f t="shared" si="147"/>
        <v>-4807</v>
      </c>
      <c r="AJ35" s="26">
        <f t="shared" si="147"/>
        <v>-4807</v>
      </c>
      <c r="AK35" s="31">
        <v>0</v>
      </c>
      <c r="AL35" s="23">
        <v>0</v>
      </c>
      <c r="AM35" s="26">
        <f t="shared" si="148"/>
        <v>-4807</v>
      </c>
      <c r="AN35" s="26">
        <f t="shared" si="148"/>
        <v>-4807</v>
      </c>
      <c r="AO35" s="31">
        <v>0</v>
      </c>
      <c r="AP35" s="31">
        <v>0</v>
      </c>
      <c r="AQ35" s="26">
        <f t="shared" si="149"/>
        <v>-4807</v>
      </c>
      <c r="AR35" s="26">
        <f t="shared" si="149"/>
        <v>-4807</v>
      </c>
      <c r="AS35" s="31">
        <v>-3</v>
      </c>
      <c r="AT35" s="31">
        <v>-3.3</v>
      </c>
      <c r="AU35" s="26">
        <f t="shared" si="150"/>
        <v>-4810</v>
      </c>
      <c r="AV35" s="26">
        <f t="shared" si="150"/>
        <v>-4810.3</v>
      </c>
      <c r="AW35" s="31">
        <f>0+AX35</f>
        <v>-326.5</v>
      </c>
      <c r="AX35" s="31">
        <v>-326.5</v>
      </c>
      <c r="AY35" s="31">
        <v>0</v>
      </c>
      <c r="AZ35" s="31">
        <v>0</v>
      </c>
      <c r="BA35" s="55">
        <f t="shared" si="137"/>
        <v>-1</v>
      </c>
      <c r="BB35" s="55">
        <f t="shared" si="137"/>
        <v>-1</v>
      </c>
      <c r="BC35" s="31">
        <v>-1362</v>
      </c>
      <c r="BD35" s="31">
        <v>-1362.4</v>
      </c>
      <c r="BE35" s="31">
        <v>0</v>
      </c>
      <c r="BF35" s="31">
        <v>0</v>
      </c>
      <c r="BG35" s="26">
        <f t="shared" si="151"/>
        <v>-1362</v>
      </c>
      <c r="BH35" s="26">
        <f t="shared" si="151"/>
        <v>-1362.4</v>
      </c>
      <c r="BI35" s="55">
        <f t="shared" si="22"/>
        <v>-0.7166631995007281</v>
      </c>
      <c r="BJ35" s="55">
        <f t="shared" si="22"/>
        <v>-0.71657998751820262</v>
      </c>
      <c r="BK35" s="31">
        <v>0</v>
      </c>
      <c r="BL35" s="31">
        <v>0</v>
      </c>
      <c r="BM35" s="26">
        <f t="shared" si="152"/>
        <v>-1362</v>
      </c>
      <c r="BN35" s="26">
        <f t="shared" si="152"/>
        <v>-1362.4</v>
      </c>
      <c r="BO35" s="55">
        <f t="shared" si="24"/>
        <v>-0.7166631995007281</v>
      </c>
      <c r="BP35" s="55">
        <f t="shared" si="24"/>
        <v>-0.71657998751820262</v>
      </c>
      <c r="BQ35" s="31"/>
      <c r="BR35" s="31"/>
      <c r="BS35" s="26">
        <f t="shared" si="153"/>
        <v>-1362</v>
      </c>
      <c r="BT35" s="26">
        <f t="shared" si="153"/>
        <v>-1362.4</v>
      </c>
      <c r="BU35" s="55">
        <f t="shared" si="25"/>
        <v>-0.7166631995007281</v>
      </c>
      <c r="BV35" s="55">
        <f t="shared" si="25"/>
        <v>-0.71657998751820262</v>
      </c>
      <c r="BW35" s="31"/>
      <c r="BX35" s="31"/>
      <c r="BY35" s="26">
        <f t="shared" si="154"/>
        <v>-1362</v>
      </c>
      <c r="BZ35" s="26">
        <f t="shared" si="154"/>
        <v>-1362.4</v>
      </c>
      <c r="CA35" s="55">
        <f t="shared" si="27"/>
        <v>-0.7166631995007281</v>
      </c>
      <c r="CB35" s="55">
        <f t="shared" si="27"/>
        <v>-0.71657998751820262</v>
      </c>
      <c r="CC35" s="31"/>
      <c r="CD35" s="31"/>
      <c r="CE35" s="26">
        <f t="shared" si="155"/>
        <v>-1362</v>
      </c>
      <c r="CF35" s="26">
        <f t="shared" si="155"/>
        <v>-1362.4</v>
      </c>
      <c r="CG35" s="55">
        <f t="shared" si="29"/>
        <v>-0.7166631995007281</v>
      </c>
      <c r="CH35" s="55">
        <f t="shared" si="29"/>
        <v>-0.71657998751820262</v>
      </c>
      <c r="CI35" s="31"/>
      <c r="CJ35" s="31"/>
      <c r="CK35" s="26">
        <f t="shared" si="156"/>
        <v>-1362</v>
      </c>
      <c r="CL35" s="26">
        <f t="shared" si="156"/>
        <v>-1362.4</v>
      </c>
      <c r="CM35" s="55">
        <f t="shared" si="31"/>
        <v>-0.7166631995007281</v>
      </c>
      <c r="CN35" s="55">
        <f t="shared" si="31"/>
        <v>-0.71657998751820262</v>
      </c>
      <c r="CO35" s="31"/>
      <c r="CP35" s="31"/>
      <c r="CQ35" s="26">
        <f t="shared" si="157"/>
        <v>-1362</v>
      </c>
      <c r="CR35" s="26">
        <f t="shared" si="157"/>
        <v>-1362.4</v>
      </c>
      <c r="CS35" s="55">
        <f t="shared" si="33"/>
        <v>-0.7166631995007281</v>
      </c>
      <c r="CT35" s="55">
        <f t="shared" si="33"/>
        <v>-0.71657998751820262</v>
      </c>
      <c r="CU35" s="31"/>
      <c r="CV35" s="31"/>
      <c r="CW35" s="26">
        <f t="shared" si="158"/>
        <v>-1362</v>
      </c>
      <c r="CX35" s="26">
        <f t="shared" si="158"/>
        <v>-1362.4</v>
      </c>
      <c r="CY35" s="55">
        <f t="shared" si="35"/>
        <v>-0.7166631995007281</v>
      </c>
      <c r="CZ35" s="55">
        <f t="shared" si="35"/>
        <v>-0.71657998751820262</v>
      </c>
      <c r="DA35" s="31"/>
      <c r="DB35" s="31"/>
      <c r="DC35" s="26">
        <f t="shared" si="159"/>
        <v>-1362</v>
      </c>
      <c r="DD35" s="26">
        <f t="shared" si="159"/>
        <v>-1362.4</v>
      </c>
      <c r="DE35" s="55">
        <f t="shared" si="37"/>
        <v>-0.7166631995007281</v>
      </c>
      <c r="DF35" s="55">
        <f t="shared" si="37"/>
        <v>-0.71657998751820262</v>
      </c>
      <c r="DG35" s="31"/>
      <c r="DH35" s="31"/>
      <c r="DI35" s="26">
        <f t="shared" si="160"/>
        <v>-1362</v>
      </c>
      <c r="DJ35" s="26">
        <f t="shared" si="160"/>
        <v>-1362.4</v>
      </c>
      <c r="DK35" s="55">
        <f t="shared" si="39"/>
        <v>-0.71683991683991688</v>
      </c>
      <c r="DL35" s="55">
        <f t="shared" si="39"/>
        <v>-0.71677442155374926</v>
      </c>
      <c r="DM35" s="31"/>
      <c r="DN35" s="31"/>
      <c r="DO35" s="31"/>
      <c r="DP35" s="31"/>
      <c r="DQ35" s="29">
        <v>-1362</v>
      </c>
      <c r="DR35" s="29">
        <v>-1362</v>
      </c>
      <c r="DS35" s="55">
        <f>IF($AY$35=0,1,DQ35/$AY$35-1)</f>
        <v>1</v>
      </c>
      <c r="DT35" s="55">
        <f>IF($AZ$35=0,1,DR35/$AZ$35-1)</f>
        <v>1</v>
      </c>
      <c r="DU35" s="55">
        <f>IF($E$35=0,1,DQ35/$E$35-1)</f>
        <v>-0.73483889808235181</v>
      </c>
      <c r="DV35" s="55">
        <f>IF($E$35=0,1,DR35/$E$35-1)</f>
        <v>-0.73483889808235181</v>
      </c>
      <c r="DW35" s="2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  <c r="IW35" s="65"/>
      <c r="IX35" s="65"/>
      <c r="IY35" s="65"/>
      <c r="IZ35" s="65"/>
      <c r="JA35" s="65"/>
      <c r="JB35" s="65"/>
      <c r="JC35" s="65"/>
      <c r="JD35" s="65"/>
      <c r="JE35" s="65"/>
      <c r="JF35" s="65"/>
      <c r="JG35" s="65"/>
      <c r="JH35" s="65"/>
    </row>
    <row r="36" spans="1:268" s="18" customFormat="1" ht="23.25" customHeight="1">
      <c r="A36" s="286" t="s">
        <v>49</v>
      </c>
      <c r="B36" s="287"/>
      <c r="C36" s="17">
        <f>C37+C42+C43+C44+C45+C46</f>
        <v>199781.19999999998</v>
      </c>
      <c r="D36" s="17">
        <f t="shared" ref="D36:AZ36" si="162">D37+D42+D43+D44+D45+D46</f>
        <v>593178.4</v>
      </c>
      <c r="E36" s="17">
        <f t="shared" si="162"/>
        <v>672833.8</v>
      </c>
      <c r="F36" s="17">
        <f t="shared" si="162"/>
        <v>699665.49999999988</v>
      </c>
      <c r="G36" s="17">
        <f t="shared" si="162"/>
        <v>25448.699999999997</v>
      </c>
      <c r="H36" s="17">
        <f t="shared" si="162"/>
        <v>21186</v>
      </c>
      <c r="I36" s="17">
        <f t="shared" si="162"/>
        <v>56836.800000000003</v>
      </c>
      <c r="J36" s="17">
        <f t="shared" si="162"/>
        <v>49861.500000000007</v>
      </c>
      <c r="K36" s="17">
        <f t="shared" si="162"/>
        <v>82285.5</v>
      </c>
      <c r="L36" s="17">
        <f t="shared" si="162"/>
        <v>71047.5</v>
      </c>
      <c r="M36" s="17">
        <f t="shared" si="162"/>
        <v>57653.8</v>
      </c>
      <c r="N36" s="17">
        <f t="shared" si="162"/>
        <v>49050.600000000006</v>
      </c>
      <c r="O36" s="17">
        <f t="shared" si="162"/>
        <v>139939.29999999999</v>
      </c>
      <c r="P36" s="17">
        <f t="shared" si="162"/>
        <v>120098.1</v>
      </c>
      <c r="Q36" s="17">
        <f t="shared" si="162"/>
        <v>61122.2</v>
      </c>
      <c r="R36" s="17">
        <f t="shared" si="162"/>
        <v>51207.4</v>
      </c>
      <c r="S36" s="17">
        <f t="shared" si="162"/>
        <v>201061.49999999997</v>
      </c>
      <c r="T36" s="17">
        <f t="shared" si="162"/>
        <v>171305.49999999997</v>
      </c>
      <c r="U36" s="17">
        <f t="shared" si="162"/>
        <v>63121.4</v>
      </c>
      <c r="V36" s="17">
        <f t="shared" si="162"/>
        <v>62028.3</v>
      </c>
      <c r="W36" s="17">
        <f t="shared" si="162"/>
        <v>264182.89999999997</v>
      </c>
      <c r="X36" s="17">
        <f t="shared" si="162"/>
        <v>233333.8</v>
      </c>
      <c r="Y36" s="17">
        <f t="shared" si="162"/>
        <v>108755.2</v>
      </c>
      <c r="Z36" s="17">
        <f t="shared" si="162"/>
        <v>108935.59999999999</v>
      </c>
      <c r="AA36" s="17">
        <f t="shared" si="162"/>
        <v>372938.1</v>
      </c>
      <c r="AB36" s="17">
        <f t="shared" si="162"/>
        <v>342269.39999999997</v>
      </c>
      <c r="AC36" s="17">
        <f t="shared" si="162"/>
        <v>68470.2</v>
      </c>
      <c r="AD36" s="17">
        <f t="shared" si="162"/>
        <v>62143.399999999994</v>
      </c>
      <c r="AE36" s="17">
        <f t="shared" si="162"/>
        <v>441408.29999999993</v>
      </c>
      <c r="AF36" s="17">
        <f t="shared" si="162"/>
        <v>404412.8</v>
      </c>
      <c r="AG36" s="17">
        <f t="shared" si="162"/>
        <v>45099.7</v>
      </c>
      <c r="AH36" s="17">
        <f t="shared" si="162"/>
        <v>40011.300000000003</v>
      </c>
      <c r="AI36" s="17">
        <f t="shared" si="162"/>
        <v>486507.99999999994</v>
      </c>
      <c r="AJ36" s="17">
        <f t="shared" si="162"/>
        <v>444424.10000000003</v>
      </c>
      <c r="AK36" s="17">
        <f t="shared" si="162"/>
        <v>59198.400000000001</v>
      </c>
      <c r="AL36" s="17">
        <f t="shared" si="162"/>
        <v>49335.1</v>
      </c>
      <c r="AM36" s="17">
        <f t="shared" si="162"/>
        <v>545706.39999999991</v>
      </c>
      <c r="AN36" s="17">
        <f t="shared" si="162"/>
        <v>493759.19999999995</v>
      </c>
      <c r="AO36" s="17">
        <f t="shared" si="162"/>
        <v>59343.3</v>
      </c>
      <c r="AP36" s="17">
        <f t="shared" si="162"/>
        <v>52802.299999999996</v>
      </c>
      <c r="AQ36" s="17">
        <f t="shared" si="162"/>
        <v>605049.69999999995</v>
      </c>
      <c r="AR36" s="17">
        <f t="shared" si="162"/>
        <v>546561.5</v>
      </c>
      <c r="AS36" s="17">
        <f t="shared" si="162"/>
        <v>23337.5</v>
      </c>
      <c r="AT36" s="17">
        <f t="shared" si="162"/>
        <v>54007.200000000004</v>
      </c>
      <c r="AU36" s="17">
        <f t="shared" si="162"/>
        <v>628387.19999999995</v>
      </c>
      <c r="AV36" s="17">
        <f t="shared" si="162"/>
        <v>600568.70000000007</v>
      </c>
      <c r="AW36" s="17">
        <f t="shared" si="162"/>
        <v>54765.600000000006</v>
      </c>
      <c r="AX36" s="17">
        <f t="shared" si="162"/>
        <v>99096.8</v>
      </c>
      <c r="AY36" s="17">
        <f t="shared" si="162"/>
        <v>613667.4</v>
      </c>
      <c r="AZ36" s="17">
        <f t="shared" si="162"/>
        <v>592228.6</v>
      </c>
      <c r="BA36" s="19">
        <f t="shared" si="137"/>
        <v>-8.7936129249154837E-2</v>
      </c>
      <c r="BB36" s="19">
        <f t="shared" si="137"/>
        <v>-0.15355466290677466</v>
      </c>
      <c r="BC36" s="17">
        <f t="shared" ref="BC36:DN36" si="163">BC37+BC42+BC43+BC44+BC45+BC46</f>
        <v>25618.700000000004</v>
      </c>
      <c r="BD36" s="17">
        <f t="shared" si="163"/>
        <v>24445.800000000003</v>
      </c>
      <c r="BE36" s="17">
        <f t="shared" si="163"/>
        <v>51669.9</v>
      </c>
      <c r="BF36" s="17">
        <f t="shared" si="163"/>
        <v>50536.100000000006</v>
      </c>
      <c r="BG36" s="17">
        <f t="shared" si="163"/>
        <v>77288.599999999991</v>
      </c>
      <c r="BH36" s="17">
        <f t="shared" si="163"/>
        <v>74981.900000000009</v>
      </c>
      <c r="BI36" s="19">
        <f t="shared" si="22"/>
        <v>-6.0726373419375368E-2</v>
      </c>
      <c r="BJ36" s="19">
        <f t="shared" si="22"/>
        <v>5.5377036489672626E-2</v>
      </c>
      <c r="BK36" s="17">
        <f t="shared" si="163"/>
        <v>51704.3</v>
      </c>
      <c r="BL36" s="17">
        <f t="shared" si="163"/>
        <v>45872.5</v>
      </c>
      <c r="BM36" s="17">
        <f t="shared" si="163"/>
        <v>128992.9</v>
      </c>
      <c r="BN36" s="17">
        <f t="shared" si="163"/>
        <v>120854.39999999999</v>
      </c>
      <c r="BO36" s="19">
        <f t="shared" si="24"/>
        <v>-7.8222486463773944E-2</v>
      </c>
      <c r="BP36" s="19">
        <f t="shared" si="24"/>
        <v>6.2973519148095125E-3</v>
      </c>
      <c r="BQ36" s="17">
        <f t="shared" si="163"/>
        <v>0</v>
      </c>
      <c r="BR36" s="17">
        <f t="shared" si="163"/>
        <v>0</v>
      </c>
      <c r="BS36" s="17">
        <f t="shared" si="163"/>
        <v>128992.9</v>
      </c>
      <c r="BT36" s="17">
        <f t="shared" si="163"/>
        <v>120854.39999999999</v>
      </c>
      <c r="BU36" s="19">
        <f t="shared" si="25"/>
        <v>-0.35844057663948592</v>
      </c>
      <c r="BV36" s="19">
        <f t="shared" si="25"/>
        <v>-0.29450951662380942</v>
      </c>
      <c r="BW36" s="17">
        <f t="shared" si="163"/>
        <v>0</v>
      </c>
      <c r="BX36" s="17">
        <f t="shared" si="163"/>
        <v>0</v>
      </c>
      <c r="BY36" s="17">
        <f t="shared" si="163"/>
        <v>128992.9</v>
      </c>
      <c r="BZ36" s="17">
        <f t="shared" si="163"/>
        <v>120854.39999999999</v>
      </c>
      <c r="CA36" s="19">
        <f t="shared" si="27"/>
        <v>-0.51172880606579763</v>
      </c>
      <c r="CB36" s="19">
        <f t="shared" si="27"/>
        <v>-0.48205360732135683</v>
      </c>
      <c r="CC36" s="17">
        <f t="shared" si="163"/>
        <v>0</v>
      </c>
      <c r="CD36" s="17">
        <f t="shared" si="163"/>
        <v>0</v>
      </c>
      <c r="CE36" s="17">
        <f t="shared" si="163"/>
        <v>128992.9</v>
      </c>
      <c r="CF36" s="17">
        <f t="shared" si="163"/>
        <v>120854.39999999999</v>
      </c>
      <c r="CG36" s="19">
        <f t="shared" si="29"/>
        <v>-0.65411713096623814</v>
      </c>
      <c r="CH36" s="19">
        <f t="shared" si="29"/>
        <v>-0.64690270295854668</v>
      </c>
      <c r="CI36" s="17">
        <f t="shared" si="163"/>
        <v>0</v>
      </c>
      <c r="CJ36" s="17">
        <f t="shared" si="163"/>
        <v>0</v>
      </c>
      <c r="CK36" s="17">
        <f t="shared" si="163"/>
        <v>128992.9</v>
      </c>
      <c r="CL36" s="17">
        <f t="shared" si="163"/>
        <v>120854.39999999999</v>
      </c>
      <c r="CM36" s="19">
        <f t="shared" si="31"/>
        <v>-0.70776965453526808</v>
      </c>
      <c r="CN36" s="19">
        <f t="shared" si="31"/>
        <v>-0.70116079411927612</v>
      </c>
      <c r="CO36" s="17">
        <f t="shared" si="163"/>
        <v>0</v>
      </c>
      <c r="CP36" s="17">
        <f t="shared" si="163"/>
        <v>0</v>
      </c>
      <c r="CQ36" s="17">
        <f t="shared" si="163"/>
        <v>128992.9</v>
      </c>
      <c r="CR36" s="17">
        <f t="shared" si="163"/>
        <v>120854.39999999999</v>
      </c>
      <c r="CS36" s="19">
        <f t="shared" si="33"/>
        <v>-0.73485965287312849</v>
      </c>
      <c r="CT36" s="19">
        <f t="shared" si="33"/>
        <v>-0.72806515218234114</v>
      </c>
      <c r="CU36" s="17">
        <f t="shared" si="163"/>
        <v>0</v>
      </c>
      <c r="CV36" s="17">
        <f t="shared" si="163"/>
        <v>0</v>
      </c>
      <c r="CW36" s="17">
        <f t="shared" si="163"/>
        <v>128992.9</v>
      </c>
      <c r="CX36" s="17">
        <f t="shared" si="163"/>
        <v>120854.39999999999</v>
      </c>
      <c r="CY36" s="19">
        <f t="shared" si="35"/>
        <v>-0.76362216019456608</v>
      </c>
      <c r="CZ36" s="19">
        <f t="shared" si="35"/>
        <v>-0.75523615559973356</v>
      </c>
      <c r="DA36" s="17">
        <f t="shared" si="163"/>
        <v>0</v>
      </c>
      <c r="DB36" s="17">
        <f t="shared" si="163"/>
        <v>0</v>
      </c>
      <c r="DC36" s="17">
        <f t="shared" si="163"/>
        <v>128992.9</v>
      </c>
      <c r="DD36" s="17">
        <f t="shared" si="163"/>
        <v>120854.39999999999</v>
      </c>
      <c r="DE36" s="19">
        <f t="shared" si="37"/>
        <v>-0.78680610865520628</v>
      </c>
      <c r="DF36" s="19">
        <f t="shared" si="37"/>
        <v>-0.77888233986477284</v>
      </c>
      <c r="DG36" s="17">
        <f t="shared" si="163"/>
        <v>0</v>
      </c>
      <c r="DH36" s="17">
        <f t="shared" si="163"/>
        <v>0</v>
      </c>
      <c r="DI36" s="17">
        <f t="shared" si="163"/>
        <v>128992.9</v>
      </c>
      <c r="DJ36" s="17">
        <f t="shared" si="163"/>
        <v>120854.39999999999</v>
      </c>
      <c r="DK36" s="19">
        <f t="shared" si="39"/>
        <v>-0.79472385815624502</v>
      </c>
      <c r="DL36" s="19">
        <f t="shared" si="39"/>
        <v>-0.79876673559577782</v>
      </c>
      <c r="DM36" s="17">
        <f t="shared" si="163"/>
        <v>0</v>
      </c>
      <c r="DN36" s="17">
        <f t="shared" si="163"/>
        <v>0</v>
      </c>
      <c r="DO36" s="17">
        <f t="shared" ref="DO36:DR36" si="164">DO37+DO42+DO43+DO44+DO45+DO46</f>
        <v>0</v>
      </c>
      <c r="DP36" s="17">
        <f t="shared" si="164"/>
        <v>0</v>
      </c>
      <c r="DQ36" s="17">
        <f t="shared" si="164"/>
        <v>613667.4</v>
      </c>
      <c r="DR36" s="17">
        <f t="shared" si="164"/>
        <v>594073.69999999995</v>
      </c>
      <c r="DS36" s="19">
        <f>IF($AY$36=0,1,DQ36/$AY$36-1)</f>
        <v>0</v>
      </c>
      <c r="DT36" s="19">
        <f>IF($AZ$36=0,1,DR36/$AZ$36-1)</f>
        <v>3.1155199191663652E-3</v>
      </c>
      <c r="DU36" s="19">
        <f>IF($E$36=0,1,DQ36/$E$36-1)</f>
        <v>-8.7936129249154837E-2</v>
      </c>
      <c r="DV36" s="19">
        <f>IF($E$36=0,1,DR36/$E$36-1)</f>
        <v>-0.11705728814456129</v>
      </c>
      <c r="DW36" s="21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</row>
    <row r="37" spans="1:268" s="68" customFormat="1" ht="19.5" customHeight="1">
      <c r="A37" s="411" t="s">
        <v>100</v>
      </c>
      <c r="B37" s="412"/>
      <c r="C37" s="53">
        <f>C38+C39+C40+C41</f>
        <v>51395.199999999997</v>
      </c>
      <c r="D37" s="53">
        <f t="shared" ref="D37:AZ37" si="165">D38+D39+D40+D41</f>
        <v>453977.60000000003</v>
      </c>
      <c r="E37" s="53">
        <f t="shared" si="165"/>
        <v>439466.4</v>
      </c>
      <c r="F37" s="53">
        <f t="shared" si="165"/>
        <v>483762.2</v>
      </c>
      <c r="G37" s="53">
        <f t="shared" si="165"/>
        <v>17916.599999999999</v>
      </c>
      <c r="H37" s="53">
        <f t="shared" si="165"/>
        <v>15930.8</v>
      </c>
      <c r="I37" s="53">
        <f t="shared" si="165"/>
        <v>45203.199999999997</v>
      </c>
      <c r="J37" s="53">
        <f t="shared" si="165"/>
        <v>40621.5</v>
      </c>
      <c r="K37" s="53">
        <f t="shared" si="165"/>
        <v>63119.8</v>
      </c>
      <c r="L37" s="53">
        <f t="shared" si="165"/>
        <v>56552.3</v>
      </c>
      <c r="M37" s="53">
        <f t="shared" si="165"/>
        <v>45264.800000000003</v>
      </c>
      <c r="N37" s="53">
        <f t="shared" si="165"/>
        <v>39330.199999999997</v>
      </c>
      <c r="O37" s="53">
        <f t="shared" si="165"/>
        <v>108384.6</v>
      </c>
      <c r="P37" s="53">
        <f t="shared" si="165"/>
        <v>95882.5</v>
      </c>
      <c r="Q37" s="53">
        <f t="shared" si="165"/>
        <v>46118.7</v>
      </c>
      <c r="R37" s="53">
        <f t="shared" si="165"/>
        <v>39815</v>
      </c>
      <c r="S37" s="53">
        <f t="shared" si="165"/>
        <v>154503.29999999999</v>
      </c>
      <c r="T37" s="53">
        <f t="shared" si="165"/>
        <v>135697.5</v>
      </c>
      <c r="U37" s="53">
        <f t="shared" si="165"/>
        <v>47591.4</v>
      </c>
      <c r="V37" s="53">
        <f t="shared" si="165"/>
        <v>43692.7</v>
      </c>
      <c r="W37" s="53">
        <f t="shared" si="165"/>
        <v>202094.69999999998</v>
      </c>
      <c r="X37" s="53">
        <f t="shared" si="165"/>
        <v>179390.19999999998</v>
      </c>
      <c r="Y37" s="53">
        <f t="shared" si="165"/>
        <v>69650.5</v>
      </c>
      <c r="Z37" s="53">
        <f t="shared" si="165"/>
        <v>64010.799999999996</v>
      </c>
      <c r="AA37" s="53">
        <f t="shared" si="165"/>
        <v>271745.2</v>
      </c>
      <c r="AB37" s="53">
        <f t="shared" si="165"/>
        <v>243400.99999999997</v>
      </c>
      <c r="AC37" s="53">
        <f t="shared" si="165"/>
        <v>49830.400000000001</v>
      </c>
      <c r="AD37" s="53">
        <f t="shared" si="165"/>
        <v>43792</v>
      </c>
      <c r="AE37" s="53">
        <f t="shared" si="165"/>
        <v>321575.59999999998</v>
      </c>
      <c r="AF37" s="53">
        <f t="shared" si="165"/>
        <v>287193</v>
      </c>
      <c r="AG37" s="53">
        <f t="shared" si="165"/>
        <v>28730.5</v>
      </c>
      <c r="AH37" s="53">
        <f t="shared" si="165"/>
        <v>24694.5</v>
      </c>
      <c r="AI37" s="53">
        <f t="shared" si="165"/>
        <v>350306.1</v>
      </c>
      <c r="AJ37" s="53">
        <f t="shared" si="165"/>
        <v>311887.5</v>
      </c>
      <c r="AK37" s="53">
        <f t="shared" si="165"/>
        <v>33295.599999999999</v>
      </c>
      <c r="AL37" s="53">
        <f t="shared" si="165"/>
        <v>28946.7</v>
      </c>
      <c r="AM37" s="53">
        <f t="shared" si="165"/>
        <v>383601.7</v>
      </c>
      <c r="AN37" s="53">
        <f t="shared" si="165"/>
        <v>340834.19999999995</v>
      </c>
      <c r="AO37" s="53">
        <f t="shared" si="165"/>
        <v>43187.5</v>
      </c>
      <c r="AP37" s="53">
        <f t="shared" si="165"/>
        <v>39053.5</v>
      </c>
      <c r="AQ37" s="53">
        <f t="shared" si="165"/>
        <v>426789.2</v>
      </c>
      <c r="AR37" s="53">
        <f t="shared" si="165"/>
        <v>379887.7</v>
      </c>
      <c r="AS37" s="53">
        <f t="shared" si="165"/>
        <v>4556.1000000000004</v>
      </c>
      <c r="AT37" s="53">
        <f t="shared" si="165"/>
        <v>38480.100000000006</v>
      </c>
      <c r="AU37" s="53">
        <f t="shared" si="165"/>
        <v>431345.3</v>
      </c>
      <c r="AV37" s="53">
        <f t="shared" si="165"/>
        <v>418367.80000000005</v>
      </c>
      <c r="AW37" s="53">
        <f t="shared" si="165"/>
        <v>8121.0999999999995</v>
      </c>
      <c r="AX37" s="53">
        <f t="shared" si="165"/>
        <v>65394.400000000001</v>
      </c>
      <c r="AY37" s="53">
        <f t="shared" si="165"/>
        <v>524605.4</v>
      </c>
      <c r="AZ37" s="53">
        <f t="shared" si="165"/>
        <v>457281.2</v>
      </c>
      <c r="BA37" s="54">
        <f t="shared" si="137"/>
        <v>0.19373267216788359</v>
      </c>
      <c r="BB37" s="54">
        <f t="shared" si="137"/>
        <v>-5.4739704755766394E-2</v>
      </c>
      <c r="BC37" s="53">
        <f t="shared" ref="BC37:DN37" si="166">BC38+BC39+BC40+BC41</f>
        <v>22046.700000000004</v>
      </c>
      <c r="BD37" s="53">
        <f t="shared" si="166"/>
        <v>20092.900000000001</v>
      </c>
      <c r="BE37" s="53">
        <f t="shared" si="166"/>
        <v>45808.6</v>
      </c>
      <c r="BF37" s="53">
        <f t="shared" si="166"/>
        <v>40669.9</v>
      </c>
      <c r="BG37" s="53">
        <f t="shared" si="166"/>
        <v>67855.299999999988</v>
      </c>
      <c r="BH37" s="53">
        <f t="shared" si="166"/>
        <v>60762.8</v>
      </c>
      <c r="BI37" s="54">
        <f t="shared" si="22"/>
        <v>7.5024001977192389E-2</v>
      </c>
      <c r="BJ37" s="54">
        <f t="shared" si="22"/>
        <v>7.4453205263092848E-2</v>
      </c>
      <c r="BK37" s="53">
        <f t="shared" si="166"/>
        <v>43496.3</v>
      </c>
      <c r="BL37" s="53">
        <f t="shared" si="166"/>
        <v>37970.6</v>
      </c>
      <c r="BM37" s="53">
        <f t="shared" si="166"/>
        <v>111351.59999999999</v>
      </c>
      <c r="BN37" s="53">
        <f t="shared" si="166"/>
        <v>98733.4</v>
      </c>
      <c r="BO37" s="54">
        <f t="shared" si="24"/>
        <v>2.737473773949417E-2</v>
      </c>
      <c r="BP37" s="54">
        <f t="shared" si="24"/>
        <v>2.9733267280264819E-2</v>
      </c>
      <c r="BQ37" s="53">
        <f t="shared" si="166"/>
        <v>0</v>
      </c>
      <c r="BR37" s="53">
        <f t="shared" si="166"/>
        <v>0</v>
      </c>
      <c r="BS37" s="53">
        <f t="shared" si="166"/>
        <v>111351.59999999999</v>
      </c>
      <c r="BT37" s="53">
        <f t="shared" si="166"/>
        <v>98733.4</v>
      </c>
      <c r="BU37" s="54">
        <f t="shared" si="25"/>
        <v>-0.27929306364330087</v>
      </c>
      <c r="BV37" s="54">
        <f t="shared" si="25"/>
        <v>-0.27240074430258487</v>
      </c>
      <c r="BW37" s="53">
        <f t="shared" si="166"/>
        <v>0</v>
      </c>
      <c r="BX37" s="53">
        <f t="shared" si="166"/>
        <v>0</v>
      </c>
      <c r="BY37" s="53">
        <f t="shared" si="166"/>
        <v>111351.59999999999</v>
      </c>
      <c r="BZ37" s="53">
        <f t="shared" si="166"/>
        <v>98733.4</v>
      </c>
      <c r="CA37" s="54">
        <f t="shared" si="27"/>
        <v>-0.44901276480778562</v>
      </c>
      <c r="CB37" s="54">
        <f t="shared" si="27"/>
        <v>-0.44961653423654135</v>
      </c>
      <c r="CC37" s="53">
        <f t="shared" si="166"/>
        <v>0</v>
      </c>
      <c r="CD37" s="53">
        <f t="shared" si="166"/>
        <v>0</v>
      </c>
      <c r="CE37" s="53">
        <f t="shared" si="166"/>
        <v>111351.59999999999</v>
      </c>
      <c r="CF37" s="53">
        <f t="shared" si="166"/>
        <v>98733.4</v>
      </c>
      <c r="CG37" s="54">
        <f t="shared" si="29"/>
        <v>-0.59023526450513208</v>
      </c>
      <c r="CH37" s="54">
        <f t="shared" si="29"/>
        <v>-0.59435910287961025</v>
      </c>
      <c r="CI37" s="53">
        <f t="shared" si="166"/>
        <v>0</v>
      </c>
      <c r="CJ37" s="53">
        <f t="shared" si="166"/>
        <v>0</v>
      </c>
      <c r="CK37" s="53">
        <f t="shared" si="166"/>
        <v>111351.59999999999</v>
      </c>
      <c r="CL37" s="53">
        <f t="shared" si="166"/>
        <v>98733.4</v>
      </c>
      <c r="CM37" s="54">
        <f t="shared" si="31"/>
        <v>-0.65373119104807698</v>
      </c>
      <c r="CN37" s="54">
        <f t="shared" si="31"/>
        <v>-0.65621237286424117</v>
      </c>
      <c r="CO37" s="53">
        <f t="shared" si="166"/>
        <v>0</v>
      </c>
      <c r="CP37" s="53">
        <f t="shared" si="166"/>
        <v>0</v>
      </c>
      <c r="CQ37" s="53">
        <f t="shared" si="166"/>
        <v>111351.59999999999</v>
      </c>
      <c r="CR37" s="53">
        <f t="shared" si="166"/>
        <v>98733.4</v>
      </c>
      <c r="CS37" s="54">
        <f t="shared" si="33"/>
        <v>-0.68213057094923557</v>
      </c>
      <c r="CT37" s="54">
        <f t="shared" si="33"/>
        <v>-0.68343264799006054</v>
      </c>
      <c r="CU37" s="53">
        <f t="shared" si="166"/>
        <v>0</v>
      </c>
      <c r="CV37" s="53">
        <f t="shared" si="166"/>
        <v>0</v>
      </c>
      <c r="CW37" s="53">
        <f t="shared" si="166"/>
        <v>111351.59999999999</v>
      </c>
      <c r="CX37" s="53">
        <f t="shared" si="166"/>
        <v>98733.4</v>
      </c>
      <c r="CY37" s="54">
        <f t="shared" si="35"/>
        <v>-0.70972078590892584</v>
      </c>
      <c r="CZ37" s="54">
        <f t="shared" si="35"/>
        <v>-0.71031838941045233</v>
      </c>
      <c r="DA37" s="53">
        <f t="shared" si="166"/>
        <v>0</v>
      </c>
      <c r="DB37" s="53">
        <f t="shared" si="166"/>
        <v>0</v>
      </c>
      <c r="DC37" s="53">
        <f t="shared" si="166"/>
        <v>111351.59999999999</v>
      </c>
      <c r="DD37" s="53">
        <f t="shared" si="166"/>
        <v>98733.4</v>
      </c>
      <c r="DE37" s="54">
        <f t="shared" si="37"/>
        <v>-0.73909461626489148</v>
      </c>
      <c r="DF37" s="54">
        <f t="shared" si="37"/>
        <v>-0.74009845541195474</v>
      </c>
      <c r="DG37" s="53">
        <f t="shared" si="166"/>
        <v>0</v>
      </c>
      <c r="DH37" s="53">
        <f t="shared" si="166"/>
        <v>0</v>
      </c>
      <c r="DI37" s="53">
        <f t="shared" si="166"/>
        <v>111351.59999999999</v>
      </c>
      <c r="DJ37" s="53">
        <f t="shared" si="166"/>
        <v>98733.4</v>
      </c>
      <c r="DK37" s="54">
        <f t="shared" si="39"/>
        <v>-0.74185043861611566</v>
      </c>
      <c r="DL37" s="54">
        <f t="shared" si="39"/>
        <v>-0.76400334825003269</v>
      </c>
      <c r="DM37" s="53">
        <f t="shared" si="166"/>
        <v>0</v>
      </c>
      <c r="DN37" s="53">
        <f t="shared" si="166"/>
        <v>0</v>
      </c>
      <c r="DO37" s="53">
        <f t="shared" ref="DO37:DR37" si="167">DO38+DO39+DO40+DO41</f>
        <v>0</v>
      </c>
      <c r="DP37" s="53">
        <f t="shared" si="167"/>
        <v>0</v>
      </c>
      <c r="DQ37" s="53">
        <f t="shared" si="167"/>
        <v>524605.4</v>
      </c>
      <c r="DR37" s="53">
        <f t="shared" si="167"/>
        <v>457481.3</v>
      </c>
      <c r="DS37" s="54">
        <f>IF($AY$37=0,1,DQ37/$AY$37-1)</f>
        <v>0</v>
      </c>
      <c r="DT37" s="54">
        <f>IF($AZ$37=0,1,DR37/$AZ$37-1)</f>
        <v>4.3758632543822173E-4</v>
      </c>
      <c r="DU37" s="54">
        <f>IF($E$37=0,1,DQ37/$E$37-1)</f>
        <v>0.19373267216788359</v>
      </c>
      <c r="DV37" s="54">
        <f>IF($E$37=0,1,DR37/$E$37-1)</f>
        <v>4.0992667471278832E-2</v>
      </c>
      <c r="DW37" s="52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</row>
    <row r="38" spans="1:268" s="64" customFormat="1" ht="18" customHeight="1">
      <c r="A38" s="292" t="s">
        <v>105</v>
      </c>
      <c r="B38" s="293"/>
      <c r="C38" s="29">
        <f>'[1]прогноз '!B44</f>
        <v>0</v>
      </c>
      <c r="D38" s="31">
        <f>'[1]прогноз '!C44</f>
        <v>255847.2</v>
      </c>
      <c r="E38" s="26">
        <f t="shared" ref="E38:F41" si="168">G38+I38+M38+Q38+U38+Y38+AC38+AG38+AK38+AO38+AS38+AW38</f>
        <v>198407.09999999998</v>
      </c>
      <c r="F38" s="31">
        <f t="shared" si="168"/>
        <v>250987.5</v>
      </c>
      <c r="G38" s="29">
        <f>11+H38</f>
        <v>6155.9</v>
      </c>
      <c r="H38" s="29">
        <v>6144.9</v>
      </c>
      <c r="I38" s="29">
        <f>69+J38</f>
        <v>21916.6</v>
      </c>
      <c r="J38" s="29">
        <v>21847.599999999999</v>
      </c>
      <c r="K38" s="26">
        <f t="shared" si="111"/>
        <v>28072.5</v>
      </c>
      <c r="L38" s="26">
        <f t="shared" si="111"/>
        <v>27992.5</v>
      </c>
      <c r="M38" s="29">
        <f>52.9+N38</f>
        <v>20957.300000000003</v>
      </c>
      <c r="N38" s="29">
        <v>20904.400000000001</v>
      </c>
      <c r="O38" s="26">
        <f t="shared" si="112"/>
        <v>49029.8</v>
      </c>
      <c r="P38" s="26">
        <f t="shared" si="112"/>
        <v>48896.9</v>
      </c>
      <c r="Q38" s="29">
        <f>84.2+R38</f>
        <v>21515.5</v>
      </c>
      <c r="R38" s="29">
        <v>21431.3</v>
      </c>
      <c r="S38" s="26">
        <f t="shared" si="113"/>
        <v>70545.3</v>
      </c>
      <c r="T38" s="26">
        <f t="shared" si="113"/>
        <v>70328.2</v>
      </c>
      <c r="U38" s="29">
        <f>35.1+V38</f>
        <v>24169.1</v>
      </c>
      <c r="V38" s="29">
        <v>24134</v>
      </c>
      <c r="W38" s="26">
        <f t="shared" si="114"/>
        <v>94714.4</v>
      </c>
      <c r="X38" s="26">
        <f t="shared" si="114"/>
        <v>94462.2</v>
      </c>
      <c r="Y38" s="29">
        <f>59.7+Z38</f>
        <v>41202.899999999994</v>
      </c>
      <c r="Z38" s="29">
        <v>41143.199999999997</v>
      </c>
      <c r="AA38" s="26">
        <f t="shared" si="115"/>
        <v>135917.29999999999</v>
      </c>
      <c r="AB38" s="26">
        <f t="shared" si="115"/>
        <v>135605.4</v>
      </c>
      <c r="AC38" s="29">
        <f>65.8+AD38</f>
        <v>20801.8</v>
      </c>
      <c r="AD38" s="29">
        <v>20736</v>
      </c>
      <c r="AE38" s="26">
        <f t="shared" si="116"/>
        <v>156719.09999999998</v>
      </c>
      <c r="AF38" s="26">
        <f t="shared" si="116"/>
        <v>156341.4</v>
      </c>
      <c r="AG38" s="29">
        <v>9123</v>
      </c>
      <c r="AH38" s="29">
        <v>8993.7000000000007</v>
      </c>
      <c r="AI38" s="26">
        <f t="shared" ref="AI38:AJ39" si="169">AE38+AG38</f>
        <v>165842.09999999998</v>
      </c>
      <c r="AJ38" s="26">
        <f t="shared" si="169"/>
        <v>165335.1</v>
      </c>
      <c r="AK38" s="29">
        <v>12950</v>
      </c>
      <c r="AL38" s="29">
        <v>12909.5</v>
      </c>
      <c r="AM38" s="26">
        <f t="shared" ref="AM38:AN39" si="170">AI38+AK38</f>
        <v>178792.09999999998</v>
      </c>
      <c r="AN38" s="26">
        <f t="shared" si="170"/>
        <v>178244.6</v>
      </c>
      <c r="AO38" s="29">
        <v>19615</v>
      </c>
      <c r="AP38" s="29">
        <v>19562.7</v>
      </c>
      <c r="AQ38" s="26">
        <f t="shared" ref="AQ38:AR39" si="171">AM38+AO38</f>
        <v>198407.09999999998</v>
      </c>
      <c r="AR38" s="26">
        <f t="shared" si="171"/>
        <v>197807.30000000002</v>
      </c>
      <c r="AS38" s="29"/>
      <c r="AT38" s="29">
        <v>19121.900000000001</v>
      </c>
      <c r="AU38" s="26">
        <f t="shared" ref="AU38:AV39" si="172">AQ38+AS38</f>
        <v>198407.09999999998</v>
      </c>
      <c r="AV38" s="26">
        <f t="shared" si="172"/>
        <v>216929.2</v>
      </c>
      <c r="AW38" s="29"/>
      <c r="AX38" s="29">
        <v>34058.300000000003</v>
      </c>
      <c r="AY38" s="29">
        <v>226802.1</v>
      </c>
      <c r="AZ38" s="29">
        <v>226061</v>
      </c>
      <c r="BA38" s="55">
        <f t="shared" si="137"/>
        <v>0.14311483812827275</v>
      </c>
      <c r="BB38" s="55">
        <f t="shared" si="137"/>
        <v>-9.9313710842173442E-2</v>
      </c>
      <c r="BC38" s="29">
        <f>79.4+BD38</f>
        <v>8834.6</v>
      </c>
      <c r="BD38" s="29">
        <v>8755.2000000000007</v>
      </c>
      <c r="BE38" s="29">
        <f>79.3+BF38</f>
        <v>21144.1</v>
      </c>
      <c r="BF38" s="29">
        <v>21064.799999999999</v>
      </c>
      <c r="BG38" s="26">
        <f t="shared" ref="BG38:BH41" si="173">BC38+BE38</f>
        <v>29978.699999999997</v>
      </c>
      <c r="BH38" s="26">
        <f t="shared" si="173"/>
        <v>29820</v>
      </c>
      <c r="BI38" s="55">
        <f t="shared" si="22"/>
        <v>6.7902751803366135E-2</v>
      </c>
      <c r="BJ38" s="55">
        <f t="shared" si="22"/>
        <v>6.5285344288648739E-2</v>
      </c>
      <c r="BK38" s="29">
        <f>79.3+BL38</f>
        <v>18762.3</v>
      </c>
      <c r="BL38" s="29">
        <v>18683</v>
      </c>
      <c r="BM38" s="26">
        <f t="shared" ref="BM38:BN39" si="174">BG38+BK38</f>
        <v>48741</v>
      </c>
      <c r="BN38" s="26">
        <f t="shared" si="174"/>
        <v>48503</v>
      </c>
      <c r="BO38" s="55">
        <f t="shared" si="24"/>
        <v>-5.8902952898034489E-3</v>
      </c>
      <c r="BP38" s="55">
        <f t="shared" si="24"/>
        <v>-8.0557254140856127E-3</v>
      </c>
      <c r="BQ38" s="29"/>
      <c r="BR38" s="29"/>
      <c r="BS38" s="26">
        <f t="shared" ref="BS38:BT39" si="175">BM38+BQ38</f>
        <v>48741</v>
      </c>
      <c r="BT38" s="26">
        <f t="shared" si="175"/>
        <v>48503</v>
      </c>
      <c r="BU38" s="55">
        <f t="shared" si="25"/>
        <v>-0.30908224927812344</v>
      </c>
      <c r="BV38" s="55">
        <f t="shared" si="25"/>
        <v>-0.31033355041078825</v>
      </c>
      <c r="BW38" s="29"/>
      <c r="BX38" s="29"/>
      <c r="BY38" s="26">
        <f t="shared" ref="BY38:BZ39" si="176">BS38+BW38</f>
        <v>48741</v>
      </c>
      <c r="BZ38" s="26">
        <f t="shared" si="176"/>
        <v>48503</v>
      </c>
      <c r="CA38" s="55">
        <f t="shared" si="27"/>
        <v>-0.48538976121899091</v>
      </c>
      <c r="CB38" s="55">
        <f t="shared" si="27"/>
        <v>-0.48653535488269384</v>
      </c>
      <c r="CC38" s="29"/>
      <c r="CD38" s="29"/>
      <c r="CE38" s="26">
        <f t="shared" ref="CE38:CF39" si="177">BY38+CC38</f>
        <v>48741</v>
      </c>
      <c r="CF38" s="26">
        <f t="shared" si="177"/>
        <v>48503</v>
      </c>
      <c r="CG38" s="55">
        <f t="shared" si="29"/>
        <v>-0.64139222895098702</v>
      </c>
      <c r="CH38" s="55">
        <f t="shared" si="29"/>
        <v>-0.64232250338113372</v>
      </c>
      <c r="CI38" s="29"/>
      <c r="CJ38" s="29"/>
      <c r="CK38" s="26">
        <f t="shared" ref="CK38:CL39" si="178">CE38+CI38</f>
        <v>48741</v>
      </c>
      <c r="CL38" s="26">
        <f t="shared" si="178"/>
        <v>48503</v>
      </c>
      <c r="CM38" s="55">
        <f t="shared" si="31"/>
        <v>-0.6889913226913631</v>
      </c>
      <c r="CN38" s="55">
        <f t="shared" si="31"/>
        <v>-0.68976227665864576</v>
      </c>
      <c r="CO38" s="29"/>
      <c r="CP38" s="29"/>
      <c r="CQ38" s="26">
        <f t="shared" ref="CQ38:CR39" si="179">CK38+CO38</f>
        <v>48741</v>
      </c>
      <c r="CR38" s="26">
        <f t="shared" si="179"/>
        <v>48503</v>
      </c>
      <c r="CS38" s="55">
        <f t="shared" si="33"/>
        <v>-0.70609995893684407</v>
      </c>
      <c r="CT38" s="55">
        <f t="shared" si="33"/>
        <v>-0.70663821535777949</v>
      </c>
      <c r="CU38" s="29"/>
      <c r="CV38" s="29"/>
      <c r="CW38" s="26">
        <f t="shared" ref="CW38:CX39" si="180">CQ38+CU38</f>
        <v>48741</v>
      </c>
      <c r="CX38" s="26">
        <f t="shared" si="180"/>
        <v>48503</v>
      </c>
      <c r="CY38" s="55">
        <f t="shared" si="35"/>
        <v>-0.72738728389005991</v>
      </c>
      <c r="CZ38" s="55">
        <f t="shared" si="35"/>
        <v>-0.72788516454355423</v>
      </c>
      <c r="DA38" s="29"/>
      <c r="DB38" s="29"/>
      <c r="DC38" s="26">
        <f t="shared" ref="DC38:DD39" si="181">CW38+DA38</f>
        <v>48741</v>
      </c>
      <c r="DD38" s="26">
        <f t="shared" si="181"/>
        <v>48503</v>
      </c>
      <c r="DE38" s="55">
        <f t="shared" si="37"/>
        <v>-0.75433842841309606</v>
      </c>
      <c r="DF38" s="55">
        <f t="shared" si="37"/>
        <v>-0.75479671377143309</v>
      </c>
      <c r="DG38" s="29"/>
      <c r="DH38" s="29"/>
      <c r="DI38" s="26">
        <f t="shared" ref="DI38:DJ39" si="182">DC38+DG38</f>
        <v>48741</v>
      </c>
      <c r="DJ38" s="26">
        <f t="shared" si="182"/>
        <v>48503</v>
      </c>
      <c r="DK38" s="55">
        <f t="shared" si="39"/>
        <v>-0.75433842841309606</v>
      </c>
      <c r="DL38" s="55">
        <f t="shared" si="39"/>
        <v>-0.77641092116690613</v>
      </c>
      <c r="DM38" s="29"/>
      <c r="DN38" s="29"/>
      <c r="DO38" s="29"/>
      <c r="DP38" s="29"/>
      <c r="DQ38" s="29">
        <v>226802.1</v>
      </c>
      <c r="DR38" s="29">
        <v>226061</v>
      </c>
      <c r="DS38" s="55">
        <f>IF($AY$38=0,1,DQ38/$AY$38-1)</f>
        <v>0</v>
      </c>
      <c r="DT38" s="55">
        <f>IF($AZ$38=0,1,DR38/$AZ$38-1)</f>
        <v>0</v>
      </c>
      <c r="DU38" s="55">
        <f>IF($E$38=0,1,DQ38/$E$38-1)</f>
        <v>0.14311483812827275</v>
      </c>
      <c r="DV38" s="55">
        <f>IF($E$38=0,1,DR38/$E$38-1)</f>
        <v>0.13937958873447576</v>
      </c>
      <c r="DW38" s="25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  <c r="IM38" s="63"/>
      <c r="IN38" s="63"/>
      <c r="IO38" s="63"/>
      <c r="IP38" s="63"/>
      <c r="IQ38" s="63"/>
      <c r="IR38" s="63"/>
      <c r="IS38" s="63"/>
      <c r="IT38" s="63"/>
      <c r="IU38" s="63"/>
      <c r="IV38" s="63"/>
      <c r="IW38" s="63"/>
      <c r="IX38" s="63"/>
      <c r="IY38" s="63"/>
      <c r="IZ38" s="63"/>
      <c r="JA38" s="63"/>
      <c r="JB38" s="63"/>
      <c r="JC38" s="63"/>
      <c r="JD38" s="63"/>
      <c r="JE38" s="63"/>
      <c r="JF38" s="63"/>
      <c r="JG38" s="63"/>
      <c r="JH38" s="63"/>
    </row>
    <row r="39" spans="1:268" s="64" customFormat="1" ht="18" customHeight="1">
      <c r="A39" s="292" t="s">
        <v>99</v>
      </c>
      <c r="B39" s="293"/>
      <c r="C39" s="29">
        <f>'[1]прогноз '!B45</f>
        <v>0</v>
      </c>
      <c r="D39" s="31">
        <f>'[1]прогноз '!C45</f>
        <v>166222.90000000002</v>
      </c>
      <c r="E39" s="26">
        <f t="shared" si="168"/>
        <v>181036.9</v>
      </c>
      <c r="F39" s="31">
        <f t="shared" si="168"/>
        <v>192929.60000000003</v>
      </c>
      <c r="G39" s="31">
        <v>9387</v>
      </c>
      <c r="H39" s="31">
        <v>8126.4</v>
      </c>
      <c r="I39" s="31">
        <v>18743</v>
      </c>
      <c r="J39" s="31">
        <v>15717.1</v>
      </c>
      <c r="K39" s="26">
        <f t="shared" ref="K39:L41" si="183">G39+I39</f>
        <v>28130</v>
      </c>
      <c r="L39" s="26">
        <f t="shared" si="183"/>
        <v>23843.5</v>
      </c>
      <c r="M39" s="31">
        <v>19220</v>
      </c>
      <c r="N39" s="31">
        <v>15344.1</v>
      </c>
      <c r="O39" s="26">
        <f t="shared" si="112"/>
        <v>47350</v>
      </c>
      <c r="P39" s="26">
        <f t="shared" si="112"/>
        <v>39187.599999999999</v>
      </c>
      <c r="Q39" s="31">
        <v>19439</v>
      </c>
      <c r="R39" s="31">
        <v>15228.3</v>
      </c>
      <c r="S39" s="26">
        <f t="shared" si="113"/>
        <v>66789</v>
      </c>
      <c r="T39" s="26">
        <f t="shared" si="113"/>
        <v>54415.899999999994</v>
      </c>
      <c r="U39" s="31">
        <v>19050</v>
      </c>
      <c r="V39" s="31">
        <v>16283</v>
      </c>
      <c r="W39" s="26">
        <f t="shared" si="114"/>
        <v>85839</v>
      </c>
      <c r="X39" s="26">
        <f t="shared" si="114"/>
        <v>70698.899999999994</v>
      </c>
      <c r="Y39" s="31">
        <v>23241</v>
      </c>
      <c r="Z39" s="31">
        <v>19302.900000000001</v>
      </c>
      <c r="AA39" s="26">
        <f t="shared" si="115"/>
        <v>109080</v>
      </c>
      <c r="AB39" s="26">
        <f t="shared" si="115"/>
        <v>90001.799999999988</v>
      </c>
      <c r="AC39" s="31">
        <v>22590.3</v>
      </c>
      <c r="AD39" s="31">
        <v>18517.3</v>
      </c>
      <c r="AE39" s="26">
        <f t="shared" si="116"/>
        <v>131670.29999999999</v>
      </c>
      <c r="AF39" s="26">
        <f t="shared" si="116"/>
        <v>108519.09999999999</v>
      </c>
      <c r="AG39" s="31">
        <v>14966.5</v>
      </c>
      <c r="AH39" s="31">
        <v>12577.9</v>
      </c>
      <c r="AI39" s="26">
        <f t="shared" si="169"/>
        <v>146636.79999999999</v>
      </c>
      <c r="AJ39" s="26">
        <f t="shared" si="169"/>
        <v>121096.99999999999</v>
      </c>
      <c r="AK39" s="31">
        <v>15608.6</v>
      </c>
      <c r="AL39" s="31">
        <v>13074</v>
      </c>
      <c r="AM39" s="26">
        <f t="shared" si="170"/>
        <v>162245.4</v>
      </c>
      <c r="AN39" s="26">
        <f t="shared" si="170"/>
        <v>134171</v>
      </c>
      <c r="AO39" s="31">
        <v>18791.5</v>
      </c>
      <c r="AP39" s="31">
        <v>16159.7</v>
      </c>
      <c r="AQ39" s="26">
        <f t="shared" si="171"/>
        <v>181036.9</v>
      </c>
      <c r="AR39" s="26">
        <f t="shared" si="171"/>
        <v>150330.70000000001</v>
      </c>
      <c r="AS39" s="31"/>
      <c r="AT39" s="31">
        <v>16291.2</v>
      </c>
      <c r="AU39" s="26">
        <f t="shared" si="172"/>
        <v>181036.9</v>
      </c>
      <c r="AV39" s="26">
        <f t="shared" si="172"/>
        <v>166621.90000000002</v>
      </c>
      <c r="AW39" s="31"/>
      <c r="AX39" s="31">
        <v>26307.7</v>
      </c>
      <c r="AY39" s="31">
        <v>235997.9</v>
      </c>
      <c r="AZ39" s="31">
        <v>189996.9</v>
      </c>
      <c r="BA39" s="55">
        <f t="shared" si="137"/>
        <v>0.30359004158820668</v>
      </c>
      <c r="BB39" s="55">
        <f t="shared" si="137"/>
        <v>-1.5200881565089253E-2</v>
      </c>
      <c r="BC39" s="31">
        <f>1315.6+BD39</f>
        <v>10602.7</v>
      </c>
      <c r="BD39" s="31">
        <v>9287.1</v>
      </c>
      <c r="BE39" s="31">
        <f>3433.7+BF39</f>
        <v>19840.5</v>
      </c>
      <c r="BF39" s="31">
        <v>16406.8</v>
      </c>
      <c r="BG39" s="26">
        <f t="shared" si="173"/>
        <v>30443.200000000001</v>
      </c>
      <c r="BH39" s="26">
        <f t="shared" si="173"/>
        <v>25693.9</v>
      </c>
      <c r="BI39" s="55">
        <f t="shared" si="22"/>
        <v>8.2232492001421909E-2</v>
      </c>
      <c r="BJ39" s="55">
        <f t="shared" si="22"/>
        <v>7.7606056157862868E-2</v>
      </c>
      <c r="BK39" s="31">
        <v>19748</v>
      </c>
      <c r="BL39" s="31">
        <v>16321.5</v>
      </c>
      <c r="BM39" s="26">
        <f t="shared" si="174"/>
        <v>50191.199999999997</v>
      </c>
      <c r="BN39" s="26">
        <f t="shared" si="174"/>
        <v>42015.4</v>
      </c>
      <c r="BO39" s="55">
        <f t="shared" si="24"/>
        <v>6.000422386483617E-2</v>
      </c>
      <c r="BP39" s="55">
        <f t="shared" si="24"/>
        <v>7.2160581408404756E-2</v>
      </c>
      <c r="BQ39" s="31"/>
      <c r="BR39" s="31"/>
      <c r="BS39" s="26">
        <f t="shared" si="175"/>
        <v>50191.199999999997</v>
      </c>
      <c r="BT39" s="26">
        <f t="shared" si="175"/>
        <v>42015.4</v>
      </c>
      <c r="BU39" s="55">
        <f t="shared" si="25"/>
        <v>-0.24851098234739255</v>
      </c>
      <c r="BV39" s="55">
        <f t="shared" si="25"/>
        <v>-0.22788376191517545</v>
      </c>
      <c r="BW39" s="31"/>
      <c r="BX39" s="31"/>
      <c r="BY39" s="26">
        <f t="shared" si="176"/>
        <v>50191.199999999997</v>
      </c>
      <c r="BZ39" s="26">
        <f t="shared" si="176"/>
        <v>42015.4</v>
      </c>
      <c r="CA39" s="55">
        <f t="shared" si="27"/>
        <v>-0.41528675776744839</v>
      </c>
      <c r="CB39" s="55">
        <f t="shared" si="27"/>
        <v>-0.40571352595302046</v>
      </c>
      <c r="CC39" s="31"/>
      <c r="CD39" s="31"/>
      <c r="CE39" s="26">
        <f t="shared" si="177"/>
        <v>50191.199999999997</v>
      </c>
      <c r="CF39" s="26">
        <f t="shared" si="177"/>
        <v>42015.4</v>
      </c>
      <c r="CG39" s="55">
        <f t="shared" si="29"/>
        <v>-0.53986798679867998</v>
      </c>
      <c r="CH39" s="55">
        <f t="shared" si="29"/>
        <v>-0.53317155879104638</v>
      </c>
      <c r="CI39" s="31"/>
      <c r="CJ39" s="31"/>
      <c r="CK39" s="26">
        <f t="shared" si="178"/>
        <v>50191.199999999997</v>
      </c>
      <c r="CL39" s="26">
        <f t="shared" si="178"/>
        <v>42015.4</v>
      </c>
      <c r="CM39" s="55">
        <f t="shared" si="31"/>
        <v>-0.61881153152988944</v>
      </c>
      <c r="CN39" s="55">
        <f t="shared" si="31"/>
        <v>-0.61282944661354533</v>
      </c>
      <c r="CO39" s="31"/>
      <c r="CP39" s="31"/>
      <c r="CQ39" s="26">
        <f t="shared" si="179"/>
        <v>50191.199999999997</v>
      </c>
      <c r="CR39" s="26">
        <f t="shared" si="179"/>
        <v>42015.4</v>
      </c>
      <c r="CS39" s="55">
        <f t="shared" si="33"/>
        <v>-0.6577175715782122</v>
      </c>
      <c r="CT39" s="55">
        <f t="shared" si="33"/>
        <v>-0.65304342799573889</v>
      </c>
      <c r="CU39" s="31"/>
      <c r="CV39" s="31"/>
      <c r="CW39" s="26">
        <f t="shared" si="180"/>
        <v>50191.199999999997</v>
      </c>
      <c r="CX39" s="26">
        <f t="shared" si="180"/>
        <v>42015.4</v>
      </c>
      <c r="CY39" s="55">
        <f t="shared" si="35"/>
        <v>-0.69064639120739324</v>
      </c>
      <c r="CZ39" s="55">
        <f t="shared" si="35"/>
        <v>-0.68685185323206954</v>
      </c>
      <c r="DA39" s="31"/>
      <c r="DB39" s="31"/>
      <c r="DC39" s="26">
        <f t="shared" si="181"/>
        <v>50191.199999999997</v>
      </c>
      <c r="DD39" s="26">
        <f t="shared" si="181"/>
        <v>42015.4</v>
      </c>
      <c r="DE39" s="55">
        <f t="shared" si="37"/>
        <v>-0.72275707328174532</v>
      </c>
      <c r="DF39" s="55">
        <f t="shared" si="37"/>
        <v>-0.7205135078862801</v>
      </c>
      <c r="DG39" s="31"/>
      <c r="DH39" s="31"/>
      <c r="DI39" s="26">
        <f t="shared" si="182"/>
        <v>50191.199999999997</v>
      </c>
      <c r="DJ39" s="26">
        <f t="shared" si="182"/>
        <v>42015.4</v>
      </c>
      <c r="DK39" s="55">
        <f t="shared" si="39"/>
        <v>-0.72275707328174532</v>
      </c>
      <c r="DL39" s="55">
        <f t="shared" si="39"/>
        <v>-0.74783986978902539</v>
      </c>
      <c r="DM39" s="31"/>
      <c r="DN39" s="31"/>
      <c r="DO39" s="31"/>
      <c r="DP39" s="31"/>
      <c r="DQ39" s="31">
        <v>235997.9</v>
      </c>
      <c r="DR39" s="31">
        <f>189996.9+200.1</f>
        <v>190197</v>
      </c>
      <c r="DS39" s="55">
        <f>IF($AY$39=0,1,DQ39/$AY$39-1)</f>
        <v>0</v>
      </c>
      <c r="DT39" s="55">
        <f>IF($AZ$39=0,1,DR39/$AZ$39-1)</f>
        <v>1.0531750781197502E-3</v>
      </c>
      <c r="DU39" s="55">
        <f>IF($E$39=0,1,DQ39/$E$39-1)</f>
        <v>0.30359004158820668</v>
      </c>
      <c r="DV39" s="55">
        <f>IF($E$39=0,1,DR39/$E$39-1)</f>
        <v>5.0597972015649972E-2</v>
      </c>
      <c r="DW39" s="25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63"/>
      <c r="IZ39" s="63"/>
      <c r="JA39" s="63"/>
      <c r="JB39" s="63"/>
      <c r="JC39" s="63"/>
      <c r="JD39" s="63"/>
      <c r="JE39" s="63"/>
      <c r="JF39" s="63"/>
      <c r="JG39" s="63"/>
      <c r="JH39" s="63"/>
    </row>
    <row r="40" spans="1:268" s="64" customFormat="1" ht="18" customHeight="1">
      <c r="A40" s="292" t="s">
        <v>95</v>
      </c>
      <c r="B40" s="293"/>
      <c r="C40" s="29"/>
      <c r="D40" s="31"/>
      <c r="E40" s="26"/>
      <c r="F40" s="31"/>
      <c r="G40" s="31"/>
      <c r="H40" s="31"/>
      <c r="I40" s="31"/>
      <c r="J40" s="31"/>
      <c r="K40" s="26">
        <f t="shared" si="183"/>
        <v>0</v>
      </c>
      <c r="L40" s="26">
        <f t="shared" si="183"/>
        <v>0</v>
      </c>
      <c r="M40" s="31"/>
      <c r="N40" s="31"/>
      <c r="O40" s="26"/>
      <c r="P40" s="26"/>
      <c r="Q40" s="31"/>
      <c r="R40" s="31"/>
      <c r="S40" s="26"/>
      <c r="T40" s="26"/>
      <c r="U40" s="31"/>
      <c r="V40" s="31"/>
      <c r="W40" s="26"/>
      <c r="X40" s="26"/>
      <c r="Y40" s="31"/>
      <c r="Z40" s="31"/>
      <c r="AA40" s="26"/>
      <c r="AB40" s="26"/>
      <c r="AC40" s="31"/>
      <c r="AD40" s="31"/>
      <c r="AE40" s="26"/>
      <c r="AF40" s="26"/>
      <c r="AG40" s="31"/>
      <c r="AH40" s="31"/>
      <c r="AI40" s="26"/>
      <c r="AJ40" s="26"/>
      <c r="AK40" s="31"/>
      <c r="AL40" s="31"/>
      <c r="AM40" s="26"/>
      <c r="AN40" s="26"/>
      <c r="AO40" s="31"/>
      <c r="AP40" s="31"/>
      <c r="AQ40" s="26"/>
      <c r="AR40" s="26"/>
      <c r="AS40" s="31"/>
      <c r="AT40" s="31"/>
      <c r="AU40" s="26"/>
      <c r="AV40" s="26"/>
      <c r="AW40" s="31"/>
      <c r="AX40" s="31"/>
      <c r="AY40" s="31"/>
      <c r="AZ40" s="31"/>
      <c r="BA40" s="55">
        <f t="shared" si="137"/>
        <v>1</v>
      </c>
      <c r="BB40" s="55">
        <f t="shared" si="137"/>
        <v>1</v>
      </c>
      <c r="BC40" s="31"/>
      <c r="BD40" s="31"/>
      <c r="BE40" s="31"/>
      <c r="BF40" s="31"/>
      <c r="BG40" s="26">
        <f t="shared" si="173"/>
        <v>0</v>
      </c>
      <c r="BH40" s="26">
        <f t="shared" si="173"/>
        <v>0</v>
      </c>
      <c r="BI40" s="55">
        <f t="shared" ref="BI40:BJ61" si="184">IF(K40=0,1,BG40/K40-1)</f>
        <v>1</v>
      </c>
      <c r="BJ40" s="55">
        <f t="shared" si="184"/>
        <v>1</v>
      </c>
      <c r="BK40" s="31"/>
      <c r="BL40" s="31"/>
      <c r="BM40" s="26"/>
      <c r="BN40" s="26"/>
      <c r="BO40" s="55">
        <f t="shared" ref="BO40:BP61" si="185">IF(O40=0,1,BM40/O40-1)</f>
        <v>1</v>
      </c>
      <c r="BP40" s="55">
        <f t="shared" si="185"/>
        <v>1</v>
      </c>
      <c r="BQ40" s="31"/>
      <c r="BR40" s="31"/>
      <c r="BS40" s="26"/>
      <c r="BT40" s="26"/>
      <c r="BU40" s="55">
        <f t="shared" ref="BU40:BV61" si="186">IF(S40=0,1,BS40/S40-1)</f>
        <v>1</v>
      </c>
      <c r="BV40" s="55">
        <f t="shared" si="186"/>
        <v>1</v>
      </c>
      <c r="BW40" s="31"/>
      <c r="BX40" s="31"/>
      <c r="BY40" s="26"/>
      <c r="BZ40" s="26"/>
      <c r="CA40" s="55">
        <f t="shared" ref="CA40:CB61" si="187">IF(W40=0,1,BY40/W40-1)</f>
        <v>1</v>
      </c>
      <c r="CB40" s="55">
        <f t="shared" si="187"/>
        <v>1</v>
      </c>
      <c r="CC40" s="31"/>
      <c r="CD40" s="31"/>
      <c r="CE40" s="26"/>
      <c r="CF40" s="26"/>
      <c r="CG40" s="55">
        <f t="shared" ref="CG40:CH61" si="188">IF(AA40=0,1,CE40/AA40-1)</f>
        <v>1</v>
      </c>
      <c r="CH40" s="55">
        <f t="shared" si="188"/>
        <v>1</v>
      </c>
      <c r="CI40" s="31"/>
      <c r="CJ40" s="31"/>
      <c r="CK40" s="26"/>
      <c r="CL40" s="26"/>
      <c r="CM40" s="55">
        <f t="shared" ref="CM40:CN61" si="189">IF(AE40=0,1,CK40/AE40-1)</f>
        <v>1</v>
      </c>
      <c r="CN40" s="55">
        <f t="shared" si="189"/>
        <v>1</v>
      </c>
      <c r="CO40" s="31"/>
      <c r="CP40" s="31"/>
      <c r="CQ40" s="26"/>
      <c r="CR40" s="26"/>
      <c r="CS40" s="55">
        <f t="shared" ref="CS40:CT61" si="190">IF(AI40=0,1,CQ40/AI40-1)</f>
        <v>1</v>
      </c>
      <c r="CT40" s="55">
        <f t="shared" si="190"/>
        <v>1</v>
      </c>
      <c r="CU40" s="31"/>
      <c r="CV40" s="31"/>
      <c r="CW40" s="26"/>
      <c r="CX40" s="26"/>
      <c r="CY40" s="55">
        <f t="shared" ref="CY40:CZ61" si="191">IF(AM40=0,1,CW40/AM40-1)</f>
        <v>1</v>
      </c>
      <c r="CZ40" s="55">
        <f t="shared" si="191"/>
        <v>1</v>
      </c>
      <c r="DA40" s="31"/>
      <c r="DB40" s="31"/>
      <c r="DC40" s="26"/>
      <c r="DD40" s="26"/>
      <c r="DE40" s="55">
        <f t="shared" ref="DE40:DF61" si="192">IF(AQ40=0,1,DC40/AQ40-1)</f>
        <v>1</v>
      </c>
      <c r="DF40" s="55">
        <f t="shared" si="192"/>
        <v>1</v>
      </c>
      <c r="DG40" s="31"/>
      <c r="DH40" s="31"/>
      <c r="DI40" s="26"/>
      <c r="DJ40" s="26"/>
      <c r="DK40" s="55">
        <f t="shared" ref="DK40:DL61" si="193">IF(AU40=0,1,DI40/AU40-1)</f>
        <v>1</v>
      </c>
      <c r="DL40" s="55">
        <f t="shared" si="193"/>
        <v>1</v>
      </c>
      <c r="DM40" s="31"/>
      <c r="DN40" s="31"/>
      <c r="DO40" s="31"/>
      <c r="DP40" s="31"/>
      <c r="DQ40" s="31"/>
      <c r="DR40" s="31"/>
      <c r="DS40" s="55">
        <f>IF($AY$40=0,1,DQ40/$AY$40-1)</f>
        <v>1</v>
      </c>
      <c r="DT40" s="55">
        <f>IF($AZ$40=0,1,DR40/$AZ$40-1)</f>
        <v>1</v>
      </c>
      <c r="DU40" s="55">
        <f>IF($E$40=0,1,DQ40/$E$40-1)</f>
        <v>1</v>
      </c>
      <c r="DV40" s="55">
        <f>IF($E$40=0,1,DR40/$E$40-1)</f>
        <v>1</v>
      </c>
      <c r="DW40" s="25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  <c r="IR40" s="63"/>
      <c r="IS40" s="63"/>
      <c r="IT40" s="63"/>
      <c r="IU40" s="63"/>
      <c r="IV40" s="63"/>
      <c r="IW40" s="63"/>
      <c r="IX40" s="63"/>
      <c r="IY40" s="63"/>
      <c r="IZ40" s="63"/>
      <c r="JA40" s="63"/>
      <c r="JB40" s="63"/>
      <c r="JC40" s="63"/>
      <c r="JD40" s="63"/>
      <c r="JE40" s="63"/>
      <c r="JF40" s="63"/>
      <c r="JG40" s="63"/>
      <c r="JH40" s="63"/>
    </row>
    <row r="41" spans="1:268" s="64" customFormat="1" ht="18" customHeight="1">
      <c r="A41" s="292" t="s">
        <v>98</v>
      </c>
      <c r="B41" s="293"/>
      <c r="C41" s="29">
        <f>'[1]прогноз '!B46</f>
        <v>51395.199999999997</v>
      </c>
      <c r="D41" s="31">
        <f>'[1]прогноз '!C46</f>
        <v>31907.499999999996</v>
      </c>
      <c r="E41" s="26">
        <f t="shared" si="168"/>
        <v>60022.400000000001</v>
      </c>
      <c r="F41" s="31">
        <f t="shared" si="168"/>
        <v>39845.1</v>
      </c>
      <c r="G41" s="31">
        <v>2373.6999999999998</v>
      </c>
      <c r="H41" s="31">
        <v>1659.5</v>
      </c>
      <c r="I41" s="31">
        <v>4543.6000000000004</v>
      </c>
      <c r="J41" s="31">
        <v>3056.8</v>
      </c>
      <c r="K41" s="26">
        <f t="shared" si="183"/>
        <v>6917.3</v>
      </c>
      <c r="L41" s="26">
        <f t="shared" si="183"/>
        <v>4716.3</v>
      </c>
      <c r="M41" s="31">
        <v>5087.5</v>
      </c>
      <c r="N41" s="31">
        <v>3081.7</v>
      </c>
      <c r="O41" s="26">
        <f t="shared" si="112"/>
        <v>12004.8</v>
      </c>
      <c r="P41" s="26">
        <f t="shared" si="112"/>
        <v>7798</v>
      </c>
      <c r="Q41" s="31">
        <v>5164.2</v>
      </c>
      <c r="R41" s="31">
        <v>3155.4</v>
      </c>
      <c r="S41" s="26">
        <f t="shared" si="113"/>
        <v>17169</v>
      </c>
      <c r="T41" s="26">
        <f t="shared" si="113"/>
        <v>10953.4</v>
      </c>
      <c r="U41" s="31">
        <v>4372.3</v>
      </c>
      <c r="V41" s="31">
        <v>3275.7</v>
      </c>
      <c r="W41" s="26">
        <f t="shared" si="114"/>
        <v>21541.3</v>
      </c>
      <c r="X41" s="26">
        <f t="shared" si="114"/>
        <v>14229.099999999999</v>
      </c>
      <c r="Y41" s="31">
        <v>5206.6000000000004</v>
      </c>
      <c r="Z41" s="31">
        <v>3564.7</v>
      </c>
      <c r="AA41" s="26">
        <f t="shared" si="115"/>
        <v>26747.9</v>
      </c>
      <c r="AB41" s="26">
        <f t="shared" si="115"/>
        <v>17793.8</v>
      </c>
      <c r="AC41" s="31">
        <v>6438.3</v>
      </c>
      <c r="AD41" s="31">
        <v>4538.7</v>
      </c>
      <c r="AE41" s="26">
        <f t="shared" si="116"/>
        <v>33186.200000000004</v>
      </c>
      <c r="AF41" s="26">
        <f t="shared" si="116"/>
        <v>22332.5</v>
      </c>
      <c r="AG41" s="31">
        <v>4641</v>
      </c>
      <c r="AH41" s="31">
        <v>3122.9</v>
      </c>
      <c r="AI41" s="26">
        <f t="shared" ref="AI41:AJ44" si="194">AE41+AG41</f>
        <v>37827.200000000004</v>
      </c>
      <c r="AJ41" s="26">
        <f t="shared" si="194"/>
        <v>25455.4</v>
      </c>
      <c r="AK41" s="31">
        <v>4737</v>
      </c>
      <c r="AL41" s="31">
        <v>2963.2</v>
      </c>
      <c r="AM41" s="26">
        <f t="shared" ref="AM41:AN44" si="195">AI41+AK41</f>
        <v>42564.200000000004</v>
      </c>
      <c r="AN41" s="26">
        <f t="shared" si="195"/>
        <v>28418.600000000002</v>
      </c>
      <c r="AO41" s="31">
        <v>4781</v>
      </c>
      <c r="AP41" s="31">
        <v>3331.1</v>
      </c>
      <c r="AQ41" s="26">
        <f t="shared" ref="AQ41:AR44" si="196">AM41+AO41</f>
        <v>47345.200000000004</v>
      </c>
      <c r="AR41" s="26">
        <f t="shared" si="196"/>
        <v>31749.7</v>
      </c>
      <c r="AS41" s="31">
        <f>1489.1+AT41</f>
        <v>4556.1000000000004</v>
      </c>
      <c r="AT41" s="31">
        <v>3067</v>
      </c>
      <c r="AU41" s="26">
        <f t="shared" ref="AU41:AV44" si="197">AQ41+AS41</f>
        <v>51901.3</v>
      </c>
      <c r="AV41" s="26">
        <f t="shared" si="197"/>
        <v>34816.699999999997</v>
      </c>
      <c r="AW41" s="31">
        <f>3092.7+AX41</f>
        <v>8121.0999999999995</v>
      </c>
      <c r="AX41" s="31">
        <v>5028.3999999999996</v>
      </c>
      <c r="AY41" s="31">
        <v>61805.4</v>
      </c>
      <c r="AZ41" s="31">
        <v>41223.300000000003</v>
      </c>
      <c r="BA41" s="55">
        <f t="shared" si="137"/>
        <v>2.97055765847416E-2</v>
      </c>
      <c r="BB41" s="55">
        <f t="shared" si="137"/>
        <v>3.4588945692193063E-2</v>
      </c>
      <c r="BC41" s="31">
        <v>2609.4</v>
      </c>
      <c r="BD41" s="31">
        <v>2050.6</v>
      </c>
      <c r="BE41" s="31">
        <f>7433.4-BC41</f>
        <v>4824</v>
      </c>
      <c r="BF41" s="31">
        <v>3198.3</v>
      </c>
      <c r="BG41" s="26">
        <f t="shared" si="173"/>
        <v>7433.4</v>
      </c>
      <c r="BH41" s="26">
        <f t="shared" si="173"/>
        <v>5248.9</v>
      </c>
      <c r="BI41" s="55">
        <f t="shared" si="184"/>
        <v>7.461003570757363E-2</v>
      </c>
      <c r="BJ41" s="55">
        <f t="shared" si="184"/>
        <v>0.11292750673197194</v>
      </c>
      <c r="BK41" s="31">
        <v>4986</v>
      </c>
      <c r="BL41" s="31">
        <v>2966.1</v>
      </c>
      <c r="BM41" s="26">
        <f t="shared" ref="BM41:BN44" si="198">BG41+BK41</f>
        <v>12419.4</v>
      </c>
      <c r="BN41" s="26">
        <f t="shared" si="198"/>
        <v>8215</v>
      </c>
      <c r="BO41" s="55">
        <f t="shared" si="185"/>
        <v>3.4536185525789742E-2</v>
      </c>
      <c r="BP41" s="55">
        <f t="shared" si="185"/>
        <v>5.3475250064118907E-2</v>
      </c>
      <c r="BQ41" s="31"/>
      <c r="BR41" s="31"/>
      <c r="BS41" s="26">
        <f t="shared" ref="BS41:BT44" si="199">BM41+BQ41</f>
        <v>12419.4</v>
      </c>
      <c r="BT41" s="26">
        <f t="shared" si="199"/>
        <v>8215</v>
      </c>
      <c r="BU41" s="55">
        <f t="shared" si="186"/>
        <v>-0.27663812685654376</v>
      </c>
      <c r="BV41" s="55">
        <f t="shared" si="186"/>
        <v>-0.25000456479266708</v>
      </c>
      <c r="BW41" s="31"/>
      <c r="BX41" s="31"/>
      <c r="BY41" s="26">
        <f t="shared" ref="BY41:BZ44" si="200">BS41+BW41</f>
        <v>12419.4</v>
      </c>
      <c r="BZ41" s="26">
        <f t="shared" si="200"/>
        <v>8215</v>
      </c>
      <c r="CA41" s="55">
        <f t="shared" si="187"/>
        <v>-0.42346097960661611</v>
      </c>
      <c r="CB41" s="55">
        <f t="shared" si="187"/>
        <v>-0.42266200954382216</v>
      </c>
      <c r="CC41" s="31"/>
      <c r="CD41" s="31"/>
      <c r="CE41" s="26">
        <f t="shared" ref="CE41:CF44" si="201">BY41+CC41</f>
        <v>12419.4</v>
      </c>
      <c r="CF41" s="26">
        <f t="shared" si="201"/>
        <v>8215</v>
      </c>
      <c r="CG41" s="55">
        <f t="shared" si="188"/>
        <v>-0.53568691373902255</v>
      </c>
      <c r="CH41" s="55">
        <f t="shared" si="188"/>
        <v>-0.5383223369937844</v>
      </c>
      <c r="CI41" s="31"/>
      <c r="CJ41" s="31"/>
      <c r="CK41" s="26">
        <f t="shared" ref="CK41:CL44" si="202">CE41+CI41</f>
        <v>12419.4</v>
      </c>
      <c r="CL41" s="26">
        <f t="shared" si="202"/>
        <v>8215</v>
      </c>
      <c r="CM41" s="55">
        <f t="shared" si="189"/>
        <v>-0.62576613170534745</v>
      </c>
      <c r="CN41" s="55">
        <f t="shared" si="189"/>
        <v>-0.63215045337512588</v>
      </c>
      <c r="CO41" s="31"/>
      <c r="CP41" s="31"/>
      <c r="CQ41" s="26">
        <f t="shared" ref="CQ41:CR44" si="203">CK41+CO41</f>
        <v>12419.4</v>
      </c>
      <c r="CR41" s="26">
        <f t="shared" si="203"/>
        <v>8215</v>
      </c>
      <c r="CS41" s="55">
        <f t="shared" si="190"/>
        <v>-0.67168069537264197</v>
      </c>
      <c r="CT41" s="55">
        <f t="shared" si="190"/>
        <v>-0.67727869135821872</v>
      </c>
      <c r="CU41" s="31"/>
      <c r="CV41" s="31"/>
      <c r="CW41" s="26">
        <f t="shared" ref="CW41:CX44" si="204">CQ41+CU41</f>
        <v>12419.4</v>
      </c>
      <c r="CX41" s="26">
        <f t="shared" si="204"/>
        <v>8215</v>
      </c>
      <c r="CY41" s="55">
        <f t="shared" si="191"/>
        <v>-0.70821958359372439</v>
      </c>
      <c r="CZ41" s="55">
        <f t="shared" si="191"/>
        <v>-0.71092875792614696</v>
      </c>
      <c r="DA41" s="31"/>
      <c r="DB41" s="31"/>
      <c r="DC41" s="26">
        <f t="shared" ref="DC41:DD44" si="205">CW41+DA41</f>
        <v>12419.4</v>
      </c>
      <c r="DD41" s="26">
        <f t="shared" si="205"/>
        <v>8215</v>
      </c>
      <c r="DE41" s="55">
        <f t="shared" si="192"/>
        <v>-0.73768407357028809</v>
      </c>
      <c r="DF41" s="55">
        <f t="shared" si="192"/>
        <v>-0.74125739770769483</v>
      </c>
      <c r="DG41" s="31"/>
      <c r="DH41" s="31"/>
      <c r="DI41" s="26">
        <f t="shared" ref="DI41:DJ44" si="206">DC41+DG41</f>
        <v>12419.4</v>
      </c>
      <c r="DJ41" s="26">
        <f t="shared" si="206"/>
        <v>8215</v>
      </c>
      <c r="DK41" s="55">
        <f t="shared" si="193"/>
        <v>-0.76071119605867299</v>
      </c>
      <c r="DL41" s="55">
        <f t="shared" si="193"/>
        <v>-0.76405001048347487</v>
      </c>
      <c r="DM41" s="31"/>
      <c r="DN41" s="31"/>
      <c r="DO41" s="31"/>
      <c r="DP41" s="31"/>
      <c r="DQ41" s="31">
        <v>61805.4</v>
      </c>
      <c r="DR41" s="31">
        <v>41223.300000000003</v>
      </c>
      <c r="DS41" s="55">
        <f>IF($AY$41=0,1,DQ41/$AY$41-1)</f>
        <v>0</v>
      </c>
      <c r="DT41" s="55">
        <f>IF($AZ$41=0,1,DR41/$AZ$41-1)</f>
        <v>0</v>
      </c>
      <c r="DU41" s="55">
        <f>IF($E$41=0,1,DQ41/$E$41-1)</f>
        <v>2.97055765847416E-2</v>
      </c>
      <c r="DV41" s="55">
        <f>IF($E$41=0,1,DR41/$E$41-1)</f>
        <v>-0.31320140480887138</v>
      </c>
      <c r="DW41" s="25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  <c r="IW41" s="63"/>
      <c r="IX41" s="63"/>
      <c r="IY41" s="63"/>
      <c r="IZ41" s="63"/>
      <c r="JA41" s="63"/>
      <c r="JB41" s="63"/>
      <c r="JC41" s="63"/>
      <c r="JD41" s="63"/>
      <c r="JE41" s="63"/>
      <c r="JF41" s="63"/>
      <c r="JG41" s="63"/>
      <c r="JH41" s="63"/>
    </row>
    <row r="42" spans="1:268" s="68" customFormat="1" ht="18" customHeight="1">
      <c r="A42" s="409" t="s">
        <v>97</v>
      </c>
      <c r="B42" s="410"/>
      <c r="C42" s="53">
        <f>'[1]прогноз '!B48</f>
        <v>0</v>
      </c>
      <c r="D42" s="36">
        <f>'[1]прогноз '!C48</f>
        <v>7299</v>
      </c>
      <c r="E42" s="23">
        <f>G42+I42+M42+Q42+U42+Y42+AC42+AG42+AK42+AO42+AS42+AW42</f>
        <v>8648.7999999999993</v>
      </c>
      <c r="F42" s="36">
        <f>H42+J42+N42+R42+V42+Z42+AD42+AH42+AL42+AP42+AT42+AX42</f>
        <v>8648.9999999999982</v>
      </c>
      <c r="G42" s="36">
        <v>612.79999999999995</v>
      </c>
      <c r="H42" s="36">
        <v>612.79999999999995</v>
      </c>
      <c r="I42" s="36">
        <v>612.79999999999995</v>
      </c>
      <c r="J42" s="36">
        <v>612.79999999999995</v>
      </c>
      <c r="K42" s="23">
        <f>G42+I42</f>
        <v>1225.5999999999999</v>
      </c>
      <c r="L42" s="23">
        <f>H42+J42</f>
        <v>1225.5999999999999</v>
      </c>
      <c r="M42" s="36">
        <v>612.79999999999995</v>
      </c>
      <c r="N42" s="36">
        <v>612.79999999999995</v>
      </c>
      <c r="O42" s="23">
        <f t="shared" ref="O42:P44" si="207">K42+M42</f>
        <v>1838.3999999999999</v>
      </c>
      <c r="P42" s="23">
        <f t="shared" si="207"/>
        <v>1838.3999999999999</v>
      </c>
      <c r="Q42" s="36">
        <v>1044.5</v>
      </c>
      <c r="R42" s="36">
        <v>1044.5</v>
      </c>
      <c r="S42" s="23">
        <f t="shared" ref="S42:T44" si="208">O42+Q42</f>
        <v>2882.8999999999996</v>
      </c>
      <c r="T42" s="23">
        <f t="shared" si="208"/>
        <v>2882.8999999999996</v>
      </c>
      <c r="U42" s="36">
        <v>720.9</v>
      </c>
      <c r="V42" s="36">
        <v>720.9</v>
      </c>
      <c r="W42" s="23">
        <f t="shared" ref="W42:X44" si="209">S42+U42</f>
        <v>3603.7999999999997</v>
      </c>
      <c r="X42" s="23">
        <f t="shared" si="209"/>
        <v>3603.7999999999997</v>
      </c>
      <c r="Y42" s="36">
        <v>721</v>
      </c>
      <c r="Z42" s="36">
        <v>720.6</v>
      </c>
      <c r="AA42" s="23">
        <f t="shared" ref="AA42:AB44" si="210">W42+Y42</f>
        <v>4324.7999999999993</v>
      </c>
      <c r="AB42" s="23">
        <f t="shared" si="210"/>
        <v>4324.3999999999996</v>
      </c>
      <c r="AC42" s="36">
        <v>721</v>
      </c>
      <c r="AD42" s="36">
        <v>720.7</v>
      </c>
      <c r="AE42" s="23">
        <f t="shared" ref="AE42:AF44" si="211">AA42+AC42</f>
        <v>5045.7999999999993</v>
      </c>
      <c r="AF42" s="23">
        <f t="shared" si="211"/>
        <v>5045.0999999999995</v>
      </c>
      <c r="AG42" s="36">
        <v>721</v>
      </c>
      <c r="AH42" s="36">
        <v>720.7</v>
      </c>
      <c r="AI42" s="23">
        <f t="shared" si="194"/>
        <v>5766.7999999999993</v>
      </c>
      <c r="AJ42" s="23">
        <f t="shared" si="194"/>
        <v>5765.7999999999993</v>
      </c>
      <c r="AK42" s="36">
        <v>720</v>
      </c>
      <c r="AL42" s="36">
        <v>720.7</v>
      </c>
      <c r="AM42" s="23">
        <f t="shared" si="195"/>
        <v>6486.7999999999993</v>
      </c>
      <c r="AN42" s="23">
        <f t="shared" si="195"/>
        <v>6486.4999999999991</v>
      </c>
      <c r="AO42" s="36">
        <v>720</v>
      </c>
      <c r="AP42" s="36">
        <v>720.7</v>
      </c>
      <c r="AQ42" s="23">
        <f t="shared" si="196"/>
        <v>7206.7999999999993</v>
      </c>
      <c r="AR42" s="23">
        <f t="shared" si="196"/>
        <v>7207.1999999999989</v>
      </c>
      <c r="AS42" s="36">
        <v>721</v>
      </c>
      <c r="AT42" s="36">
        <v>720.7</v>
      </c>
      <c r="AU42" s="23">
        <f t="shared" si="197"/>
        <v>7927.7999999999993</v>
      </c>
      <c r="AV42" s="23">
        <f t="shared" si="197"/>
        <v>7927.8999999999987</v>
      </c>
      <c r="AW42" s="36">
        <v>721</v>
      </c>
      <c r="AX42" s="36">
        <v>721.1</v>
      </c>
      <c r="AY42" s="36">
        <v>8148</v>
      </c>
      <c r="AZ42" s="36">
        <v>8148.1</v>
      </c>
      <c r="BA42" s="56">
        <f t="shared" ref="BA42:BB57" si="212">IF(E42=0,1,AY42/E42-1)</f>
        <v>-5.7903986680232999E-2</v>
      </c>
      <c r="BB42" s="56">
        <f t="shared" si="212"/>
        <v>-5.7914209735229316E-2</v>
      </c>
      <c r="BC42" s="36">
        <v>819</v>
      </c>
      <c r="BD42" s="36">
        <v>818.5</v>
      </c>
      <c r="BE42" s="36">
        <v>666.3</v>
      </c>
      <c r="BF42" s="36">
        <v>666.3</v>
      </c>
      <c r="BG42" s="23">
        <f>BC42+BE42</f>
        <v>1485.3</v>
      </c>
      <c r="BH42" s="23">
        <f>BD42+BF42</f>
        <v>1484.8</v>
      </c>
      <c r="BI42" s="56">
        <f t="shared" si="184"/>
        <v>0.21189621409921666</v>
      </c>
      <c r="BJ42" s="56">
        <f t="shared" si="184"/>
        <v>0.21148825065274157</v>
      </c>
      <c r="BK42" s="36">
        <v>759</v>
      </c>
      <c r="BL42" s="36">
        <v>666</v>
      </c>
      <c r="BM42" s="23">
        <f t="shared" si="198"/>
        <v>2244.3000000000002</v>
      </c>
      <c r="BN42" s="23">
        <f t="shared" si="198"/>
        <v>2150.8000000000002</v>
      </c>
      <c r="BO42" s="56">
        <f t="shared" si="185"/>
        <v>0.22078981723237612</v>
      </c>
      <c r="BP42" s="56">
        <f t="shared" si="185"/>
        <v>0.16993037423846835</v>
      </c>
      <c r="BQ42" s="36"/>
      <c r="BR42" s="36"/>
      <c r="BS42" s="23">
        <f t="shared" si="199"/>
        <v>2244.3000000000002</v>
      </c>
      <c r="BT42" s="23">
        <f t="shared" si="199"/>
        <v>2150.8000000000002</v>
      </c>
      <c r="BU42" s="56">
        <f t="shared" si="186"/>
        <v>-0.2215130597662075</v>
      </c>
      <c r="BV42" s="56">
        <f t="shared" si="186"/>
        <v>-0.25394567969752668</v>
      </c>
      <c r="BW42" s="36"/>
      <c r="BX42" s="36"/>
      <c r="BY42" s="23">
        <f t="shared" si="200"/>
        <v>2244.3000000000002</v>
      </c>
      <c r="BZ42" s="23">
        <f t="shared" si="200"/>
        <v>2150.8000000000002</v>
      </c>
      <c r="CA42" s="56">
        <f t="shared" si="187"/>
        <v>-0.37724069038237407</v>
      </c>
      <c r="CB42" s="56">
        <f t="shared" si="187"/>
        <v>-0.40318552638881167</v>
      </c>
      <c r="CC42" s="36"/>
      <c r="CD42" s="36"/>
      <c r="CE42" s="23">
        <f t="shared" si="201"/>
        <v>2244.3000000000002</v>
      </c>
      <c r="CF42" s="23">
        <f t="shared" si="201"/>
        <v>2150.8000000000002</v>
      </c>
      <c r="CG42" s="56">
        <f t="shared" si="188"/>
        <v>-0.4810627081021086</v>
      </c>
      <c r="CH42" s="56">
        <f t="shared" si="188"/>
        <v>-0.50263620386643226</v>
      </c>
      <c r="CI42" s="36"/>
      <c r="CJ42" s="36"/>
      <c r="CK42" s="23">
        <f t="shared" si="202"/>
        <v>2244.3000000000002</v>
      </c>
      <c r="CL42" s="23">
        <f t="shared" si="202"/>
        <v>2150.8000000000002</v>
      </c>
      <c r="CM42" s="56">
        <f t="shared" si="189"/>
        <v>-0.55521423758373289</v>
      </c>
      <c r="CN42" s="56">
        <f t="shared" si="189"/>
        <v>-0.5736853580702066</v>
      </c>
      <c r="CO42" s="36"/>
      <c r="CP42" s="36"/>
      <c r="CQ42" s="23">
        <f t="shared" si="203"/>
        <v>2244.3000000000002</v>
      </c>
      <c r="CR42" s="23">
        <f t="shared" si="203"/>
        <v>2150.8000000000002</v>
      </c>
      <c r="CS42" s="56">
        <f t="shared" si="190"/>
        <v>-0.61082402719012263</v>
      </c>
      <c r="CT42" s="56">
        <f t="shared" si="190"/>
        <v>-0.62697283984876329</v>
      </c>
      <c r="CU42" s="36"/>
      <c r="CV42" s="36"/>
      <c r="CW42" s="23">
        <f t="shared" si="204"/>
        <v>2244.3000000000002</v>
      </c>
      <c r="CX42" s="23">
        <f t="shared" si="204"/>
        <v>2150.8000000000002</v>
      </c>
      <c r="CY42" s="56">
        <f t="shared" si="191"/>
        <v>-0.65402047234383665</v>
      </c>
      <c r="CZ42" s="56">
        <f t="shared" si="191"/>
        <v>-0.66841902412703291</v>
      </c>
      <c r="DA42" s="36"/>
      <c r="DB42" s="36"/>
      <c r="DC42" s="23">
        <f t="shared" si="205"/>
        <v>2244.3000000000002</v>
      </c>
      <c r="DD42" s="23">
        <f t="shared" si="205"/>
        <v>2150.8000000000002</v>
      </c>
      <c r="DE42" s="56">
        <f t="shared" si="192"/>
        <v>-0.68858578009657534</v>
      </c>
      <c r="DF42" s="56">
        <f t="shared" si="192"/>
        <v>-0.70157620157620149</v>
      </c>
      <c r="DG42" s="36"/>
      <c r="DH42" s="36"/>
      <c r="DI42" s="23">
        <f t="shared" si="206"/>
        <v>2244.3000000000002</v>
      </c>
      <c r="DJ42" s="23">
        <f t="shared" si="206"/>
        <v>2150.8000000000002</v>
      </c>
      <c r="DK42" s="56">
        <f t="shared" si="193"/>
        <v>-0.71690759100885493</v>
      </c>
      <c r="DL42" s="56">
        <f t="shared" si="193"/>
        <v>-0.72870495339244945</v>
      </c>
      <c r="DM42" s="36"/>
      <c r="DN42" s="36"/>
      <c r="DO42" s="36"/>
      <c r="DP42" s="36"/>
      <c r="DQ42" s="36">
        <v>8148</v>
      </c>
      <c r="DR42" s="36">
        <v>8148.1</v>
      </c>
      <c r="DS42" s="56">
        <f>IF($AY$42=0,1,DQ42/$AY$42-1)</f>
        <v>0</v>
      </c>
      <c r="DT42" s="56">
        <f>IF($AZ$42=0,1,DR42/$AZ$42-1)</f>
        <v>0</v>
      </c>
      <c r="DU42" s="56">
        <f>IF($E$42=0,1,DQ42/$E$42-1)</f>
        <v>-5.7903986680232999E-2</v>
      </c>
      <c r="DV42" s="56">
        <f>IF($E$42=0,1,DR42/$E$42-1)</f>
        <v>-5.7892424382573138E-2</v>
      </c>
      <c r="DW42" s="52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7"/>
      <c r="IX42" s="67"/>
      <c r="IY42" s="67"/>
      <c r="IZ42" s="67"/>
      <c r="JA42" s="67"/>
      <c r="JB42" s="67"/>
      <c r="JC42" s="67"/>
      <c r="JD42" s="67"/>
      <c r="JE42" s="67"/>
      <c r="JF42" s="67"/>
      <c r="JG42" s="67"/>
      <c r="JH42" s="67"/>
    </row>
    <row r="43" spans="1:268" s="68" customFormat="1" ht="18" customHeight="1">
      <c r="A43" s="409" t="s">
        <v>101</v>
      </c>
      <c r="B43" s="410"/>
      <c r="C43" s="53">
        <f>'[1]прогноз '!B50</f>
        <v>63428.200000000004</v>
      </c>
      <c r="D43" s="53">
        <f>'[1]прогноз '!C50</f>
        <v>63416.600000000006</v>
      </c>
      <c r="E43" s="53">
        <f>11.6+F43</f>
        <v>58234.6</v>
      </c>
      <c r="F43" s="53">
        <f>H43+J43+N43+R43+V43+Z43+AD43+AH43+AL43+AP43+AT43+AX43</f>
        <v>58223</v>
      </c>
      <c r="G43" s="53">
        <v>3606</v>
      </c>
      <c r="H43" s="53">
        <v>2640.2</v>
      </c>
      <c r="I43" s="53">
        <v>5652</v>
      </c>
      <c r="J43" s="53">
        <v>4288.8</v>
      </c>
      <c r="K43" s="23">
        <f>G43+I43</f>
        <v>9258</v>
      </c>
      <c r="L43" s="23">
        <f>H43+J43</f>
        <v>6929</v>
      </c>
      <c r="M43" s="53">
        <v>6789</v>
      </c>
      <c r="N43" s="53">
        <v>4873.5</v>
      </c>
      <c r="O43" s="23">
        <f t="shared" si="207"/>
        <v>16047</v>
      </c>
      <c r="P43" s="23">
        <f t="shared" si="207"/>
        <v>11802.5</v>
      </c>
      <c r="Q43" s="53">
        <v>7502</v>
      </c>
      <c r="R43" s="53">
        <v>5254.8</v>
      </c>
      <c r="S43" s="23">
        <f t="shared" si="208"/>
        <v>23549</v>
      </c>
      <c r="T43" s="23">
        <f t="shared" si="208"/>
        <v>17057.3</v>
      </c>
      <c r="U43" s="53">
        <v>6815</v>
      </c>
      <c r="V43" s="53">
        <v>4617.8</v>
      </c>
      <c r="W43" s="23">
        <f t="shared" si="209"/>
        <v>30364</v>
      </c>
      <c r="X43" s="23">
        <f t="shared" si="209"/>
        <v>21675.1</v>
      </c>
      <c r="Y43" s="53">
        <v>6420</v>
      </c>
      <c r="Z43" s="53">
        <v>3985.8</v>
      </c>
      <c r="AA43" s="23">
        <f t="shared" si="210"/>
        <v>36784</v>
      </c>
      <c r="AB43" s="23">
        <f t="shared" si="210"/>
        <v>25660.899999999998</v>
      </c>
      <c r="AC43" s="53">
        <f>1+AD43</f>
        <v>4161.1000000000004</v>
      </c>
      <c r="AD43" s="53">
        <v>4160.1000000000004</v>
      </c>
      <c r="AE43" s="23">
        <f t="shared" si="211"/>
        <v>40945.1</v>
      </c>
      <c r="AF43" s="23">
        <f t="shared" si="211"/>
        <v>29821</v>
      </c>
      <c r="AG43" s="53">
        <v>508</v>
      </c>
      <c r="AH43" s="53">
        <v>3447.9</v>
      </c>
      <c r="AI43" s="23">
        <f t="shared" si="194"/>
        <v>41453.1</v>
      </c>
      <c r="AJ43" s="23">
        <f t="shared" si="194"/>
        <v>33268.9</v>
      </c>
      <c r="AK43" s="53">
        <v>475</v>
      </c>
      <c r="AL43" s="53">
        <v>5652.4</v>
      </c>
      <c r="AM43" s="23">
        <f t="shared" si="195"/>
        <v>41928.1</v>
      </c>
      <c r="AN43" s="23">
        <f t="shared" si="195"/>
        <v>38921.300000000003</v>
      </c>
      <c r="AO43" s="53">
        <v>857</v>
      </c>
      <c r="AP43" s="53">
        <v>5803.2</v>
      </c>
      <c r="AQ43" s="23">
        <f t="shared" si="196"/>
        <v>42785.1</v>
      </c>
      <c r="AR43" s="23">
        <f t="shared" si="196"/>
        <v>44724.5</v>
      </c>
      <c r="AS43" s="53">
        <f>0+AT43</f>
        <v>3973.5</v>
      </c>
      <c r="AT43" s="53">
        <v>3973.5</v>
      </c>
      <c r="AU43" s="23">
        <f t="shared" si="197"/>
        <v>46758.6</v>
      </c>
      <c r="AV43" s="23">
        <f t="shared" si="197"/>
        <v>48698</v>
      </c>
      <c r="AW43" s="53">
        <f>5.4+AX43</f>
        <v>9530.4</v>
      </c>
      <c r="AX43" s="53">
        <v>9525</v>
      </c>
      <c r="AY43" s="53">
        <v>64105</v>
      </c>
      <c r="AZ43" s="53">
        <v>64105.2</v>
      </c>
      <c r="BA43" s="56">
        <f t="shared" si="212"/>
        <v>0.10080605001150511</v>
      </c>
      <c r="BB43" s="56">
        <f t="shared" si="212"/>
        <v>0.10102880305034079</v>
      </c>
      <c r="BC43" s="53">
        <v>2753</v>
      </c>
      <c r="BD43" s="53">
        <v>2752.9</v>
      </c>
      <c r="BE43" s="53">
        <v>5195</v>
      </c>
      <c r="BF43" s="53">
        <v>5194.8</v>
      </c>
      <c r="BG43" s="23">
        <f>BC43+BE43</f>
        <v>7948</v>
      </c>
      <c r="BH43" s="23">
        <f>BD43+BF43</f>
        <v>7947.7000000000007</v>
      </c>
      <c r="BI43" s="56">
        <f t="shared" si="184"/>
        <v>-0.14149924389717006</v>
      </c>
      <c r="BJ43" s="56">
        <f t="shared" si="184"/>
        <v>0.14701977197286786</v>
      </c>
      <c r="BK43" s="53">
        <v>7449</v>
      </c>
      <c r="BL43" s="53">
        <v>5354</v>
      </c>
      <c r="BM43" s="23">
        <f t="shared" si="198"/>
        <v>15397</v>
      </c>
      <c r="BN43" s="23">
        <f t="shared" si="198"/>
        <v>13301.7</v>
      </c>
      <c r="BO43" s="56">
        <f t="shared" si="185"/>
        <v>-4.0506013585093759E-2</v>
      </c>
      <c r="BP43" s="56">
        <f t="shared" si="185"/>
        <v>0.12702393560686298</v>
      </c>
      <c r="BQ43" s="53"/>
      <c r="BR43" s="53"/>
      <c r="BS43" s="23">
        <f t="shared" si="199"/>
        <v>15397</v>
      </c>
      <c r="BT43" s="23">
        <f t="shared" si="199"/>
        <v>13301.7</v>
      </c>
      <c r="BU43" s="56">
        <f t="shared" si="186"/>
        <v>-0.3461718119665379</v>
      </c>
      <c r="BV43" s="56">
        <f t="shared" si="186"/>
        <v>-0.22017552602111701</v>
      </c>
      <c r="BW43" s="53"/>
      <c r="BX43" s="53"/>
      <c r="BY43" s="23">
        <f t="shared" si="200"/>
        <v>15397</v>
      </c>
      <c r="BZ43" s="23">
        <f t="shared" si="200"/>
        <v>13301.7</v>
      </c>
      <c r="CA43" s="56">
        <f t="shared" si="187"/>
        <v>-0.49291924647609009</v>
      </c>
      <c r="CB43" s="56">
        <f t="shared" si="187"/>
        <v>-0.3863142499919261</v>
      </c>
      <c r="CC43" s="53"/>
      <c r="CD43" s="53"/>
      <c r="CE43" s="23">
        <f t="shared" si="201"/>
        <v>15397</v>
      </c>
      <c r="CF43" s="23">
        <f t="shared" si="201"/>
        <v>13301.7</v>
      </c>
      <c r="CG43" s="56">
        <f t="shared" si="188"/>
        <v>-0.58142127011744238</v>
      </c>
      <c r="CH43" s="56">
        <f t="shared" si="188"/>
        <v>-0.48163548433609105</v>
      </c>
      <c r="CI43" s="53"/>
      <c r="CJ43" s="53"/>
      <c r="CK43" s="23">
        <f t="shared" si="202"/>
        <v>15397</v>
      </c>
      <c r="CL43" s="23">
        <f t="shared" si="202"/>
        <v>13301.7</v>
      </c>
      <c r="CM43" s="56">
        <f t="shared" si="189"/>
        <v>-0.6239598877521364</v>
      </c>
      <c r="CN43" s="56">
        <f t="shared" si="189"/>
        <v>-0.55394855973978063</v>
      </c>
      <c r="CO43" s="53"/>
      <c r="CP43" s="53"/>
      <c r="CQ43" s="23">
        <f t="shared" si="203"/>
        <v>15397</v>
      </c>
      <c r="CR43" s="23">
        <f t="shared" si="203"/>
        <v>13301.7</v>
      </c>
      <c r="CS43" s="56">
        <f t="shared" si="190"/>
        <v>-0.6285681891101027</v>
      </c>
      <c r="CT43" s="56">
        <f t="shared" si="190"/>
        <v>-0.60017614047954693</v>
      </c>
      <c r="CU43" s="53"/>
      <c r="CV43" s="53"/>
      <c r="CW43" s="23">
        <f t="shared" si="204"/>
        <v>15397</v>
      </c>
      <c r="CX43" s="23">
        <f t="shared" si="204"/>
        <v>13301.7</v>
      </c>
      <c r="CY43" s="56">
        <f t="shared" si="191"/>
        <v>-0.63277610957806341</v>
      </c>
      <c r="CZ43" s="56">
        <f t="shared" si="191"/>
        <v>-0.65824111733164103</v>
      </c>
      <c r="DA43" s="53"/>
      <c r="DB43" s="53"/>
      <c r="DC43" s="23">
        <f t="shared" si="205"/>
        <v>15397</v>
      </c>
      <c r="DD43" s="23">
        <f t="shared" si="205"/>
        <v>13301.7</v>
      </c>
      <c r="DE43" s="56">
        <f t="shared" si="192"/>
        <v>-0.64013172810160546</v>
      </c>
      <c r="DF43" s="56">
        <f t="shared" si="192"/>
        <v>-0.70258583103220829</v>
      </c>
      <c r="DG43" s="53"/>
      <c r="DH43" s="53"/>
      <c r="DI43" s="23">
        <f t="shared" si="206"/>
        <v>15397</v>
      </c>
      <c r="DJ43" s="23">
        <f t="shared" si="206"/>
        <v>13301.7</v>
      </c>
      <c r="DK43" s="56">
        <f t="shared" si="193"/>
        <v>-0.67071298114143707</v>
      </c>
      <c r="DL43" s="56">
        <f t="shared" si="193"/>
        <v>-0.72685325886073349</v>
      </c>
      <c r="DM43" s="53"/>
      <c r="DN43" s="53"/>
      <c r="DO43" s="53"/>
      <c r="DP43" s="53"/>
      <c r="DQ43" s="53">
        <v>64105</v>
      </c>
      <c r="DR43" s="53">
        <v>64105.2</v>
      </c>
      <c r="DS43" s="56">
        <f>IF($AY$43=0,1,DQ43/$AY$43-1)</f>
        <v>0</v>
      </c>
      <c r="DT43" s="56">
        <f>IF($AZ$43=0,1,DR43/$AZ$43-1)</f>
        <v>0</v>
      </c>
      <c r="DU43" s="56">
        <f>IF($E$43=0,1,DQ43/$E$43-1)</f>
        <v>0.10080605001150511</v>
      </c>
      <c r="DV43" s="56">
        <f>IF($E$43=0,1,DR43/$E$43-1)</f>
        <v>0.10080948439587467</v>
      </c>
      <c r="DW43" s="52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</row>
    <row r="44" spans="1:268" s="68" customFormat="1" ht="18" customHeight="1">
      <c r="A44" s="409" t="s">
        <v>102</v>
      </c>
      <c r="B44" s="410"/>
      <c r="C44" s="36">
        <f>'[1]прогноз '!B60</f>
        <v>33772.400000000001</v>
      </c>
      <c r="D44" s="36">
        <f>'[1]прогноз '!C60</f>
        <v>28812.7</v>
      </c>
      <c r="E44" s="36">
        <v>103357</v>
      </c>
      <c r="F44" s="36">
        <f>H44+J44+N44+R44+V44+Z44+AD44+AH44+AL44+AP44+AT44+AX44</f>
        <v>103356.6</v>
      </c>
      <c r="G44" s="36">
        <v>0</v>
      </c>
      <c r="H44" s="36">
        <v>0</v>
      </c>
      <c r="I44" s="36">
        <v>0</v>
      </c>
      <c r="J44" s="36">
        <v>0</v>
      </c>
      <c r="K44" s="23">
        <f t="shared" ref="K44:L61" si="213">G44+I44</f>
        <v>0</v>
      </c>
      <c r="L44" s="23">
        <f t="shared" si="213"/>
        <v>0</v>
      </c>
      <c r="M44" s="36">
        <v>922</v>
      </c>
      <c r="N44" s="36">
        <v>922.3</v>
      </c>
      <c r="O44" s="23">
        <f t="shared" si="207"/>
        <v>922</v>
      </c>
      <c r="P44" s="23">
        <f t="shared" si="207"/>
        <v>922.3</v>
      </c>
      <c r="Q44" s="36">
        <v>1389</v>
      </c>
      <c r="R44" s="36">
        <v>1389</v>
      </c>
      <c r="S44" s="23">
        <f t="shared" si="208"/>
        <v>2311</v>
      </c>
      <c r="T44" s="23">
        <f t="shared" si="208"/>
        <v>2311.3000000000002</v>
      </c>
      <c r="U44" s="36">
        <v>3774</v>
      </c>
      <c r="V44" s="36">
        <v>9193.4</v>
      </c>
      <c r="W44" s="23">
        <f t="shared" si="209"/>
        <v>6085</v>
      </c>
      <c r="X44" s="23">
        <f t="shared" si="209"/>
        <v>11504.7</v>
      </c>
      <c r="Y44" s="36">
        <v>23901</v>
      </c>
      <c r="Z44" s="36">
        <v>36104.6</v>
      </c>
      <c r="AA44" s="23">
        <f t="shared" si="210"/>
        <v>29986</v>
      </c>
      <c r="AB44" s="23">
        <f t="shared" si="210"/>
        <v>47609.3</v>
      </c>
      <c r="AC44" s="36">
        <v>10565</v>
      </c>
      <c r="AD44" s="36">
        <v>10378.4</v>
      </c>
      <c r="AE44" s="23">
        <f t="shared" si="211"/>
        <v>40551</v>
      </c>
      <c r="AF44" s="23">
        <f t="shared" si="211"/>
        <v>57987.700000000004</v>
      </c>
      <c r="AG44" s="36">
        <f>15177-4111.3</f>
        <v>11065.7</v>
      </c>
      <c r="AH44" s="36">
        <v>8177.4</v>
      </c>
      <c r="AI44" s="23">
        <f t="shared" si="194"/>
        <v>51616.7</v>
      </c>
      <c r="AJ44" s="23">
        <f t="shared" si="194"/>
        <v>66165.100000000006</v>
      </c>
      <c r="AK44" s="36">
        <v>18594.400000000001</v>
      </c>
      <c r="AL44" s="36">
        <v>9251.2000000000007</v>
      </c>
      <c r="AM44" s="23">
        <f t="shared" si="195"/>
        <v>70211.100000000006</v>
      </c>
      <c r="AN44" s="23">
        <f t="shared" si="195"/>
        <v>75416.3</v>
      </c>
      <c r="AO44" s="36">
        <v>9757</v>
      </c>
      <c r="AP44" s="36">
        <v>3716</v>
      </c>
      <c r="AQ44" s="23">
        <f t="shared" si="196"/>
        <v>79968.100000000006</v>
      </c>
      <c r="AR44" s="23">
        <f t="shared" si="196"/>
        <v>79132.3</v>
      </c>
      <c r="AS44" s="36">
        <f>64+AT44</f>
        <v>6505.5</v>
      </c>
      <c r="AT44" s="36">
        <v>6441.5</v>
      </c>
      <c r="AU44" s="23">
        <f t="shared" si="197"/>
        <v>86473.600000000006</v>
      </c>
      <c r="AV44" s="23">
        <f t="shared" si="197"/>
        <v>85573.8</v>
      </c>
      <c r="AW44" s="36">
        <f>5935+AX44</f>
        <v>23717.8</v>
      </c>
      <c r="AX44" s="36">
        <v>17782.8</v>
      </c>
      <c r="AY44" s="36">
        <v>16809</v>
      </c>
      <c r="AZ44" s="36">
        <v>16809.099999999999</v>
      </c>
      <c r="BA44" s="56">
        <f t="shared" si="212"/>
        <v>-0.83736950569385726</v>
      </c>
      <c r="BB44" s="56">
        <f t="shared" si="212"/>
        <v>-0.83736790877408895</v>
      </c>
      <c r="BC44" s="36">
        <v>0</v>
      </c>
      <c r="BD44" s="36">
        <v>0</v>
      </c>
      <c r="BE44" s="36">
        <v>0</v>
      </c>
      <c r="BF44" s="36">
        <v>0</v>
      </c>
      <c r="BG44" s="23">
        <f t="shared" ref="BG44:BH61" si="214">BC44+BE44</f>
        <v>0</v>
      </c>
      <c r="BH44" s="23">
        <f t="shared" si="214"/>
        <v>0</v>
      </c>
      <c r="BI44" s="56">
        <f t="shared" si="184"/>
        <v>1</v>
      </c>
      <c r="BJ44" s="56">
        <f t="shared" si="184"/>
        <v>1</v>
      </c>
      <c r="BK44" s="36">
        <v>0</v>
      </c>
      <c r="BL44" s="36">
        <v>0</v>
      </c>
      <c r="BM44" s="23">
        <f t="shared" si="198"/>
        <v>0</v>
      </c>
      <c r="BN44" s="23">
        <f t="shared" si="198"/>
        <v>0</v>
      </c>
      <c r="BO44" s="56">
        <f t="shared" si="185"/>
        <v>-1</v>
      </c>
      <c r="BP44" s="56">
        <f t="shared" si="185"/>
        <v>-1</v>
      </c>
      <c r="BQ44" s="36"/>
      <c r="BR44" s="36"/>
      <c r="BS44" s="23">
        <f t="shared" si="199"/>
        <v>0</v>
      </c>
      <c r="BT44" s="23">
        <f t="shared" si="199"/>
        <v>0</v>
      </c>
      <c r="BU44" s="56">
        <f t="shared" si="186"/>
        <v>-1</v>
      </c>
      <c r="BV44" s="56">
        <f t="shared" si="186"/>
        <v>-1</v>
      </c>
      <c r="BW44" s="36"/>
      <c r="BX44" s="36"/>
      <c r="BY44" s="23">
        <f t="shared" si="200"/>
        <v>0</v>
      </c>
      <c r="BZ44" s="23">
        <f t="shared" si="200"/>
        <v>0</v>
      </c>
      <c r="CA44" s="56">
        <f t="shared" si="187"/>
        <v>-1</v>
      </c>
      <c r="CB44" s="56">
        <f t="shared" si="187"/>
        <v>-1</v>
      </c>
      <c r="CC44" s="36"/>
      <c r="CD44" s="36"/>
      <c r="CE44" s="23">
        <f t="shared" si="201"/>
        <v>0</v>
      </c>
      <c r="CF44" s="23">
        <f t="shared" si="201"/>
        <v>0</v>
      </c>
      <c r="CG44" s="56">
        <f t="shared" si="188"/>
        <v>-1</v>
      </c>
      <c r="CH44" s="56">
        <f t="shared" si="188"/>
        <v>-1</v>
      </c>
      <c r="CI44" s="36"/>
      <c r="CJ44" s="36"/>
      <c r="CK44" s="23">
        <f t="shared" si="202"/>
        <v>0</v>
      </c>
      <c r="CL44" s="23">
        <f t="shared" si="202"/>
        <v>0</v>
      </c>
      <c r="CM44" s="56">
        <f t="shared" si="189"/>
        <v>-1</v>
      </c>
      <c r="CN44" s="56">
        <f t="shared" si="189"/>
        <v>-1</v>
      </c>
      <c r="CO44" s="36"/>
      <c r="CP44" s="36"/>
      <c r="CQ44" s="23">
        <f t="shared" si="203"/>
        <v>0</v>
      </c>
      <c r="CR44" s="23">
        <f t="shared" si="203"/>
        <v>0</v>
      </c>
      <c r="CS44" s="56">
        <f t="shared" si="190"/>
        <v>-1</v>
      </c>
      <c r="CT44" s="56">
        <f t="shared" si="190"/>
        <v>-1</v>
      </c>
      <c r="CU44" s="36"/>
      <c r="CV44" s="36"/>
      <c r="CW44" s="23">
        <f t="shared" si="204"/>
        <v>0</v>
      </c>
      <c r="CX44" s="23">
        <f t="shared" si="204"/>
        <v>0</v>
      </c>
      <c r="CY44" s="56">
        <f t="shared" si="191"/>
        <v>-1</v>
      </c>
      <c r="CZ44" s="56">
        <f t="shared" si="191"/>
        <v>-1</v>
      </c>
      <c r="DA44" s="36"/>
      <c r="DB44" s="36"/>
      <c r="DC44" s="23">
        <f t="shared" si="205"/>
        <v>0</v>
      </c>
      <c r="DD44" s="23">
        <f t="shared" si="205"/>
        <v>0</v>
      </c>
      <c r="DE44" s="56">
        <f t="shared" si="192"/>
        <v>-1</v>
      </c>
      <c r="DF44" s="56">
        <f t="shared" si="192"/>
        <v>-1</v>
      </c>
      <c r="DG44" s="36"/>
      <c r="DH44" s="36"/>
      <c r="DI44" s="23">
        <f t="shared" si="206"/>
        <v>0</v>
      </c>
      <c r="DJ44" s="23">
        <f t="shared" si="206"/>
        <v>0</v>
      </c>
      <c r="DK44" s="56">
        <f t="shared" si="193"/>
        <v>-1</v>
      </c>
      <c r="DL44" s="56">
        <f t="shared" si="193"/>
        <v>-1</v>
      </c>
      <c r="DM44" s="36"/>
      <c r="DN44" s="36"/>
      <c r="DO44" s="36"/>
      <c r="DP44" s="36"/>
      <c r="DQ44" s="53">
        <v>16809</v>
      </c>
      <c r="DR44" s="36">
        <v>16809.099999999999</v>
      </c>
      <c r="DS44" s="56">
        <f>IF($AY$44=0,1,DQ44/$AY$44-1)</f>
        <v>0</v>
      </c>
      <c r="DT44" s="56">
        <f>IF($AZ$44=0,1,DR44/$AZ$44-1)</f>
        <v>0</v>
      </c>
      <c r="DU44" s="56">
        <f>IF($E$44=0,1,DQ44/$E$44-1)</f>
        <v>-0.83736950569385726</v>
      </c>
      <c r="DV44" s="56">
        <f>IF($E$44=0,1,DR44/$E$44-1)</f>
        <v>-0.83736853817351509</v>
      </c>
      <c r="DW44" s="52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</row>
    <row r="45" spans="1:268" s="68" customFormat="1" ht="18" customHeight="1">
      <c r="A45" s="409" t="s">
        <v>103</v>
      </c>
      <c r="B45" s="410"/>
      <c r="C45" s="36"/>
      <c r="D45" s="36"/>
      <c r="E45" s="36"/>
      <c r="F45" s="36"/>
      <c r="G45" s="36"/>
      <c r="H45" s="36"/>
      <c r="I45" s="36"/>
      <c r="J45" s="36"/>
      <c r="K45" s="23">
        <f t="shared" si="213"/>
        <v>0</v>
      </c>
      <c r="L45" s="23">
        <f t="shared" si="213"/>
        <v>0</v>
      </c>
      <c r="M45" s="36"/>
      <c r="N45" s="36"/>
      <c r="O45" s="23"/>
      <c r="P45" s="23"/>
      <c r="Q45" s="36"/>
      <c r="R45" s="36"/>
      <c r="S45" s="23"/>
      <c r="T45" s="23"/>
      <c r="U45" s="36"/>
      <c r="V45" s="36"/>
      <c r="W45" s="23"/>
      <c r="X45" s="23"/>
      <c r="Y45" s="36"/>
      <c r="Z45" s="36"/>
      <c r="AA45" s="23"/>
      <c r="AB45" s="23"/>
      <c r="AC45" s="36"/>
      <c r="AD45" s="36"/>
      <c r="AE45" s="23"/>
      <c r="AF45" s="23"/>
      <c r="AG45" s="36"/>
      <c r="AH45" s="36"/>
      <c r="AI45" s="23"/>
      <c r="AJ45" s="23"/>
      <c r="AK45" s="36"/>
      <c r="AL45" s="36"/>
      <c r="AM45" s="23"/>
      <c r="AN45" s="23"/>
      <c r="AO45" s="36"/>
      <c r="AP45" s="36"/>
      <c r="AQ45" s="23"/>
      <c r="AR45" s="23"/>
      <c r="AS45" s="36"/>
      <c r="AT45" s="36"/>
      <c r="AU45" s="23"/>
      <c r="AV45" s="23"/>
      <c r="AW45" s="36"/>
      <c r="AX45" s="36"/>
      <c r="AY45" s="36"/>
      <c r="AZ45" s="36"/>
      <c r="BA45" s="56">
        <f t="shared" si="212"/>
        <v>1</v>
      </c>
      <c r="BB45" s="56">
        <f t="shared" si="212"/>
        <v>1</v>
      </c>
      <c r="BC45" s="36"/>
      <c r="BD45" s="36"/>
      <c r="BE45" s="36"/>
      <c r="BF45" s="36"/>
      <c r="BG45" s="23">
        <f t="shared" si="214"/>
        <v>0</v>
      </c>
      <c r="BH45" s="23">
        <f t="shared" si="214"/>
        <v>0</v>
      </c>
      <c r="BI45" s="56">
        <f t="shared" si="184"/>
        <v>1</v>
      </c>
      <c r="BJ45" s="56">
        <f t="shared" si="184"/>
        <v>1</v>
      </c>
      <c r="BK45" s="36"/>
      <c r="BL45" s="36"/>
      <c r="BM45" s="23"/>
      <c r="BN45" s="23"/>
      <c r="BO45" s="56">
        <f t="shared" si="185"/>
        <v>1</v>
      </c>
      <c r="BP45" s="56">
        <f t="shared" si="185"/>
        <v>1</v>
      </c>
      <c r="BQ45" s="36"/>
      <c r="BR45" s="36"/>
      <c r="BS45" s="23"/>
      <c r="BT45" s="23"/>
      <c r="BU45" s="56">
        <f t="shared" si="186"/>
        <v>1</v>
      </c>
      <c r="BV45" s="56">
        <f t="shared" si="186"/>
        <v>1</v>
      </c>
      <c r="BW45" s="36"/>
      <c r="BX45" s="36"/>
      <c r="BY45" s="23"/>
      <c r="BZ45" s="23"/>
      <c r="CA45" s="56">
        <f t="shared" si="187"/>
        <v>1</v>
      </c>
      <c r="CB45" s="56">
        <f t="shared" si="187"/>
        <v>1</v>
      </c>
      <c r="CC45" s="36"/>
      <c r="CD45" s="36"/>
      <c r="CE45" s="23"/>
      <c r="CF45" s="23"/>
      <c r="CG45" s="56">
        <f t="shared" si="188"/>
        <v>1</v>
      </c>
      <c r="CH45" s="56">
        <f t="shared" si="188"/>
        <v>1</v>
      </c>
      <c r="CI45" s="36"/>
      <c r="CJ45" s="36"/>
      <c r="CK45" s="23"/>
      <c r="CL45" s="23"/>
      <c r="CM45" s="56">
        <f t="shared" si="189"/>
        <v>1</v>
      </c>
      <c r="CN45" s="56">
        <f t="shared" si="189"/>
        <v>1</v>
      </c>
      <c r="CO45" s="36"/>
      <c r="CP45" s="36"/>
      <c r="CQ45" s="23"/>
      <c r="CR45" s="23"/>
      <c r="CS45" s="56">
        <f t="shared" si="190"/>
        <v>1</v>
      </c>
      <c r="CT45" s="56">
        <f t="shared" si="190"/>
        <v>1</v>
      </c>
      <c r="CU45" s="36"/>
      <c r="CV45" s="36"/>
      <c r="CW45" s="23"/>
      <c r="CX45" s="23"/>
      <c r="CY45" s="56">
        <f t="shared" si="191"/>
        <v>1</v>
      </c>
      <c r="CZ45" s="56">
        <f t="shared" si="191"/>
        <v>1</v>
      </c>
      <c r="DA45" s="36"/>
      <c r="DB45" s="36"/>
      <c r="DC45" s="23"/>
      <c r="DD45" s="23"/>
      <c r="DE45" s="56">
        <f t="shared" si="192"/>
        <v>1</v>
      </c>
      <c r="DF45" s="56">
        <f t="shared" si="192"/>
        <v>1</v>
      </c>
      <c r="DG45" s="36"/>
      <c r="DH45" s="36"/>
      <c r="DI45" s="23"/>
      <c r="DJ45" s="23"/>
      <c r="DK45" s="56">
        <f t="shared" si="193"/>
        <v>1</v>
      </c>
      <c r="DL45" s="56">
        <f t="shared" si="193"/>
        <v>1</v>
      </c>
      <c r="DM45" s="36"/>
      <c r="DN45" s="36"/>
      <c r="DO45" s="36"/>
      <c r="DP45" s="36"/>
      <c r="DQ45" s="36"/>
      <c r="DR45" s="36"/>
      <c r="DS45" s="56">
        <f>IF($AY$45=0,1,DQ45/$AY$45-1)</f>
        <v>1</v>
      </c>
      <c r="DT45" s="56">
        <f>IF($AZ$45=0,1,DR45/$AZ$45-1)</f>
        <v>1</v>
      </c>
      <c r="DU45" s="56">
        <f>IF($E$45=0,1,DQ45/$E$45-1)</f>
        <v>1</v>
      </c>
      <c r="DV45" s="56">
        <f>IF($E$45=0,1,DR45/$E$45-1)</f>
        <v>1</v>
      </c>
      <c r="DW45" s="52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</row>
    <row r="46" spans="1:268" s="70" customFormat="1" ht="18" customHeight="1">
      <c r="A46" s="409" t="s">
        <v>106</v>
      </c>
      <c r="B46" s="410"/>
      <c r="C46" s="36">
        <f t="shared" ref="C46:J46" si="215">C47+C48+C54+C55+C60+C56+C57+C58+C59+C61</f>
        <v>51185.4</v>
      </c>
      <c r="D46" s="36">
        <f t="shared" si="215"/>
        <v>39672.5</v>
      </c>
      <c r="E46" s="36">
        <f t="shared" si="215"/>
        <v>63127</v>
      </c>
      <c r="F46" s="36">
        <f t="shared" si="215"/>
        <v>45674.7</v>
      </c>
      <c r="G46" s="36">
        <f t="shared" si="215"/>
        <v>3313.3</v>
      </c>
      <c r="H46" s="36">
        <f t="shared" si="215"/>
        <v>2002.2000000000003</v>
      </c>
      <c r="I46" s="36">
        <f t="shared" si="215"/>
        <v>5368.7999999999993</v>
      </c>
      <c r="J46" s="36">
        <f t="shared" si="215"/>
        <v>4338.3999999999996</v>
      </c>
      <c r="K46" s="23">
        <f t="shared" si="213"/>
        <v>8682.0999999999985</v>
      </c>
      <c r="L46" s="23">
        <f t="shared" si="213"/>
        <v>6340.6</v>
      </c>
      <c r="M46" s="36">
        <f t="shared" ref="M46:AZ46" si="216">M47+M48+M54+M55+M60+M56+M57+M58+M59+M61</f>
        <v>4065.2</v>
      </c>
      <c r="N46" s="36">
        <f t="shared" si="216"/>
        <v>3311.7999999999997</v>
      </c>
      <c r="O46" s="36">
        <f t="shared" si="216"/>
        <v>12747.3</v>
      </c>
      <c r="P46" s="36">
        <f t="shared" si="216"/>
        <v>9652.4000000000015</v>
      </c>
      <c r="Q46" s="36">
        <f t="shared" si="216"/>
        <v>5068</v>
      </c>
      <c r="R46" s="36">
        <f t="shared" si="216"/>
        <v>3704.1</v>
      </c>
      <c r="S46" s="36">
        <f t="shared" si="216"/>
        <v>17815.3</v>
      </c>
      <c r="T46" s="36">
        <f t="shared" si="216"/>
        <v>13356.5</v>
      </c>
      <c r="U46" s="36">
        <f t="shared" si="216"/>
        <v>4220.1000000000004</v>
      </c>
      <c r="V46" s="36">
        <f t="shared" si="216"/>
        <v>3803.5000000000005</v>
      </c>
      <c r="W46" s="36">
        <f t="shared" si="216"/>
        <v>22035.4</v>
      </c>
      <c r="X46" s="36">
        <f t="shared" si="216"/>
        <v>17160</v>
      </c>
      <c r="Y46" s="36">
        <f t="shared" si="216"/>
        <v>8062.7</v>
      </c>
      <c r="Z46" s="36">
        <f t="shared" si="216"/>
        <v>4113.8</v>
      </c>
      <c r="AA46" s="36">
        <f t="shared" si="216"/>
        <v>30098.100000000006</v>
      </c>
      <c r="AB46" s="36">
        <f t="shared" si="216"/>
        <v>21273.8</v>
      </c>
      <c r="AC46" s="36">
        <f t="shared" si="216"/>
        <v>3192.7000000000003</v>
      </c>
      <c r="AD46" s="36">
        <f t="shared" si="216"/>
        <v>3092.2</v>
      </c>
      <c r="AE46" s="36">
        <f t="shared" si="216"/>
        <v>33290.800000000003</v>
      </c>
      <c r="AF46" s="36">
        <f t="shared" si="216"/>
        <v>24366.000000000004</v>
      </c>
      <c r="AG46" s="36">
        <f t="shared" si="216"/>
        <v>4074.5</v>
      </c>
      <c r="AH46" s="36">
        <f t="shared" si="216"/>
        <v>2970.8</v>
      </c>
      <c r="AI46" s="36">
        <f t="shared" si="216"/>
        <v>37365.300000000003</v>
      </c>
      <c r="AJ46" s="36">
        <f t="shared" si="216"/>
        <v>27336.800000000003</v>
      </c>
      <c r="AK46" s="36">
        <f t="shared" si="216"/>
        <v>6113.4</v>
      </c>
      <c r="AL46" s="36">
        <f t="shared" si="216"/>
        <v>4764.1000000000004</v>
      </c>
      <c r="AM46" s="36">
        <f t="shared" si="216"/>
        <v>43478.700000000004</v>
      </c>
      <c r="AN46" s="36">
        <f t="shared" si="216"/>
        <v>32100.9</v>
      </c>
      <c r="AO46" s="36">
        <f t="shared" si="216"/>
        <v>4821.8</v>
      </c>
      <c r="AP46" s="36">
        <f t="shared" si="216"/>
        <v>3508.9</v>
      </c>
      <c r="AQ46" s="36">
        <f t="shared" si="216"/>
        <v>48300.500000000007</v>
      </c>
      <c r="AR46" s="36">
        <f t="shared" si="216"/>
        <v>35609.800000000003</v>
      </c>
      <c r="AS46" s="36">
        <f t="shared" si="216"/>
        <v>7581.4</v>
      </c>
      <c r="AT46" s="36">
        <f t="shared" si="216"/>
        <v>4391.3999999999996</v>
      </c>
      <c r="AU46" s="36">
        <f t="shared" si="216"/>
        <v>55881.9</v>
      </c>
      <c r="AV46" s="36">
        <f t="shared" si="216"/>
        <v>40001.200000000004</v>
      </c>
      <c r="AW46" s="36">
        <f t="shared" si="216"/>
        <v>12675.3</v>
      </c>
      <c r="AX46" s="36">
        <f t="shared" si="216"/>
        <v>5673.4999999999991</v>
      </c>
      <c r="AY46" s="36">
        <f t="shared" si="216"/>
        <v>0</v>
      </c>
      <c r="AZ46" s="36">
        <f t="shared" si="216"/>
        <v>45885.000000000007</v>
      </c>
      <c r="BA46" s="56">
        <f t="shared" si="212"/>
        <v>-1</v>
      </c>
      <c r="BB46" s="56">
        <f t="shared" si="212"/>
        <v>4.6042995356294636E-3</v>
      </c>
      <c r="BC46" s="36">
        <f t="shared" ref="BC46:BH46" si="217">BC47+BC48+BC54+BC55+BC60+BC56+BC57+BC58+BC59+BC61</f>
        <v>0</v>
      </c>
      <c r="BD46" s="36">
        <f t="shared" si="217"/>
        <v>781.5</v>
      </c>
      <c r="BE46" s="36">
        <f t="shared" si="217"/>
        <v>0</v>
      </c>
      <c r="BF46" s="36">
        <f t="shared" si="217"/>
        <v>4005.1</v>
      </c>
      <c r="BG46" s="36">
        <f t="shared" si="217"/>
        <v>0</v>
      </c>
      <c r="BH46" s="36">
        <f t="shared" si="217"/>
        <v>4786.5999999999995</v>
      </c>
      <c r="BI46" s="56">
        <f t="shared" si="184"/>
        <v>-1</v>
      </c>
      <c r="BJ46" s="56">
        <f t="shared" si="184"/>
        <v>-0.24508721572090986</v>
      </c>
      <c r="BK46" s="36">
        <f>BK47+BK48+BK54+BK55+BK60+BK56+BK57+BK58+BK59+BK61</f>
        <v>0</v>
      </c>
      <c r="BL46" s="36">
        <f>BL47+BL48+BL54+BL55+BL60+BL56+BL57+BL58+BL59+BL61</f>
        <v>1881.9</v>
      </c>
      <c r="BM46" s="36">
        <f>BM47+BM48+BM54+BM55+BM60+BM56+BM57+BM58+BM59+BM61</f>
        <v>0</v>
      </c>
      <c r="BN46" s="36">
        <f>BN47+BN48+BN54+BN55+BN60+BN56+BN57+BN58+BN59+BN61</f>
        <v>6668.5</v>
      </c>
      <c r="BO46" s="56">
        <f t="shared" si="185"/>
        <v>-1</v>
      </c>
      <c r="BP46" s="56">
        <f t="shared" si="185"/>
        <v>-0.30913555177986829</v>
      </c>
      <c r="BQ46" s="36">
        <f>BQ47+BQ48+BQ54+BQ55+BQ60+BQ56+BQ57+BQ58+BQ59+BQ61</f>
        <v>0</v>
      </c>
      <c r="BR46" s="36">
        <f>BR47+BR48+BR54+BR55+BR60+BR56+BR57+BR58+BR59+BR61</f>
        <v>0</v>
      </c>
      <c r="BS46" s="36">
        <f>BS47+BS48+BS54+BS55+BS60+BS56+BS57+BS58+BS59+BS61</f>
        <v>0</v>
      </c>
      <c r="BT46" s="36">
        <f>BT47+BT48+BT54+BT55+BT60+BT56+BT57+BT58+BT59+BT61</f>
        <v>6668.5</v>
      </c>
      <c r="BU46" s="56">
        <f t="shared" si="186"/>
        <v>-1</v>
      </c>
      <c r="BV46" s="56">
        <f t="shared" si="186"/>
        <v>-0.5007299816568711</v>
      </c>
      <c r="BW46" s="36">
        <f>BW47+BW48+BW54+BW55+BW60+BW56+BW57+BW58+BW59+BW61</f>
        <v>0</v>
      </c>
      <c r="BX46" s="36">
        <f>BX47+BX48+BX54+BX55+BX60+BX56+BX57+BX58+BX59+BX61</f>
        <v>0</v>
      </c>
      <c r="BY46" s="36">
        <f>BY47+BY48+BY54+BY55+BY60+BY56+BY57+BY58+BY59+BY61</f>
        <v>0</v>
      </c>
      <c r="BZ46" s="36">
        <f>BZ47+BZ48+BZ54+BZ55+BZ60+BZ56+BZ57+BZ58+BZ59+BZ61</f>
        <v>6668.5</v>
      </c>
      <c r="CA46" s="56">
        <f t="shared" si="187"/>
        <v>-1</v>
      </c>
      <c r="CB46" s="56">
        <f t="shared" si="187"/>
        <v>-0.61139277389277391</v>
      </c>
      <c r="CC46" s="36">
        <f>CC47+CC48+CC54+CC55+CC60+CC56+CC57+CC58+CC59+CC61</f>
        <v>0</v>
      </c>
      <c r="CD46" s="36">
        <f>CD47+CD48+CD54+CD55+CD60+CD56+CD57+CD58+CD59+CD61</f>
        <v>0</v>
      </c>
      <c r="CE46" s="36">
        <f>CE47+CE48+CE54+CE55+CE60+CE56+CE57+CE58+CE59+CE61</f>
        <v>0</v>
      </c>
      <c r="CF46" s="36">
        <f>CF47+CF48+CF54+CF55+CF60+CF56+CF57+CF58+CF59+CF61</f>
        <v>6668.5</v>
      </c>
      <c r="CG46" s="56">
        <f t="shared" si="188"/>
        <v>-1</v>
      </c>
      <c r="CH46" s="56">
        <f t="shared" si="188"/>
        <v>-0.68653931126550027</v>
      </c>
      <c r="CI46" s="36">
        <f>CI47+CI48+CI54+CI55+CI60+CI56+CI57+CI58+CI59+CI61</f>
        <v>0</v>
      </c>
      <c r="CJ46" s="36">
        <f>CJ47+CJ48+CJ54+CJ55+CJ60+CJ56+CJ57+CJ58+CJ59+CJ61</f>
        <v>0</v>
      </c>
      <c r="CK46" s="36">
        <f>CK47+CK48+CK54+CK55+CK60+CK56+CK57+CK58+CK59+CK61</f>
        <v>0</v>
      </c>
      <c r="CL46" s="36">
        <f>CL47+CL48+CL54+CL55+CL60+CL56+CL57+CL58+CL59+CL61</f>
        <v>6668.5</v>
      </c>
      <c r="CM46" s="56">
        <f t="shared" si="189"/>
        <v>-1</v>
      </c>
      <c r="CN46" s="56">
        <f t="shared" si="189"/>
        <v>-0.72631946154477556</v>
      </c>
      <c r="CO46" s="36">
        <f>CO47+CO48+CO54+CO55+CO60+CO56+CO57+CO58+CO59+CO61</f>
        <v>0</v>
      </c>
      <c r="CP46" s="36">
        <f>CP47+CP48+CP54+CP55+CP60+CP56+CP57+CP58+CP59+CP61</f>
        <v>0</v>
      </c>
      <c r="CQ46" s="36">
        <f>CQ47+CQ48+CQ54+CQ55+CQ60+CQ56+CQ57+CQ58+CQ59+CQ61</f>
        <v>0</v>
      </c>
      <c r="CR46" s="36">
        <f>CR47+CR48+CR54+CR55+CR60+CR56+CR57+CR58+CR59+CR61</f>
        <v>6668.5</v>
      </c>
      <c r="CS46" s="56">
        <f t="shared" si="190"/>
        <v>-1</v>
      </c>
      <c r="CT46" s="56">
        <f t="shared" si="190"/>
        <v>-0.75606142635568174</v>
      </c>
      <c r="CU46" s="36">
        <f>CU47+CU48+CU54+CU55+CU60+CU56+CU57+CU58+CU59+CU61</f>
        <v>0</v>
      </c>
      <c r="CV46" s="36">
        <f>CV47+CV48+CV54+CV55+CV60+CV56+CV57+CV58+CV59+CV61</f>
        <v>0</v>
      </c>
      <c r="CW46" s="36">
        <f>CW47+CW48+CW54+CW55+CW60+CW56+CW57+CW58+CW59+CW61</f>
        <v>0</v>
      </c>
      <c r="CX46" s="36">
        <f>CX47+CX48+CX54+CX55+CX60+CX56+CX57+CX58+CX59+CX61</f>
        <v>6668.5</v>
      </c>
      <c r="CY46" s="56">
        <f t="shared" si="191"/>
        <v>-1</v>
      </c>
      <c r="CZ46" s="56">
        <f t="shared" si="191"/>
        <v>-0.79226439134105275</v>
      </c>
      <c r="DA46" s="36">
        <f>DA47+DA48+DA54+DA55+DA60+DA56+DA57+DA58+DA59+DA61</f>
        <v>0</v>
      </c>
      <c r="DB46" s="36">
        <f>DB47+DB48+DB54+DB55+DB60+DB56+DB57+DB58+DB59+DB61</f>
        <v>0</v>
      </c>
      <c r="DC46" s="36">
        <f>DC47+DC48+DC54+DC55+DC60+DC56+DC57+DC58+DC59+DC61</f>
        <v>0</v>
      </c>
      <c r="DD46" s="36">
        <f>DD47+DD48+DD54+DD55+DD60+DD56+DD57+DD58+DD59+DD61</f>
        <v>6668.5</v>
      </c>
      <c r="DE46" s="56">
        <f t="shared" si="192"/>
        <v>-1</v>
      </c>
      <c r="DF46" s="56">
        <f t="shared" si="192"/>
        <v>-0.81273413498531299</v>
      </c>
      <c r="DG46" s="36">
        <f>DG47+DG48+DG54+DG55+DG60+DG56+DG57+DG58+DG59+DG61</f>
        <v>0</v>
      </c>
      <c r="DH46" s="36">
        <f>DH47+DH48+DH54+DH55+DH60+DH56+DH57+DH58+DH59+DH61</f>
        <v>0</v>
      </c>
      <c r="DI46" s="36">
        <f>DI47+DI48+DI54+DI55+DI60+DI56+DI57+DI58+DI59+DI61</f>
        <v>0</v>
      </c>
      <c r="DJ46" s="36">
        <f>DJ47+DJ48+DJ54+DJ55+DJ60+DJ56+DJ57+DJ58+DJ59+DJ61</f>
        <v>6668.5</v>
      </c>
      <c r="DK46" s="56">
        <f t="shared" si="193"/>
        <v>-1</v>
      </c>
      <c r="DL46" s="56">
        <f t="shared" si="193"/>
        <v>-0.83329250122496323</v>
      </c>
      <c r="DM46" s="36">
        <f>DM47+DM48+DM54+DM55+DM60+DM56+DM57+DM58+DM59+DM61</f>
        <v>0</v>
      </c>
      <c r="DN46" s="36">
        <f>DN47+DN48+DN54+DN55+DN60+DN56+DN57+DN58+DN59+DN61</f>
        <v>0</v>
      </c>
      <c r="DO46" s="36">
        <f t="shared" ref="DO46:DR46" si="218">DO47+DO48+DO54+DO55+DO60+DO56+DO57+DO58+DO59+DO61</f>
        <v>0</v>
      </c>
      <c r="DP46" s="36">
        <f t="shared" si="218"/>
        <v>0</v>
      </c>
      <c r="DQ46" s="36">
        <f t="shared" si="218"/>
        <v>0</v>
      </c>
      <c r="DR46" s="36">
        <f t="shared" si="218"/>
        <v>47530.000000000007</v>
      </c>
      <c r="DS46" s="56">
        <f>IF($AY$46=0,1,DQ46/$AY$46-1)</f>
        <v>1</v>
      </c>
      <c r="DT46" s="56">
        <f>IF($AZ$46=0,1,DR46/$AZ$46-1)</f>
        <v>3.585049580472921E-2</v>
      </c>
      <c r="DU46" s="56">
        <f>IF($E$46=0,1,DQ46/$E$46-1)</f>
        <v>-1</v>
      </c>
      <c r="DV46" s="56">
        <f>IF($E$46=0,1,DR46/$E$46-1)</f>
        <v>-0.24707336005195868</v>
      </c>
      <c r="DW46" s="52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</row>
    <row r="47" spans="1:268" s="64" customFormat="1" ht="21.75" customHeight="1">
      <c r="A47" s="292" t="s">
        <v>132</v>
      </c>
      <c r="B47" s="293"/>
      <c r="C47" s="29"/>
      <c r="D47" s="31"/>
      <c r="E47" s="26"/>
      <c r="F47" s="31"/>
      <c r="G47" s="31"/>
      <c r="H47" s="31"/>
      <c r="I47" s="31"/>
      <c r="J47" s="31"/>
      <c r="K47" s="26">
        <f t="shared" si="213"/>
        <v>0</v>
      </c>
      <c r="L47" s="26">
        <f t="shared" si="213"/>
        <v>0</v>
      </c>
      <c r="M47" s="31"/>
      <c r="N47" s="31"/>
      <c r="O47" s="26"/>
      <c r="P47" s="26"/>
      <c r="Q47" s="31"/>
      <c r="R47" s="31"/>
      <c r="S47" s="26"/>
      <c r="T47" s="26"/>
      <c r="U47" s="31"/>
      <c r="V47" s="31"/>
      <c r="W47" s="26"/>
      <c r="X47" s="26"/>
      <c r="Y47" s="31"/>
      <c r="Z47" s="31"/>
      <c r="AA47" s="26"/>
      <c r="AB47" s="26"/>
      <c r="AC47" s="31"/>
      <c r="AD47" s="31"/>
      <c r="AE47" s="26"/>
      <c r="AF47" s="26"/>
      <c r="AG47" s="31"/>
      <c r="AH47" s="31"/>
      <c r="AI47" s="26"/>
      <c r="AJ47" s="26"/>
      <c r="AK47" s="31"/>
      <c r="AL47" s="31"/>
      <c r="AM47" s="26"/>
      <c r="AN47" s="26"/>
      <c r="AO47" s="31"/>
      <c r="AP47" s="31"/>
      <c r="AQ47" s="26"/>
      <c r="AR47" s="26"/>
      <c r="AS47" s="31"/>
      <c r="AT47" s="31"/>
      <c r="AU47" s="26"/>
      <c r="AV47" s="26"/>
      <c r="AW47" s="31"/>
      <c r="AX47" s="31"/>
      <c r="AY47" s="31"/>
      <c r="AZ47" s="31"/>
      <c r="BA47" s="55">
        <f t="shared" si="212"/>
        <v>1</v>
      </c>
      <c r="BB47" s="55">
        <f t="shared" si="212"/>
        <v>1</v>
      </c>
      <c r="BC47" s="31"/>
      <c r="BD47" s="31"/>
      <c r="BE47" s="31"/>
      <c r="BF47" s="31"/>
      <c r="BG47" s="26">
        <f t="shared" si="214"/>
        <v>0</v>
      </c>
      <c r="BH47" s="26">
        <f t="shared" si="214"/>
        <v>0</v>
      </c>
      <c r="BI47" s="55">
        <f t="shared" si="184"/>
        <v>1</v>
      </c>
      <c r="BJ47" s="55">
        <f t="shared" si="184"/>
        <v>1</v>
      </c>
      <c r="BK47" s="31"/>
      <c r="BL47" s="31"/>
      <c r="BM47" s="26"/>
      <c r="BN47" s="26"/>
      <c r="BO47" s="55">
        <f t="shared" si="185"/>
        <v>1</v>
      </c>
      <c r="BP47" s="55">
        <f t="shared" si="185"/>
        <v>1</v>
      </c>
      <c r="BQ47" s="31"/>
      <c r="BR47" s="31"/>
      <c r="BS47" s="26"/>
      <c r="BT47" s="26"/>
      <c r="BU47" s="55">
        <f t="shared" si="186"/>
        <v>1</v>
      </c>
      <c r="BV47" s="55">
        <f t="shared" si="186"/>
        <v>1</v>
      </c>
      <c r="BW47" s="31"/>
      <c r="BX47" s="31"/>
      <c r="BY47" s="26"/>
      <c r="BZ47" s="26"/>
      <c r="CA47" s="55">
        <f t="shared" si="187"/>
        <v>1</v>
      </c>
      <c r="CB47" s="55">
        <f t="shared" si="187"/>
        <v>1</v>
      </c>
      <c r="CC47" s="31"/>
      <c r="CD47" s="31"/>
      <c r="CE47" s="26"/>
      <c r="CF47" s="26"/>
      <c r="CG47" s="55">
        <f t="shared" si="188"/>
        <v>1</v>
      </c>
      <c r="CH47" s="55">
        <f t="shared" si="188"/>
        <v>1</v>
      </c>
      <c r="CI47" s="31"/>
      <c r="CJ47" s="31"/>
      <c r="CK47" s="26"/>
      <c r="CL47" s="26"/>
      <c r="CM47" s="55">
        <f t="shared" si="189"/>
        <v>1</v>
      </c>
      <c r="CN47" s="55">
        <f t="shared" si="189"/>
        <v>1</v>
      </c>
      <c r="CO47" s="31"/>
      <c r="CP47" s="31"/>
      <c r="CQ47" s="26"/>
      <c r="CR47" s="26"/>
      <c r="CS47" s="55">
        <f t="shared" si="190"/>
        <v>1</v>
      </c>
      <c r="CT47" s="55">
        <f t="shared" si="190"/>
        <v>1</v>
      </c>
      <c r="CU47" s="31"/>
      <c r="CV47" s="31"/>
      <c r="CW47" s="26"/>
      <c r="CX47" s="26"/>
      <c r="CY47" s="55">
        <f t="shared" si="191"/>
        <v>1</v>
      </c>
      <c r="CZ47" s="55">
        <f t="shared" si="191"/>
        <v>1</v>
      </c>
      <c r="DA47" s="31"/>
      <c r="DB47" s="31"/>
      <c r="DC47" s="26"/>
      <c r="DD47" s="26"/>
      <c r="DE47" s="55">
        <f t="shared" si="192"/>
        <v>1</v>
      </c>
      <c r="DF47" s="55">
        <f t="shared" si="192"/>
        <v>1</v>
      </c>
      <c r="DG47" s="31"/>
      <c r="DH47" s="31"/>
      <c r="DI47" s="26"/>
      <c r="DJ47" s="26"/>
      <c r="DK47" s="55">
        <f t="shared" si="193"/>
        <v>1</v>
      </c>
      <c r="DL47" s="55">
        <f t="shared" si="193"/>
        <v>1</v>
      </c>
      <c r="DM47" s="31"/>
      <c r="DN47" s="31"/>
      <c r="DO47" s="31"/>
      <c r="DP47" s="31"/>
      <c r="DQ47" s="31"/>
      <c r="DR47" s="31"/>
      <c r="DS47" s="55">
        <f>IF($AY$47=0,1,DQ47/$AY$47-1)</f>
        <v>1</v>
      </c>
      <c r="DT47" s="55">
        <f>IF($AZ$47=0,1,DR47/$AZ$47-1)</f>
        <v>1</v>
      </c>
      <c r="DU47" s="55">
        <f>IF($E$47=0,1,DQ47/$E$47-1)</f>
        <v>1</v>
      </c>
      <c r="DV47" s="55">
        <f>IF($E$47=0,1,DR47/$E$47-1)</f>
        <v>1</v>
      </c>
      <c r="DW47" s="25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  <c r="IP47" s="63"/>
      <c r="IQ47" s="63"/>
      <c r="IR47" s="63"/>
      <c r="IS47" s="63"/>
      <c r="IT47" s="63"/>
      <c r="IU47" s="63"/>
      <c r="IV47" s="63"/>
      <c r="IW47" s="63"/>
      <c r="IX47" s="63"/>
      <c r="IY47" s="63"/>
      <c r="IZ47" s="63"/>
      <c r="JA47" s="63"/>
      <c r="JB47" s="63"/>
      <c r="JC47" s="63"/>
      <c r="JD47" s="63"/>
      <c r="JE47" s="63"/>
      <c r="JF47" s="63"/>
      <c r="JG47" s="63"/>
      <c r="JH47" s="63"/>
    </row>
    <row r="48" spans="1:268" s="66" customFormat="1" ht="18" customHeight="1">
      <c r="A48" s="292" t="s">
        <v>108</v>
      </c>
      <c r="B48" s="293"/>
      <c r="C48" s="31">
        <f>C49+C50+C51</f>
        <v>0</v>
      </c>
      <c r="D48" s="31">
        <f t="shared" ref="D48:AZ48" si="219">D49+D50+D51</f>
        <v>0</v>
      </c>
      <c r="E48" s="31">
        <f t="shared" si="219"/>
        <v>0</v>
      </c>
      <c r="F48" s="31">
        <f t="shared" si="219"/>
        <v>0</v>
      </c>
      <c r="G48" s="31">
        <f t="shared" si="219"/>
        <v>0</v>
      </c>
      <c r="H48" s="31">
        <f t="shared" si="219"/>
        <v>0</v>
      </c>
      <c r="I48" s="31">
        <f t="shared" si="219"/>
        <v>0</v>
      </c>
      <c r="J48" s="31">
        <f t="shared" si="219"/>
        <v>0</v>
      </c>
      <c r="K48" s="26">
        <f t="shared" si="213"/>
        <v>0</v>
      </c>
      <c r="L48" s="26">
        <f t="shared" si="213"/>
        <v>0</v>
      </c>
      <c r="M48" s="31">
        <f t="shared" si="219"/>
        <v>0</v>
      </c>
      <c r="N48" s="31">
        <f t="shared" si="219"/>
        <v>0</v>
      </c>
      <c r="O48" s="31">
        <f t="shared" si="219"/>
        <v>0</v>
      </c>
      <c r="P48" s="31">
        <f t="shared" si="219"/>
        <v>0</v>
      </c>
      <c r="Q48" s="31">
        <f t="shared" si="219"/>
        <v>0</v>
      </c>
      <c r="R48" s="31">
        <f t="shared" si="219"/>
        <v>0</v>
      </c>
      <c r="S48" s="31">
        <f t="shared" si="219"/>
        <v>0</v>
      </c>
      <c r="T48" s="31">
        <f t="shared" si="219"/>
        <v>0</v>
      </c>
      <c r="U48" s="31">
        <f t="shared" si="219"/>
        <v>0</v>
      </c>
      <c r="V48" s="31">
        <f t="shared" si="219"/>
        <v>0</v>
      </c>
      <c r="W48" s="31">
        <f t="shared" si="219"/>
        <v>0</v>
      </c>
      <c r="X48" s="31">
        <f t="shared" si="219"/>
        <v>0</v>
      </c>
      <c r="Y48" s="31">
        <f t="shared" si="219"/>
        <v>0</v>
      </c>
      <c r="Z48" s="31">
        <f t="shared" si="219"/>
        <v>0</v>
      </c>
      <c r="AA48" s="31">
        <f t="shared" si="219"/>
        <v>0</v>
      </c>
      <c r="AB48" s="31">
        <f t="shared" si="219"/>
        <v>0</v>
      </c>
      <c r="AC48" s="31">
        <f t="shared" si="219"/>
        <v>0</v>
      </c>
      <c r="AD48" s="31">
        <f t="shared" si="219"/>
        <v>0</v>
      </c>
      <c r="AE48" s="31">
        <f t="shared" si="219"/>
        <v>0</v>
      </c>
      <c r="AF48" s="31">
        <f t="shared" si="219"/>
        <v>0</v>
      </c>
      <c r="AG48" s="31">
        <f t="shared" si="219"/>
        <v>0</v>
      </c>
      <c r="AH48" s="31">
        <f t="shared" si="219"/>
        <v>0</v>
      </c>
      <c r="AI48" s="31">
        <f t="shared" si="219"/>
        <v>0</v>
      </c>
      <c r="AJ48" s="31">
        <f t="shared" si="219"/>
        <v>0</v>
      </c>
      <c r="AK48" s="31">
        <f t="shared" si="219"/>
        <v>0</v>
      </c>
      <c r="AL48" s="31">
        <f t="shared" si="219"/>
        <v>0</v>
      </c>
      <c r="AM48" s="31">
        <f t="shared" si="219"/>
        <v>0</v>
      </c>
      <c r="AN48" s="31">
        <f t="shared" si="219"/>
        <v>0</v>
      </c>
      <c r="AO48" s="31">
        <f t="shared" si="219"/>
        <v>0</v>
      </c>
      <c r="AP48" s="31">
        <f t="shared" si="219"/>
        <v>0</v>
      </c>
      <c r="AQ48" s="31">
        <f t="shared" si="219"/>
        <v>0</v>
      </c>
      <c r="AR48" s="31">
        <f t="shared" si="219"/>
        <v>0</v>
      </c>
      <c r="AS48" s="31">
        <f t="shared" si="219"/>
        <v>0</v>
      </c>
      <c r="AT48" s="31">
        <f t="shared" si="219"/>
        <v>0</v>
      </c>
      <c r="AU48" s="31">
        <f t="shared" si="219"/>
        <v>0</v>
      </c>
      <c r="AV48" s="31">
        <f t="shared" si="219"/>
        <v>0</v>
      </c>
      <c r="AW48" s="31">
        <f t="shared" si="219"/>
        <v>0</v>
      </c>
      <c r="AX48" s="31">
        <f t="shared" si="219"/>
        <v>0</v>
      </c>
      <c r="AY48" s="31">
        <f t="shared" si="219"/>
        <v>0</v>
      </c>
      <c r="AZ48" s="31">
        <f t="shared" si="219"/>
        <v>0</v>
      </c>
      <c r="BA48" s="55">
        <f t="shared" si="212"/>
        <v>1</v>
      </c>
      <c r="BB48" s="55">
        <f t="shared" si="212"/>
        <v>1</v>
      </c>
      <c r="BC48" s="31"/>
      <c r="BD48" s="31"/>
      <c r="BE48" s="31"/>
      <c r="BF48" s="31"/>
      <c r="BG48" s="26">
        <f t="shared" si="214"/>
        <v>0</v>
      </c>
      <c r="BH48" s="26">
        <f t="shared" si="214"/>
        <v>0</v>
      </c>
      <c r="BI48" s="55">
        <f t="shared" si="184"/>
        <v>1</v>
      </c>
      <c r="BJ48" s="55">
        <f t="shared" si="184"/>
        <v>1</v>
      </c>
      <c r="BK48" s="31"/>
      <c r="BL48" s="31"/>
      <c r="BM48" s="31">
        <f t="shared" ref="BM48:DJ48" si="220">BM49+BM50+BM51</f>
        <v>0</v>
      </c>
      <c r="BN48" s="31">
        <f t="shared" si="220"/>
        <v>0</v>
      </c>
      <c r="BO48" s="55">
        <f t="shared" si="185"/>
        <v>1</v>
      </c>
      <c r="BP48" s="55">
        <f t="shared" si="185"/>
        <v>1</v>
      </c>
      <c r="BQ48" s="31">
        <f t="shared" si="220"/>
        <v>0</v>
      </c>
      <c r="BR48" s="31">
        <f t="shared" si="220"/>
        <v>0</v>
      </c>
      <c r="BS48" s="31">
        <f t="shared" si="220"/>
        <v>0</v>
      </c>
      <c r="BT48" s="31">
        <f t="shared" si="220"/>
        <v>0</v>
      </c>
      <c r="BU48" s="55">
        <f t="shared" si="186"/>
        <v>1</v>
      </c>
      <c r="BV48" s="55">
        <f t="shared" si="186"/>
        <v>1</v>
      </c>
      <c r="BW48" s="31">
        <f t="shared" ref="BW48:BX48" si="221">BW49+BW50+BW51</f>
        <v>0</v>
      </c>
      <c r="BX48" s="31">
        <f t="shared" si="221"/>
        <v>0</v>
      </c>
      <c r="BY48" s="31">
        <f t="shared" si="220"/>
        <v>0</v>
      </c>
      <c r="BZ48" s="31">
        <f t="shared" si="220"/>
        <v>0</v>
      </c>
      <c r="CA48" s="55">
        <f t="shared" si="187"/>
        <v>1</v>
      </c>
      <c r="CB48" s="55">
        <f t="shared" si="187"/>
        <v>1</v>
      </c>
      <c r="CC48" s="31">
        <f t="shared" ref="CC48:CD48" si="222">CC49+CC50+CC51</f>
        <v>0</v>
      </c>
      <c r="CD48" s="31">
        <f t="shared" si="222"/>
        <v>0</v>
      </c>
      <c r="CE48" s="31">
        <f t="shared" si="220"/>
        <v>0</v>
      </c>
      <c r="CF48" s="31">
        <f t="shared" si="220"/>
        <v>0</v>
      </c>
      <c r="CG48" s="55">
        <f t="shared" si="188"/>
        <v>1</v>
      </c>
      <c r="CH48" s="55">
        <f t="shared" si="188"/>
        <v>1</v>
      </c>
      <c r="CI48" s="31">
        <f t="shared" ref="CI48:CJ48" si="223">CI49+CI50+CI51</f>
        <v>0</v>
      </c>
      <c r="CJ48" s="31">
        <f t="shared" si="223"/>
        <v>0</v>
      </c>
      <c r="CK48" s="31">
        <f t="shared" si="220"/>
        <v>0</v>
      </c>
      <c r="CL48" s="31">
        <f t="shared" si="220"/>
        <v>0</v>
      </c>
      <c r="CM48" s="55">
        <f t="shared" si="189"/>
        <v>1</v>
      </c>
      <c r="CN48" s="55">
        <f t="shared" si="189"/>
        <v>1</v>
      </c>
      <c r="CO48" s="31">
        <f t="shared" ref="CO48:CP48" si="224">CO49+CO50+CO51</f>
        <v>0</v>
      </c>
      <c r="CP48" s="31">
        <f t="shared" si="224"/>
        <v>0</v>
      </c>
      <c r="CQ48" s="31">
        <f t="shared" si="220"/>
        <v>0</v>
      </c>
      <c r="CR48" s="31">
        <f t="shared" si="220"/>
        <v>0</v>
      </c>
      <c r="CS48" s="55">
        <f t="shared" si="190"/>
        <v>1</v>
      </c>
      <c r="CT48" s="55">
        <f t="shared" si="190"/>
        <v>1</v>
      </c>
      <c r="CU48" s="31">
        <f t="shared" ref="CU48:CV48" si="225">CU49+CU50+CU51</f>
        <v>0</v>
      </c>
      <c r="CV48" s="31">
        <f t="shared" si="225"/>
        <v>0</v>
      </c>
      <c r="CW48" s="31">
        <f t="shared" si="220"/>
        <v>0</v>
      </c>
      <c r="CX48" s="31">
        <f t="shared" si="220"/>
        <v>0</v>
      </c>
      <c r="CY48" s="55">
        <f t="shared" si="191"/>
        <v>1</v>
      </c>
      <c r="CZ48" s="55">
        <f t="shared" si="191"/>
        <v>1</v>
      </c>
      <c r="DA48" s="31">
        <f t="shared" ref="DA48:DB48" si="226">DA49+DA50+DA51</f>
        <v>0</v>
      </c>
      <c r="DB48" s="31">
        <f t="shared" si="226"/>
        <v>0</v>
      </c>
      <c r="DC48" s="31">
        <f t="shared" si="220"/>
        <v>0</v>
      </c>
      <c r="DD48" s="31">
        <f t="shared" si="220"/>
        <v>0</v>
      </c>
      <c r="DE48" s="55">
        <f t="shared" si="192"/>
        <v>1</v>
      </c>
      <c r="DF48" s="55">
        <f t="shared" si="192"/>
        <v>1</v>
      </c>
      <c r="DG48" s="31">
        <f t="shared" ref="DG48:DH48" si="227">DG49+DG50+DG51</f>
        <v>0</v>
      </c>
      <c r="DH48" s="31">
        <f t="shared" si="227"/>
        <v>0</v>
      </c>
      <c r="DI48" s="31">
        <f t="shared" si="220"/>
        <v>0</v>
      </c>
      <c r="DJ48" s="31">
        <f t="shared" si="220"/>
        <v>0</v>
      </c>
      <c r="DK48" s="55">
        <f t="shared" si="193"/>
        <v>1</v>
      </c>
      <c r="DL48" s="55">
        <f t="shared" si="193"/>
        <v>1</v>
      </c>
      <c r="DM48" s="31">
        <f t="shared" ref="DM48:DR48" si="228">DM49+DM50+DM51</f>
        <v>0</v>
      </c>
      <c r="DN48" s="31">
        <f t="shared" si="228"/>
        <v>0</v>
      </c>
      <c r="DO48" s="31">
        <f t="shared" si="228"/>
        <v>0</v>
      </c>
      <c r="DP48" s="31">
        <f t="shared" si="228"/>
        <v>0</v>
      </c>
      <c r="DQ48" s="31">
        <f t="shared" si="228"/>
        <v>0</v>
      </c>
      <c r="DR48" s="31">
        <f t="shared" si="228"/>
        <v>0</v>
      </c>
      <c r="DS48" s="55">
        <f>IF($AY$48=0,1,DQ48/$AY$48-1)</f>
        <v>1</v>
      </c>
      <c r="DT48" s="55">
        <f>IF($AZ$48=0,1,DR48/$AZ$48-1)</f>
        <v>1</v>
      </c>
      <c r="DU48" s="55">
        <f>IF($E$48=0,1,DQ48/$E$48-1)</f>
        <v>1</v>
      </c>
      <c r="DV48" s="55">
        <f>IF($E$48=0,1,DR48/$E$48-1)</f>
        <v>1</v>
      </c>
      <c r="DW48" s="2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  <c r="HW48" s="65"/>
      <c r="HX48" s="65"/>
      <c r="HY48" s="65"/>
      <c r="HZ48" s="65"/>
      <c r="IA48" s="65"/>
      <c r="IB48" s="65"/>
      <c r="IC48" s="65"/>
      <c r="ID48" s="65"/>
      <c r="IE48" s="65"/>
      <c r="IF48" s="65"/>
      <c r="IG48" s="65"/>
      <c r="IH48" s="65"/>
      <c r="II48" s="65"/>
      <c r="IJ48" s="65"/>
      <c r="IK48" s="65"/>
      <c r="IL48" s="65"/>
      <c r="IM48" s="65"/>
      <c r="IN48" s="65"/>
      <c r="IO48" s="65"/>
      <c r="IP48" s="65"/>
      <c r="IQ48" s="65"/>
      <c r="IR48" s="65"/>
      <c r="IS48" s="65"/>
      <c r="IT48" s="65"/>
      <c r="IU48" s="65"/>
      <c r="IV48" s="65"/>
      <c r="IW48" s="65"/>
      <c r="IX48" s="65"/>
      <c r="IY48" s="65"/>
      <c r="IZ48" s="65"/>
      <c r="JA48" s="65"/>
      <c r="JB48" s="65"/>
      <c r="JC48" s="65"/>
      <c r="JD48" s="65"/>
      <c r="JE48" s="65"/>
      <c r="JF48" s="65"/>
      <c r="JG48" s="65"/>
      <c r="JH48" s="65"/>
    </row>
    <row r="49" spans="1:268" s="66" customFormat="1" ht="18" customHeight="1">
      <c r="A49" s="292" t="s">
        <v>110</v>
      </c>
      <c r="B49" s="293"/>
      <c r="C49" s="31"/>
      <c r="D49" s="31"/>
      <c r="E49" s="31"/>
      <c r="F49" s="31"/>
      <c r="G49" s="31"/>
      <c r="H49" s="31"/>
      <c r="I49" s="31"/>
      <c r="J49" s="31"/>
      <c r="K49" s="26">
        <f t="shared" si="213"/>
        <v>0</v>
      </c>
      <c r="L49" s="26">
        <f t="shared" si="213"/>
        <v>0</v>
      </c>
      <c r="M49" s="31"/>
      <c r="N49" s="31"/>
      <c r="O49" s="26"/>
      <c r="P49" s="26"/>
      <c r="Q49" s="31"/>
      <c r="R49" s="31"/>
      <c r="S49" s="26"/>
      <c r="T49" s="26"/>
      <c r="U49" s="31"/>
      <c r="V49" s="31"/>
      <c r="W49" s="26"/>
      <c r="X49" s="26"/>
      <c r="Y49" s="31"/>
      <c r="Z49" s="31"/>
      <c r="AA49" s="26"/>
      <c r="AB49" s="26"/>
      <c r="AC49" s="31"/>
      <c r="AD49" s="31"/>
      <c r="AE49" s="26"/>
      <c r="AF49" s="26"/>
      <c r="AG49" s="31"/>
      <c r="AH49" s="31"/>
      <c r="AI49" s="26"/>
      <c r="AJ49" s="26"/>
      <c r="AK49" s="31"/>
      <c r="AL49" s="31"/>
      <c r="AM49" s="26"/>
      <c r="AN49" s="26"/>
      <c r="AO49" s="31"/>
      <c r="AP49" s="31"/>
      <c r="AQ49" s="26"/>
      <c r="AR49" s="26"/>
      <c r="AS49" s="31"/>
      <c r="AT49" s="31"/>
      <c r="AU49" s="26"/>
      <c r="AV49" s="26"/>
      <c r="AW49" s="31"/>
      <c r="AX49" s="31"/>
      <c r="AY49" s="31"/>
      <c r="AZ49" s="31"/>
      <c r="BA49" s="55">
        <f t="shared" si="212"/>
        <v>1</v>
      </c>
      <c r="BB49" s="55">
        <f t="shared" si="212"/>
        <v>1</v>
      </c>
      <c r="BC49" s="31"/>
      <c r="BD49" s="31"/>
      <c r="BE49" s="31"/>
      <c r="BF49" s="31"/>
      <c r="BG49" s="26">
        <f t="shared" si="214"/>
        <v>0</v>
      </c>
      <c r="BH49" s="26">
        <f t="shared" si="214"/>
        <v>0</v>
      </c>
      <c r="BI49" s="55">
        <f t="shared" si="184"/>
        <v>1</v>
      </c>
      <c r="BJ49" s="55">
        <f t="shared" si="184"/>
        <v>1</v>
      </c>
      <c r="BK49" s="31"/>
      <c r="BL49" s="31"/>
      <c r="BM49" s="26"/>
      <c r="BN49" s="26"/>
      <c r="BO49" s="55">
        <f t="shared" si="185"/>
        <v>1</v>
      </c>
      <c r="BP49" s="55">
        <f t="shared" si="185"/>
        <v>1</v>
      </c>
      <c r="BQ49" s="31"/>
      <c r="BR49" s="31"/>
      <c r="BS49" s="26"/>
      <c r="BT49" s="26"/>
      <c r="BU49" s="55">
        <f t="shared" si="186"/>
        <v>1</v>
      </c>
      <c r="BV49" s="55">
        <f t="shared" si="186"/>
        <v>1</v>
      </c>
      <c r="BW49" s="31"/>
      <c r="BX49" s="31"/>
      <c r="BY49" s="26"/>
      <c r="BZ49" s="26"/>
      <c r="CA49" s="55">
        <f t="shared" si="187"/>
        <v>1</v>
      </c>
      <c r="CB49" s="55">
        <f t="shared" si="187"/>
        <v>1</v>
      </c>
      <c r="CC49" s="31"/>
      <c r="CD49" s="31"/>
      <c r="CE49" s="26"/>
      <c r="CF49" s="26"/>
      <c r="CG49" s="55">
        <f t="shared" si="188"/>
        <v>1</v>
      </c>
      <c r="CH49" s="55">
        <f t="shared" si="188"/>
        <v>1</v>
      </c>
      <c r="CI49" s="31"/>
      <c r="CJ49" s="31"/>
      <c r="CK49" s="26"/>
      <c r="CL49" s="26"/>
      <c r="CM49" s="55">
        <f t="shared" si="189"/>
        <v>1</v>
      </c>
      <c r="CN49" s="55">
        <f t="shared" si="189"/>
        <v>1</v>
      </c>
      <c r="CO49" s="31"/>
      <c r="CP49" s="31"/>
      <c r="CQ49" s="26"/>
      <c r="CR49" s="26"/>
      <c r="CS49" s="55">
        <f t="shared" si="190"/>
        <v>1</v>
      </c>
      <c r="CT49" s="55">
        <f t="shared" si="190"/>
        <v>1</v>
      </c>
      <c r="CU49" s="31"/>
      <c r="CV49" s="31"/>
      <c r="CW49" s="26"/>
      <c r="CX49" s="26"/>
      <c r="CY49" s="55">
        <f t="shared" si="191"/>
        <v>1</v>
      </c>
      <c r="CZ49" s="55">
        <f t="shared" si="191"/>
        <v>1</v>
      </c>
      <c r="DA49" s="31"/>
      <c r="DB49" s="31"/>
      <c r="DC49" s="26"/>
      <c r="DD49" s="26"/>
      <c r="DE49" s="55">
        <f t="shared" si="192"/>
        <v>1</v>
      </c>
      <c r="DF49" s="55">
        <f t="shared" si="192"/>
        <v>1</v>
      </c>
      <c r="DG49" s="31"/>
      <c r="DH49" s="31"/>
      <c r="DI49" s="26"/>
      <c r="DJ49" s="26"/>
      <c r="DK49" s="55">
        <f t="shared" si="193"/>
        <v>1</v>
      </c>
      <c r="DL49" s="55">
        <f t="shared" si="193"/>
        <v>1</v>
      </c>
      <c r="DM49" s="31"/>
      <c r="DN49" s="31"/>
      <c r="DO49" s="31"/>
      <c r="DP49" s="31"/>
      <c r="DQ49" s="31"/>
      <c r="DR49" s="31"/>
      <c r="DS49" s="55">
        <f>IF($AY$49=0,1,DQ49/$AY$49-1)</f>
        <v>1</v>
      </c>
      <c r="DT49" s="55">
        <f>IF($AZ$49=0,1,DR49/$AZ$49-1)</f>
        <v>1</v>
      </c>
      <c r="DU49" s="55">
        <f>IF($E$49=0,1,DQ49/$E$49-1)</f>
        <v>1</v>
      </c>
      <c r="DV49" s="55">
        <f>IF($E$49=0,1,DR49/$E$49-1)</f>
        <v>1</v>
      </c>
      <c r="DW49" s="2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  <c r="IV49" s="65"/>
      <c r="IW49" s="65"/>
      <c r="IX49" s="65"/>
      <c r="IY49" s="65"/>
      <c r="IZ49" s="65"/>
      <c r="JA49" s="65"/>
      <c r="JB49" s="65"/>
      <c r="JC49" s="65"/>
      <c r="JD49" s="65"/>
      <c r="JE49" s="65"/>
      <c r="JF49" s="65"/>
      <c r="JG49" s="65"/>
      <c r="JH49" s="65"/>
    </row>
    <row r="50" spans="1:268" s="66" customFormat="1" ht="18" customHeight="1">
      <c r="A50" s="292" t="s">
        <v>111</v>
      </c>
      <c r="B50" s="293"/>
      <c r="C50" s="31"/>
      <c r="D50" s="31"/>
      <c r="E50" s="31"/>
      <c r="F50" s="31"/>
      <c r="G50" s="31"/>
      <c r="H50" s="31"/>
      <c r="I50" s="31"/>
      <c r="J50" s="31"/>
      <c r="K50" s="26">
        <f t="shared" si="213"/>
        <v>0</v>
      </c>
      <c r="L50" s="26">
        <f t="shared" si="213"/>
        <v>0</v>
      </c>
      <c r="M50" s="31"/>
      <c r="N50" s="31"/>
      <c r="O50" s="26"/>
      <c r="P50" s="26"/>
      <c r="Q50" s="31"/>
      <c r="R50" s="31"/>
      <c r="S50" s="26"/>
      <c r="T50" s="26"/>
      <c r="U50" s="31"/>
      <c r="V50" s="31"/>
      <c r="W50" s="26"/>
      <c r="X50" s="26"/>
      <c r="Y50" s="31"/>
      <c r="Z50" s="31"/>
      <c r="AA50" s="26"/>
      <c r="AB50" s="26"/>
      <c r="AC50" s="31"/>
      <c r="AD50" s="31"/>
      <c r="AE50" s="26"/>
      <c r="AF50" s="26"/>
      <c r="AG50" s="31"/>
      <c r="AH50" s="31"/>
      <c r="AI50" s="26"/>
      <c r="AJ50" s="26"/>
      <c r="AK50" s="31"/>
      <c r="AL50" s="31"/>
      <c r="AM50" s="26"/>
      <c r="AN50" s="26"/>
      <c r="AO50" s="31"/>
      <c r="AP50" s="31"/>
      <c r="AQ50" s="26"/>
      <c r="AR50" s="26"/>
      <c r="AS50" s="31"/>
      <c r="AT50" s="31"/>
      <c r="AU50" s="26"/>
      <c r="AV50" s="26"/>
      <c r="AW50" s="31"/>
      <c r="AX50" s="31"/>
      <c r="AY50" s="31"/>
      <c r="AZ50" s="31"/>
      <c r="BA50" s="55">
        <f t="shared" si="212"/>
        <v>1</v>
      </c>
      <c r="BB50" s="55">
        <f t="shared" si="212"/>
        <v>1</v>
      </c>
      <c r="BC50" s="31"/>
      <c r="BD50" s="31"/>
      <c r="BE50" s="31"/>
      <c r="BF50" s="31"/>
      <c r="BG50" s="26">
        <f t="shared" si="214"/>
        <v>0</v>
      </c>
      <c r="BH50" s="26">
        <f t="shared" si="214"/>
        <v>0</v>
      </c>
      <c r="BI50" s="55">
        <f t="shared" si="184"/>
        <v>1</v>
      </c>
      <c r="BJ50" s="55">
        <f t="shared" si="184"/>
        <v>1</v>
      </c>
      <c r="BK50" s="31"/>
      <c r="BL50" s="31"/>
      <c r="BM50" s="26"/>
      <c r="BN50" s="26"/>
      <c r="BO50" s="55">
        <f t="shared" si="185"/>
        <v>1</v>
      </c>
      <c r="BP50" s="55">
        <f t="shared" si="185"/>
        <v>1</v>
      </c>
      <c r="BQ50" s="31"/>
      <c r="BR50" s="31"/>
      <c r="BS50" s="26"/>
      <c r="BT50" s="26"/>
      <c r="BU50" s="55">
        <f t="shared" si="186"/>
        <v>1</v>
      </c>
      <c r="BV50" s="55">
        <f t="shared" si="186"/>
        <v>1</v>
      </c>
      <c r="BW50" s="31"/>
      <c r="BX50" s="31"/>
      <c r="BY50" s="26"/>
      <c r="BZ50" s="26"/>
      <c r="CA50" s="55">
        <f t="shared" si="187"/>
        <v>1</v>
      </c>
      <c r="CB50" s="55">
        <f t="shared" si="187"/>
        <v>1</v>
      </c>
      <c r="CC50" s="31"/>
      <c r="CD50" s="31"/>
      <c r="CE50" s="26"/>
      <c r="CF50" s="26"/>
      <c r="CG50" s="55">
        <f t="shared" si="188"/>
        <v>1</v>
      </c>
      <c r="CH50" s="55">
        <f t="shared" si="188"/>
        <v>1</v>
      </c>
      <c r="CI50" s="31"/>
      <c r="CJ50" s="31"/>
      <c r="CK50" s="26"/>
      <c r="CL50" s="26"/>
      <c r="CM50" s="55">
        <f t="shared" si="189"/>
        <v>1</v>
      </c>
      <c r="CN50" s="55">
        <f t="shared" si="189"/>
        <v>1</v>
      </c>
      <c r="CO50" s="31"/>
      <c r="CP50" s="31"/>
      <c r="CQ50" s="26"/>
      <c r="CR50" s="26"/>
      <c r="CS50" s="55">
        <f t="shared" si="190"/>
        <v>1</v>
      </c>
      <c r="CT50" s="55">
        <f t="shared" si="190"/>
        <v>1</v>
      </c>
      <c r="CU50" s="31"/>
      <c r="CV50" s="31"/>
      <c r="CW50" s="26"/>
      <c r="CX50" s="26"/>
      <c r="CY50" s="55">
        <f t="shared" si="191"/>
        <v>1</v>
      </c>
      <c r="CZ50" s="55">
        <f t="shared" si="191"/>
        <v>1</v>
      </c>
      <c r="DA50" s="31"/>
      <c r="DB50" s="31"/>
      <c r="DC50" s="26"/>
      <c r="DD50" s="26"/>
      <c r="DE50" s="55">
        <f t="shared" si="192"/>
        <v>1</v>
      </c>
      <c r="DF50" s="55">
        <f t="shared" si="192"/>
        <v>1</v>
      </c>
      <c r="DG50" s="31"/>
      <c r="DH50" s="31"/>
      <c r="DI50" s="26"/>
      <c r="DJ50" s="26"/>
      <c r="DK50" s="55">
        <f t="shared" si="193"/>
        <v>1</v>
      </c>
      <c r="DL50" s="55">
        <f t="shared" si="193"/>
        <v>1</v>
      </c>
      <c r="DM50" s="31"/>
      <c r="DN50" s="31"/>
      <c r="DO50" s="31"/>
      <c r="DP50" s="31"/>
      <c r="DQ50" s="31"/>
      <c r="DR50" s="31"/>
      <c r="DS50" s="55">
        <f>IF($AY$50=0,1,DQ50/$AY$50-1)</f>
        <v>1</v>
      </c>
      <c r="DT50" s="55">
        <f>IF($AZ$50=0,1,DR50/$AZ$50-1)</f>
        <v>1</v>
      </c>
      <c r="DU50" s="55">
        <f>IF($E$50=0,1,DQ50/$E$50-1)</f>
        <v>1</v>
      </c>
      <c r="DV50" s="55">
        <f>IF($E$50=0,1,DR50/$E$50-1)</f>
        <v>1</v>
      </c>
      <c r="DW50" s="2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  <c r="IW50" s="65"/>
      <c r="IX50" s="65"/>
      <c r="IY50" s="65"/>
      <c r="IZ50" s="65"/>
      <c r="JA50" s="65"/>
      <c r="JB50" s="65"/>
      <c r="JC50" s="65"/>
      <c r="JD50" s="65"/>
      <c r="JE50" s="65"/>
      <c r="JF50" s="65"/>
      <c r="JG50" s="65"/>
      <c r="JH50" s="65"/>
    </row>
    <row r="51" spans="1:268" s="66" customFormat="1" ht="18" customHeight="1">
      <c r="A51" s="292" t="s">
        <v>112</v>
      </c>
      <c r="B51" s="293"/>
      <c r="C51" s="31"/>
      <c r="D51" s="31"/>
      <c r="E51" s="31"/>
      <c r="F51" s="31"/>
      <c r="G51" s="31"/>
      <c r="H51" s="31"/>
      <c r="I51" s="31"/>
      <c r="J51" s="31"/>
      <c r="K51" s="26">
        <f t="shared" si="213"/>
        <v>0</v>
      </c>
      <c r="L51" s="26">
        <f t="shared" si="213"/>
        <v>0</v>
      </c>
      <c r="M51" s="31"/>
      <c r="N51" s="31"/>
      <c r="O51" s="26"/>
      <c r="P51" s="26"/>
      <c r="Q51" s="31"/>
      <c r="R51" s="31"/>
      <c r="S51" s="26"/>
      <c r="T51" s="26"/>
      <c r="U51" s="31"/>
      <c r="V51" s="31"/>
      <c r="W51" s="26"/>
      <c r="X51" s="26"/>
      <c r="Y51" s="31"/>
      <c r="Z51" s="31"/>
      <c r="AA51" s="26"/>
      <c r="AB51" s="26"/>
      <c r="AC51" s="31"/>
      <c r="AD51" s="31"/>
      <c r="AE51" s="26"/>
      <c r="AF51" s="26"/>
      <c r="AG51" s="31"/>
      <c r="AH51" s="31"/>
      <c r="AI51" s="26"/>
      <c r="AJ51" s="26"/>
      <c r="AK51" s="31"/>
      <c r="AL51" s="31"/>
      <c r="AM51" s="26"/>
      <c r="AN51" s="26"/>
      <c r="AO51" s="31"/>
      <c r="AP51" s="31"/>
      <c r="AQ51" s="26"/>
      <c r="AR51" s="26"/>
      <c r="AS51" s="31"/>
      <c r="AT51" s="31"/>
      <c r="AU51" s="26"/>
      <c r="AV51" s="26"/>
      <c r="AW51" s="31"/>
      <c r="AX51" s="31"/>
      <c r="AY51" s="31"/>
      <c r="AZ51" s="31"/>
      <c r="BA51" s="55">
        <f t="shared" si="212"/>
        <v>1</v>
      </c>
      <c r="BB51" s="55">
        <f t="shared" si="212"/>
        <v>1</v>
      </c>
      <c r="BC51" s="31"/>
      <c r="BD51" s="31"/>
      <c r="BE51" s="31"/>
      <c r="BF51" s="31"/>
      <c r="BG51" s="26">
        <f t="shared" si="214"/>
        <v>0</v>
      </c>
      <c r="BH51" s="26">
        <f t="shared" si="214"/>
        <v>0</v>
      </c>
      <c r="BI51" s="55">
        <f t="shared" si="184"/>
        <v>1</v>
      </c>
      <c r="BJ51" s="55">
        <f t="shared" si="184"/>
        <v>1</v>
      </c>
      <c r="BK51" s="31"/>
      <c r="BL51" s="31"/>
      <c r="BM51" s="26"/>
      <c r="BN51" s="26"/>
      <c r="BO51" s="55">
        <f t="shared" si="185"/>
        <v>1</v>
      </c>
      <c r="BP51" s="55">
        <f t="shared" si="185"/>
        <v>1</v>
      </c>
      <c r="BQ51" s="31"/>
      <c r="BR51" s="31"/>
      <c r="BS51" s="26"/>
      <c r="BT51" s="26"/>
      <c r="BU51" s="55">
        <f t="shared" si="186"/>
        <v>1</v>
      </c>
      <c r="BV51" s="55">
        <f t="shared" si="186"/>
        <v>1</v>
      </c>
      <c r="BW51" s="31"/>
      <c r="BX51" s="31"/>
      <c r="BY51" s="26"/>
      <c r="BZ51" s="26"/>
      <c r="CA51" s="55">
        <f t="shared" si="187"/>
        <v>1</v>
      </c>
      <c r="CB51" s="55">
        <f t="shared" si="187"/>
        <v>1</v>
      </c>
      <c r="CC51" s="31"/>
      <c r="CD51" s="31"/>
      <c r="CE51" s="26"/>
      <c r="CF51" s="26"/>
      <c r="CG51" s="55">
        <f t="shared" si="188"/>
        <v>1</v>
      </c>
      <c r="CH51" s="55">
        <f t="shared" si="188"/>
        <v>1</v>
      </c>
      <c r="CI51" s="31"/>
      <c r="CJ51" s="31"/>
      <c r="CK51" s="26"/>
      <c r="CL51" s="26"/>
      <c r="CM51" s="55">
        <f t="shared" si="189"/>
        <v>1</v>
      </c>
      <c r="CN51" s="55">
        <f t="shared" si="189"/>
        <v>1</v>
      </c>
      <c r="CO51" s="31"/>
      <c r="CP51" s="31"/>
      <c r="CQ51" s="26"/>
      <c r="CR51" s="26"/>
      <c r="CS51" s="55">
        <f t="shared" si="190"/>
        <v>1</v>
      </c>
      <c r="CT51" s="55">
        <f t="shared" si="190"/>
        <v>1</v>
      </c>
      <c r="CU51" s="31"/>
      <c r="CV51" s="31"/>
      <c r="CW51" s="26"/>
      <c r="CX51" s="26"/>
      <c r="CY51" s="55">
        <f t="shared" si="191"/>
        <v>1</v>
      </c>
      <c r="CZ51" s="55">
        <f t="shared" si="191"/>
        <v>1</v>
      </c>
      <c r="DA51" s="31"/>
      <c r="DB51" s="31"/>
      <c r="DC51" s="26"/>
      <c r="DD51" s="26"/>
      <c r="DE51" s="55">
        <f t="shared" si="192"/>
        <v>1</v>
      </c>
      <c r="DF51" s="55">
        <f t="shared" si="192"/>
        <v>1</v>
      </c>
      <c r="DG51" s="31"/>
      <c r="DH51" s="31"/>
      <c r="DI51" s="26"/>
      <c r="DJ51" s="26"/>
      <c r="DK51" s="55">
        <f t="shared" si="193"/>
        <v>1</v>
      </c>
      <c r="DL51" s="55">
        <f t="shared" si="193"/>
        <v>1</v>
      </c>
      <c r="DM51" s="31"/>
      <c r="DN51" s="31"/>
      <c r="DO51" s="31"/>
      <c r="DP51" s="31"/>
      <c r="DQ51" s="31"/>
      <c r="DR51" s="31"/>
      <c r="DS51" s="55">
        <f>IF($AY$51=0,1,DQ51/$AY$51-1)</f>
        <v>1</v>
      </c>
      <c r="DT51" s="55">
        <f>IF($AZ$51=0,1,DR51/$AZ$51-1)</f>
        <v>1</v>
      </c>
      <c r="DU51" s="55">
        <f>IF($E$51=0,1,DQ51/$E$51-1)</f>
        <v>1</v>
      </c>
      <c r="DV51" s="55">
        <f>IF($E$51=0,1,DR51/$E$51-1)</f>
        <v>1</v>
      </c>
      <c r="DW51" s="2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  <c r="IW51" s="65"/>
      <c r="IX51" s="65"/>
      <c r="IY51" s="65"/>
      <c r="IZ51" s="65"/>
      <c r="JA51" s="65"/>
      <c r="JB51" s="65"/>
      <c r="JC51" s="65"/>
      <c r="JD51" s="65"/>
      <c r="JE51" s="65"/>
      <c r="JF51" s="65"/>
      <c r="JG51" s="65"/>
      <c r="JH51" s="65"/>
    </row>
    <row r="52" spans="1:268" s="66" customFormat="1" ht="18" customHeight="1">
      <c r="A52" s="292" t="s">
        <v>104</v>
      </c>
      <c r="B52" s="293"/>
      <c r="C52" s="29">
        <f>'[1]прогноз '!B47</f>
        <v>67539.899999999994</v>
      </c>
      <c r="D52" s="31">
        <f>'[1]прогноз '!C47</f>
        <v>56426.8</v>
      </c>
      <c r="E52" s="26">
        <f>G52+I52+M52+Q52+U52+Y52+AC52+AG52+AK52+AO52+AS52+AW52</f>
        <v>75160.5</v>
      </c>
      <c r="F52" s="31">
        <f>H52+J52+N52+R52+V52+Z52+AD52+AH52+AL52+AP52+AT52+AX52</f>
        <v>62715.4</v>
      </c>
      <c r="G52" s="31">
        <v>1302.2</v>
      </c>
      <c r="H52" s="31">
        <v>262.8</v>
      </c>
      <c r="I52" s="31">
        <v>19721.900000000001</v>
      </c>
      <c r="J52" s="31">
        <v>18313.400000000001</v>
      </c>
      <c r="K52" s="26">
        <f t="shared" si="213"/>
        <v>21024.100000000002</v>
      </c>
      <c r="L52" s="26">
        <f t="shared" si="213"/>
        <v>18576.2</v>
      </c>
      <c r="M52" s="31">
        <v>3527.7</v>
      </c>
      <c r="N52" s="31">
        <v>1087.3</v>
      </c>
      <c r="O52" s="26">
        <f>K52+M52</f>
        <v>24551.800000000003</v>
      </c>
      <c r="P52" s="26">
        <f>L52+N52</f>
        <v>19663.5</v>
      </c>
      <c r="Q52" s="31">
        <v>14254.9</v>
      </c>
      <c r="R52" s="31">
        <v>13232.6</v>
      </c>
      <c r="S52" s="26">
        <f>O52+Q52</f>
        <v>38806.700000000004</v>
      </c>
      <c r="T52" s="26">
        <f>P52+R52</f>
        <v>32896.1</v>
      </c>
      <c r="U52" s="31">
        <v>3770</v>
      </c>
      <c r="V52" s="31">
        <v>2917.4</v>
      </c>
      <c r="W52" s="26">
        <f>S52+U52</f>
        <v>42576.700000000004</v>
      </c>
      <c r="X52" s="26">
        <f>T52+V52</f>
        <v>35813.5</v>
      </c>
      <c r="Y52" s="31">
        <v>15443</v>
      </c>
      <c r="Z52" s="31">
        <v>15033.3</v>
      </c>
      <c r="AA52" s="26">
        <f>W52+Y52</f>
        <v>58019.700000000004</v>
      </c>
      <c r="AB52" s="26">
        <f>X52+Z52</f>
        <v>50846.8</v>
      </c>
      <c r="AC52" s="31">
        <v>1144.4000000000001</v>
      </c>
      <c r="AD52" s="31">
        <v>837.2</v>
      </c>
      <c r="AE52" s="26">
        <f>AA52+AC52</f>
        <v>59164.100000000006</v>
      </c>
      <c r="AF52" s="26">
        <f>AB52+AD52</f>
        <v>51684</v>
      </c>
      <c r="AG52" s="31">
        <v>1072</v>
      </c>
      <c r="AH52" s="31">
        <v>909</v>
      </c>
      <c r="AI52" s="26">
        <f>AE52+AG52</f>
        <v>60236.100000000006</v>
      </c>
      <c r="AJ52" s="26">
        <f>AF52+AH52</f>
        <v>52593</v>
      </c>
      <c r="AK52" s="31">
        <v>1452</v>
      </c>
      <c r="AL52" s="31">
        <v>1090.9000000000001</v>
      </c>
      <c r="AM52" s="26">
        <f>AI52+AK52</f>
        <v>61688.100000000006</v>
      </c>
      <c r="AN52" s="26">
        <f>AJ52+AL52</f>
        <v>53683.9</v>
      </c>
      <c r="AO52" s="31">
        <v>2743</v>
      </c>
      <c r="AP52" s="31">
        <v>1601.8</v>
      </c>
      <c r="AQ52" s="26">
        <f>AM52+AO52</f>
        <v>64431.100000000006</v>
      </c>
      <c r="AR52" s="26">
        <f>AN52+AP52</f>
        <v>55285.700000000004</v>
      </c>
      <c r="AS52" s="31">
        <f>1199.1+AT52</f>
        <v>1715.6999999999998</v>
      </c>
      <c r="AT52" s="31">
        <v>516.6</v>
      </c>
      <c r="AU52" s="26">
        <f>AQ52+AS52</f>
        <v>66146.8</v>
      </c>
      <c r="AV52" s="26">
        <f>AR52+AT52</f>
        <v>55802.3</v>
      </c>
      <c r="AW52" s="31">
        <f>2100.6+AX52</f>
        <v>9013.7000000000007</v>
      </c>
      <c r="AX52" s="31">
        <v>6913.1</v>
      </c>
      <c r="AY52" s="31">
        <f>8424.2+1860.7+1703.5+1485+534.3+AZ52</f>
        <v>83911.3</v>
      </c>
      <c r="AZ52" s="31">
        <v>69903.600000000006</v>
      </c>
      <c r="BA52" s="55">
        <f t="shared" si="212"/>
        <v>0.1164281770344795</v>
      </c>
      <c r="BB52" s="55">
        <f t="shared" si="212"/>
        <v>0.1146161867739024</v>
      </c>
      <c r="BC52" s="31">
        <v>3358.3</v>
      </c>
      <c r="BD52" s="31">
        <v>2194</v>
      </c>
      <c r="BE52" s="31">
        <v>5172.2</v>
      </c>
      <c r="BF52" s="31">
        <v>2763.4</v>
      </c>
      <c r="BG52" s="26">
        <f t="shared" si="214"/>
        <v>8530.5</v>
      </c>
      <c r="BH52" s="26">
        <f t="shared" si="214"/>
        <v>4957.3999999999996</v>
      </c>
      <c r="BI52" s="55">
        <f t="shared" si="184"/>
        <v>-0.59425135915449423</v>
      </c>
      <c r="BJ52" s="55">
        <f t="shared" si="184"/>
        <v>-0.73313164156286004</v>
      </c>
      <c r="BK52" s="31">
        <v>27500</v>
      </c>
      <c r="BL52" s="31">
        <v>2775.1</v>
      </c>
      <c r="BM52" s="26">
        <f>BG52+BK52</f>
        <v>36030.5</v>
      </c>
      <c r="BN52" s="26">
        <f>BH52+BL52</f>
        <v>7732.5</v>
      </c>
      <c r="BO52" s="55">
        <f t="shared" si="185"/>
        <v>0.46752987560993464</v>
      </c>
      <c r="BP52" s="55">
        <f t="shared" si="185"/>
        <v>-0.60675871538637582</v>
      </c>
      <c r="BQ52" s="31"/>
      <c r="BR52" s="31"/>
      <c r="BS52" s="26">
        <f>BM52+BQ52</f>
        <v>36030.5</v>
      </c>
      <c r="BT52" s="26">
        <f>BN52+BR52</f>
        <v>7732.5</v>
      </c>
      <c r="BU52" s="55">
        <f t="shared" si="186"/>
        <v>-7.1539192974409138E-2</v>
      </c>
      <c r="BV52" s="55">
        <f t="shared" si="186"/>
        <v>-0.7649417408142607</v>
      </c>
      <c r="BW52" s="31"/>
      <c r="BX52" s="31"/>
      <c r="BY52" s="26">
        <f>BS52+BW52</f>
        <v>36030.5</v>
      </c>
      <c r="BZ52" s="26">
        <f>BT52+BX52</f>
        <v>7732.5</v>
      </c>
      <c r="CA52" s="55">
        <f t="shared" si="187"/>
        <v>-0.1537507603924213</v>
      </c>
      <c r="CB52" s="55">
        <f t="shared" si="187"/>
        <v>-0.78408979853965688</v>
      </c>
      <c r="CC52" s="31"/>
      <c r="CD52" s="31"/>
      <c r="CE52" s="26">
        <f>BY52+CC52</f>
        <v>36030.5</v>
      </c>
      <c r="CF52" s="26">
        <f>BZ52+CD52</f>
        <v>7732.5</v>
      </c>
      <c r="CG52" s="55">
        <f t="shared" si="188"/>
        <v>-0.37899541017964589</v>
      </c>
      <c r="CH52" s="55">
        <f t="shared" si="188"/>
        <v>-0.84792553317022901</v>
      </c>
      <c r="CI52" s="31"/>
      <c r="CJ52" s="31"/>
      <c r="CK52" s="26">
        <f>CE52+CI52</f>
        <v>36030.5</v>
      </c>
      <c r="CL52" s="26">
        <f>CF52+CJ52</f>
        <v>7732.5</v>
      </c>
      <c r="CM52" s="55">
        <f t="shared" si="189"/>
        <v>-0.39100738454569584</v>
      </c>
      <c r="CN52" s="55">
        <f t="shared" si="189"/>
        <v>-0.85038890178778725</v>
      </c>
      <c r="CO52" s="31"/>
      <c r="CP52" s="31"/>
      <c r="CQ52" s="26">
        <f>CK52+CO52</f>
        <v>36030.5</v>
      </c>
      <c r="CR52" s="26">
        <f>CL52+CP52</f>
        <v>7732.5</v>
      </c>
      <c r="CS52" s="55">
        <f t="shared" si="190"/>
        <v>-0.40184540499799959</v>
      </c>
      <c r="CT52" s="55">
        <f t="shared" si="190"/>
        <v>-0.85297473047743999</v>
      </c>
      <c r="CU52" s="31"/>
      <c r="CV52" s="31"/>
      <c r="CW52" s="26">
        <f>CQ52+CU52</f>
        <v>36030.5</v>
      </c>
      <c r="CX52" s="26">
        <f>CR52+CV52</f>
        <v>7732.5</v>
      </c>
      <c r="CY52" s="55">
        <f t="shared" si="191"/>
        <v>-0.41592462727819468</v>
      </c>
      <c r="CZ52" s="55">
        <f t="shared" si="191"/>
        <v>-0.85596240213546337</v>
      </c>
      <c r="DA52" s="31"/>
      <c r="DB52" s="31"/>
      <c r="DC52" s="26">
        <f>CW52+DA52</f>
        <v>36030.5</v>
      </c>
      <c r="DD52" s="26">
        <f>CX52+DB52</f>
        <v>7732.5</v>
      </c>
      <c r="DE52" s="55">
        <f t="shared" si="192"/>
        <v>-0.44079023949614404</v>
      </c>
      <c r="DF52" s="55">
        <f t="shared" si="192"/>
        <v>-0.86013562277406275</v>
      </c>
      <c r="DG52" s="31"/>
      <c r="DH52" s="31"/>
      <c r="DI52" s="26">
        <f>DC52+DG52</f>
        <v>36030.5</v>
      </c>
      <c r="DJ52" s="26">
        <f>DD52+DH52</f>
        <v>7732.5</v>
      </c>
      <c r="DK52" s="55">
        <f t="shared" si="193"/>
        <v>-0.45529488954870079</v>
      </c>
      <c r="DL52" s="55">
        <f t="shared" si="193"/>
        <v>-0.86143044283120951</v>
      </c>
      <c r="DM52" s="31"/>
      <c r="DN52" s="31"/>
      <c r="DO52" s="31"/>
      <c r="DP52" s="31"/>
      <c r="DQ52" s="31">
        <f>8424.2+1860.7+1703.5+1485+534.3+DR52</f>
        <v>87010.6</v>
      </c>
      <c r="DR52" s="31">
        <f>69903.6+3099.3</f>
        <v>73002.900000000009</v>
      </c>
      <c r="DS52" s="55">
        <f>IF($AY$52=0,1,DQ52/$AY$52-1)</f>
        <v>3.6935430627341059E-2</v>
      </c>
      <c r="DT52" s="55">
        <f>IF($AZ$52=0,1,DR52/$AZ$52-1)</f>
        <v>4.433677235507183E-2</v>
      </c>
      <c r="DU52" s="55">
        <f>IF($E$52=0,1,DQ52/$E$52-1)</f>
        <v>0.15766393251774535</v>
      </c>
      <c r="DV52" s="55">
        <f>IF($E$52=0,1,DR52/$E$52-1)</f>
        <v>-2.8706567944598471E-2</v>
      </c>
      <c r="DW52" s="2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  <c r="IZ52" s="65"/>
      <c r="JA52" s="65"/>
      <c r="JB52" s="65"/>
      <c r="JC52" s="65"/>
      <c r="JD52" s="65"/>
      <c r="JE52" s="65"/>
      <c r="JF52" s="65"/>
      <c r="JG52" s="65"/>
      <c r="JH52" s="65"/>
    </row>
    <row r="53" spans="1:268" s="66" customFormat="1" ht="18" customHeight="1">
      <c r="A53" s="292" t="s">
        <v>107</v>
      </c>
      <c r="B53" s="293"/>
      <c r="C53" s="31"/>
      <c r="D53" s="31"/>
      <c r="E53" s="57"/>
      <c r="F53" s="31"/>
      <c r="G53" s="31"/>
      <c r="H53" s="31"/>
      <c r="I53" s="31"/>
      <c r="J53" s="31"/>
      <c r="K53" s="26">
        <f t="shared" si="213"/>
        <v>0</v>
      </c>
      <c r="L53" s="26">
        <f t="shared" si="213"/>
        <v>0</v>
      </c>
      <c r="M53" s="31"/>
      <c r="N53" s="31"/>
      <c r="O53" s="26"/>
      <c r="P53" s="26"/>
      <c r="Q53" s="31"/>
      <c r="R53" s="31"/>
      <c r="S53" s="26"/>
      <c r="T53" s="26"/>
      <c r="U53" s="31"/>
      <c r="V53" s="31"/>
      <c r="W53" s="26"/>
      <c r="X53" s="26"/>
      <c r="Y53" s="31"/>
      <c r="Z53" s="31"/>
      <c r="AA53" s="26"/>
      <c r="AB53" s="26"/>
      <c r="AC53" s="31"/>
      <c r="AD53" s="31"/>
      <c r="AE53" s="26"/>
      <c r="AF53" s="26"/>
      <c r="AG53" s="31"/>
      <c r="AH53" s="31"/>
      <c r="AI53" s="26"/>
      <c r="AJ53" s="26"/>
      <c r="AK53" s="31"/>
      <c r="AL53" s="31"/>
      <c r="AM53" s="26"/>
      <c r="AN53" s="26"/>
      <c r="AO53" s="31"/>
      <c r="AP53" s="31"/>
      <c r="AQ53" s="26"/>
      <c r="AR53" s="26"/>
      <c r="AS53" s="31"/>
      <c r="AT53" s="31"/>
      <c r="AU53" s="26"/>
      <c r="AV53" s="26"/>
      <c r="AW53" s="31"/>
      <c r="AX53" s="31"/>
      <c r="AY53" s="31"/>
      <c r="AZ53" s="31"/>
      <c r="BA53" s="55">
        <f t="shared" si="212"/>
        <v>1</v>
      </c>
      <c r="BB53" s="55">
        <f t="shared" si="212"/>
        <v>1</v>
      </c>
      <c r="BC53" s="31"/>
      <c r="BD53" s="31"/>
      <c r="BE53" s="31"/>
      <c r="BF53" s="31"/>
      <c r="BG53" s="26">
        <f t="shared" si="214"/>
        <v>0</v>
      </c>
      <c r="BH53" s="26">
        <f t="shared" si="214"/>
        <v>0</v>
      </c>
      <c r="BI53" s="55">
        <f t="shared" si="184"/>
        <v>1</v>
      </c>
      <c r="BJ53" s="55">
        <f t="shared" si="184"/>
        <v>1</v>
      </c>
      <c r="BK53" s="31"/>
      <c r="BL53" s="31"/>
      <c r="BM53" s="26"/>
      <c r="BN53" s="26"/>
      <c r="BO53" s="55">
        <f t="shared" si="185"/>
        <v>1</v>
      </c>
      <c r="BP53" s="55">
        <f t="shared" si="185"/>
        <v>1</v>
      </c>
      <c r="BQ53" s="31"/>
      <c r="BR53" s="31"/>
      <c r="BS53" s="26"/>
      <c r="BT53" s="26"/>
      <c r="BU53" s="55">
        <f t="shared" si="186"/>
        <v>1</v>
      </c>
      <c r="BV53" s="55">
        <f t="shared" si="186"/>
        <v>1</v>
      </c>
      <c r="BW53" s="31"/>
      <c r="BX53" s="31"/>
      <c r="BY53" s="26"/>
      <c r="BZ53" s="26"/>
      <c r="CA53" s="55">
        <f t="shared" si="187"/>
        <v>1</v>
      </c>
      <c r="CB53" s="55">
        <f t="shared" si="187"/>
        <v>1</v>
      </c>
      <c r="CC53" s="31"/>
      <c r="CD53" s="31"/>
      <c r="CE53" s="26"/>
      <c r="CF53" s="26"/>
      <c r="CG53" s="55">
        <f t="shared" si="188"/>
        <v>1</v>
      </c>
      <c r="CH53" s="55">
        <f t="shared" si="188"/>
        <v>1</v>
      </c>
      <c r="CI53" s="31"/>
      <c r="CJ53" s="31"/>
      <c r="CK53" s="26"/>
      <c r="CL53" s="26"/>
      <c r="CM53" s="55">
        <f t="shared" si="189"/>
        <v>1</v>
      </c>
      <c r="CN53" s="55">
        <f t="shared" si="189"/>
        <v>1</v>
      </c>
      <c r="CO53" s="31"/>
      <c r="CP53" s="31"/>
      <c r="CQ53" s="26"/>
      <c r="CR53" s="26"/>
      <c r="CS53" s="55">
        <f t="shared" si="190"/>
        <v>1</v>
      </c>
      <c r="CT53" s="55">
        <f t="shared" si="190"/>
        <v>1</v>
      </c>
      <c r="CU53" s="31"/>
      <c r="CV53" s="31"/>
      <c r="CW53" s="26"/>
      <c r="CX53" s="26"/>
      <c r="CY53" s="55">
        <f t="shared" si="191"/>
        <v>1</v>
      </c>
      <c r="CZ53" s="55">
        <f t="shared" si="191"/>
        <v>1</v>
      </c>
      <c r="DA53" s="31"/>
      <c r="DB53" s="31"/>
      <c r="DC53" s="26"/>
      <c r="DD53" s="26"/>
      <c r="DE53" s="55">
        <f t="shared" si="192"/>
        <v>1</v>
      </c>
      <c r="DF53" s="55">
        <f t="shared" si="192"/>
        <v>1</v>
      </c>
      <c r="DG53" s="31"/>
      <c r="DH53" s="31"/>
      <c r="DI53" s="26"/>
      <c r="DJ53" s="26"/>
      <c r="DK53" s="55">
        <f t="shared" si="193"/>
        <v>1</v>
      </c>
      <c r="DL53" s="55">
        <f t="shared" si="193"/>
        <v>1</v>
      </c>
      <c r="DM53" s="31"/>
      <c r="DN53" s="31"/>
      <c r="DO53" s="31"/>
      <c r="DP53" s="31"/>
      <c r="DQ53" s="31"/>
      <c r="DR53" s="31"/>
      <c r="DS53" s="55">
        <f>IF($AY$53=0,1,DQ53/$AY$53-1)</f>
        <v>1</v>
      </c>
      <c r="DT53" s="55">
        <f>IF($AZ$53=0,1,DR53/$AZ$53-1)</f>
        <v>1</v>
      </c>
      <c r="DU53" s="55">
        <f>IF($E$53=0,1,DQ53/$E$53-1)</f>
        <v>1</v>
      </c>
      <c r="DV53" s="55">
        <f>IF($E$53=0,1,DR53/$E$53-1)</f>
        <v>1</v>
      </c>
      <c r="DW53" s="2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65"/>
      <c r="IZ53" s="65"/>
      <c r="JA53" s="65"/>
      <c r="JB53" s="65"/>
      <c r="JC53" s="65"/>
      <c r="JD53" s="65"/>
      <c r="JE53" s="65"/>
      <c r="JF53" s="65"/>
      <c r="JG53" s="65"/>
      <c r="JH53" s="65"/>
    </row>
    <row r="54" spans="1:268" s="64" customFormat="1" ht="18" customHeight="1">
      <c r="A54" s="292" t="s">
        <v>131</v>
      </c>
      <c r="B54" s="293"/>
      <c r="C54" s="31">
        <f>'[1]прогноз '!B58</f>
        <v>34028.400000000001</v>
      </c>
      <c r="D54" s="31">
        <f>'[1]прогноз '!C58</f>
        <v>31513.4</v>
      </c>
      <c r="E54" s="31">
        <v>38054.199999999997</v>
      </c>
      <c r="F54" s="31">
        <f>H54+J54+N54+R54+V54+Z54+AD54+AH54+AL54+AP54+AT54+AX54</f>
        <v>35863.699999999997</v>
      </c>
      <c r="G54" s="31">
        <f>26.5+H54</f>
        <v>1940.9</v>
      </c>
      <c r="H54" s="31">
        <v>1914.4</v>
      </c>
      <c r="I54" s="31">
        <f>110+J54</f>
        <v>3390.7</v>
      </c>
      <c r="J54" s="31">
        <v>3280.7</v>
      </c>
      <c r="K54" s="26">
        <f t="shared" si="213"/>
        <v>5331.6</v>
      </c>
      <c r="L54" s="26">
        <f t="shared" si="213"/>
        <v>5195.1000000000004</v>
      </c>
      <c r="M54" s="31">
        <f>-38.6+N54</f>
        <v>3160.5</v>
      </c>
      <c r="N54" s="31">
        <v>3199.1</v>
      </c>
      <c r="O54" s="26">
        <f t="shared" ref="O54:P55" si="229">K54+M54</f>
        <v>8492.1</v>
      </c>
      <c r="P54" s="26">
        <f t="shared" si="229"/>
        <v>8394.2000000000007</v>
      </c>
      <c r="Q54" s="31">
        <f>454.3+R54</f>
        <v>3714.3</v>
      </c>
      <c r="R54" s="31">
        <v>3260</v>
      </c>
      <c r="S54" s="26">
        <f t="shared" ref="S54:T55" si="230">O54+Q54</f>
        <v>12206.400000000001</v>
      </c>
      <c r="T54" s="26">
        <f t="shared" si="230"/>
        <v>11654.2</v>
      </c>
      <c r="U54" s="31">
        <f>-160.2+V54</f>
        <v>2757.6000000000004</v>
      </c>
      <c r="V54" s="31">
        <v>2917.8</v>
      </c>
      <c r="W54" s="26">
        <f t="shared" ref="W54:X55" si="231">S54+U54</f>
        <v>14964.000000000002</v>
      </c>
      <c r="X54" s="26">
        <f t="shared" si="231"/>
        <v>14572</v>
      </c>
      <c r="Y54" s="31">
        <f>895.7+Z54</f>
        <v>4071.3</v>
      </c>
      <c r="Z54" s="31">
        <v>3175.6</v>
      </c>
      <c r="AA54" s="26">
        <f t="shared" ref="AA54:AB55" si="232">W54+Y54</f>
        <v>19035.300000000003</v>
      </c>
      <c r="AB54" s="26">
        <f t="shared" si="232"/>
        <v>17747.599999999999</v>
      </c>
      <c r="AC54" s="31">
        <f>120+AD54</f>
        <v>2680.4</v>
      </c>
      <c r="AD54" s="31">
        <v>2560.4</v>
      </c>
      <c r="AE54" s="26">
        <f t="shared" ref="AE54:AF55" si="233">AA54+AC54</f>
        <v>21715.700000000004</v>
      </c>
      <c r="AF54" s="26">
        <f t="shared" si="233"/>
        <v>20308</v>
      </c>
      <c r="AG54" s="31">
        <v>2671.5</v>
      </c>
      <c r="AH54" s="31">
        <v>2568.6999999999998</v>
      </c>
      <c r="AI54" s="26">
        <f t="shared" ref="AI54:AJ55" si="234">AE54+AG54</f>
        <v>24387.200000000004</v>
      </c>
      <c r="AJ54" s="26">
        <f t="shared" si="234"/>
        <v>22876.7</v>
      </c>
      <c r="AK54" s="31">
        <v>2707.4</v>
      </c>
      <c r="AL54" s="31">
        <v>2517.1</v>
      </c>
      <c r="AM54" s="26">
        <f t="shared" ref="AM54:AN55" si="235">AI54+AK54</f>
        <v>27094.600000000006</v>
      </c>
      <c r="AN54" s="26">
        <f t="shared" si="235"/>
        <v>25393.8</v>
      </c>
      <c r="AO54" s="31">
        <v>3366.5</v>
      </c>
      <c r="AP54" s="31">
        <v>3114.4</v>
      </c>
      <c r="AQ54" s="26">
        <f t="shared" ref="AQ54:AR55" si="236">AM54+AO54</f>
        <v>30461.100000000006</v>
      </c>
      <c r="AR54" s="26">
        <f t="shared" si="236"/>
        <v>28508.2</v>
      </c>
      <c r="AS54" s="31">
        <f>101.2+AT54</f>
        <v>3326.7</v>
      </c>
      <c r="AT54" s="31">
        <v>3225.5</v>
      </c>
      <c r="AU54" s="26">
        <f t="shared" ref="AU54:AV55" si="237">AQ54+AS54</f>
        <v>33787.800000000003</v>
      </c>
      <c r="AV54" s="26">
        <f t="shared" si="237"/>
        <v>31733.7</v>
      </c>
      <c r="AW54" s="31">
        <f>547.9+AX54</f>
        <v>4677.8999999999996</v>
      </c>
      <c r="AX54" s="31">
        <v>4130</v>
      </c>
      <c r="AY54" s="31"/>
      <c r="AZ54" s="31">
        <v>39141.800000000003</v>
      </c>
      <c r="BA54" s="55">
        <f t="shared" si="212"/>
        <v>-1</v>
      </c>
      <c r="BB54" s="55">
        <f t="shared" si="212"/>
        <v>9.1404400549859766E-2</v>
      </c>
      <c r="BC54" s="31">
        <v>0</v>
      </c>
      <c r="BD54" s="31">
        <v>570.4</v>
      </c>
      <c r="BE54" s="31">
        <v>0</v>
      </c>
      <c r="BF54" s="31">
        <v>3781.2</v>
      </c>
      <c r="BG54" s="26">
        <f t="shared" si="214"/>
        <v>0</v>
      </c>
      <c r="BH54" s="26">
        <f t="shared" si="214"/>
        <v>4351.5999999999995</v>
      </c>
      <c r="BI54" s="55">
        <f t="shared" si="184"/>
        <v>-1</v>
      </c>
      <c r="BJ54" s="55">
        <f t="shared" si="184"/>
        <v>-0.1623645358125928</v>
      </c>
      <c r="BK54" s="31">
        <v>0</v>
      </c>
      <c r="BL54" s="31">
        <v>1881.9</v>
      </c>
      <c r="BM54" s="26">
        <f t="shared" ref="BM54:BN55" si="238">BG54+BK54</f>
        <v>0</v>
      </c>
      <c r="BN54" s="26">
        <f t="shared" si="238"/>
        <v>6233.5</v>
      </c>
      <c r="BO54" s="55">
        <f t="shared" si="185"/>
        <v>-1</v>
      </c>
      <c r="BP54" s="55">
        <f t="shared" si="185"/>
        <v>-0.25740392175549787</v>
      </c>
      <c r="BQ54" s="31"/>
      <c r="BR54" s="31"/>
      <c r="BS54" s="26">
        <f t="shared" ref="BS54:BT55" si="239">BM54+BQ54</f>
        <v>0</v>
      </c>
      <c r="BT54" s="26">
        <f t="shared" si="239"/>
        <v>6233.5</v>
      </c>
      <c r="BU54" s="55">
        <f t="shared" si="186"/>
        <v>-1</v>
      </c>
      <c r="BV54" s="55">
        <f t="shared" si="186"/>
        <v>-0.46512845154536564</v>
      </c>
      <c r="BW54" s="31"/>
      <c r="BX54" s="31"/>
      <c r="BY54" s="26">
        <f t="shared" ref="BY54:BZ55" si="240">BS54+BW54</f>
        <v>0</v>
      </c>
      <c r="BZ54" s="26">
        <f t="shared" si="240"/>
        <v>6233.5</v>
      </c>
      <c r="CA54" s="55">
        <f t="shared" si="187"/>
        <v>-1</v>
      </c>
      <c r="CB54" s="55">
        <f t="shared" si="187"/>
        <v>-0.57222755970354111</v>
      </c>
      <c r="CC54" s="31"/>
      <c r="CD54" s="31"/>
      <c r="CE54" s="26">
        <f t="shared" ref="CE54:CF55" si="241">BY54+CC54</f>
        <v>0</v>
      </c>
      <c r="CF54" s="26">
        <f t="shared" si="241"/>
        <v>6233.5</v>
      </c>
      <c r="CG54" s="55">
        <f t="shared" si="188"/>
        <v>-1</v>
      </c>
      <c r="CH54" s="55">
        <f t="shared" si="188"/>
        <v>-0.64876941107530028</v>
      </c>
      <c r="CI54" s="31"/>
      <c r="CJ54" s="31"/>
      <c r="CK54" s="26">
        <f t="shared" ref="CK54:CL55" si="242">CE54+CI54</f>
        <v>0</v>
      </c>
      <c r="CL54" s="26">
        <f t="shared" si="242"/>
        <v>6233.5</v>
      </c>
      <c r="CM54" s="55">
        <f t="shared" si="189"/>
        <v>-1</v>
      </c>
      <c r="CN54" s="55">
        <f t="shared" si="189"/>
        <v>-0.69305199921213312</v>
      </c>
      <c r="CO54" s="31"/>
      <c r="CP54" s="31"/>
      <c r="CQ54" s="26">
        <f t="shared" ref="CQ54:CR55" si="243">CK54+CO54</f>
        <v>0</v>
      </c>
      <c r="CR54" s="26">
        <f t="shared" si="243"/>
        <v>6233.5</v>
      </c>
      <c r="CS54" s="55">
        <f t="shared" si="190"/>
        <v>-1</v>
      </c>
      <c r="CT54" s="55">
        <f t="shared" si="190"/>
        <v>-0.72751751782381202</v>
      </c>
      <c r="CU54" s="31"/>
      <c r="CV54" s="31"/>
      <c r="CW54" s="26">
        <f t="shared" ref="CW54:CX55" si="244">CQ54+CU54</f>
        <v>0</v>
      </c>
      <c r="CX54" s="26">
        <f t="shared" si="244"/>
        <v>6233.5</v>
      </c>
      <c r="CY54" s="55">
        <f t="shared" si="191"/>
        <v>-1</v>
      </c>
      <c r="CZ54" s="55">
        <f t="shared" si="191"/>
        <v>-0.75452669549260054</v>
      </c>
      <c r="DA54" s="31"/>
      <c r="DB54" s="31"/>
      <c r="DC54" s="26">
        <f t="shared" ref="DC54:DD55" si="245">CW54+DA54</f>
        <v>0</v>
      </c>
      <c r="DD54" s="26">
        <f t="shared" si="245"/>
        <v>6233.5</v>
      </c>
      <c r="DE54" s="55">
        <f t="shared" si="192"/>
        <v>-1</v>
      </c>
      <c r="DF54" s="55">
        <f t="shared" si="192"/>
        <v>-0.78134361341649072</v>
      </c>
      <c r="DG54" s="31"/>
      <c r="DH54" s="31"/>
      <c r="DI54" s="26">
        <f t="shared" ref="DI54:DJ55" si="246">DC54+DG54</f>
        <v>0</v>
      </c>
      <c r="DJ54" s="26">
        <f t="shared" si="246"/>
        <v>6233.5</v>
      </c>
      <c r="DK54" s="55">
        <f t="shared" si="193"/>
        <v>-1</v>
      </c>
      <c r="DL54" s="55">
        <f t="shared" si="193"/>
        <v>-0.80356844616291201</v>
      </c>
      <c r="DM54" s="31"/>
      <c r="DN54" s="31"/>
      <c r="DO54" s="31"/>
      <c r="DP54" s="31"/>
      <c r="DQ54" s="29"/>
      <c r="DR54" s="31">
        <f>39141.8+724</f>
        <v>39865.800000000003</v>
      </c>
      <c r="DS54" s="55">
        <f>IF($AY$54=0,1,DQ54/$AY$54-1)</f>
        <v>1</v>
      </c>
      <c r="DT54" s="55">
        <f>IF($AZ$54=0,1,DR54/$AZ$54-1)</f>
        <v>1.8496849914924729E-2</v>
      </c>
      <c r="DU54" s="55">
        <f>IF($E$54=0,1,DQ54/$E$54-1)</f>
        <v>-1</v>
      </c>
      <c r="DV54" s="55">
        <f>IF($E$54=0,1,DR54/$E$54-1)</f>
        <v>4.7605783330092466E-2</v>
      </c>
      <c r="DW54" s="25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  <c r="IN54" s="63"/>
      <c r="IO54" s="63"/>
      <c r="IP54" s="63"/>
      <c r="IQ54" s="63"/>
      <c r="IR54" s="63"/>
      <c r="IS54" s="63"/>
      <c r="IT54" s="63"/>
      <c r="IU54" s="63"/>
      <c r="IV54" s="63"/>
      <c r="IW54" s="63"/>
      <c r="IX54" s="63"/>
      <c r="IY54" s="63"/>
      <c r="IZ54" s="63"/>
      <c r="JA54" s="63"/>
      <c r="JB54" s="63"/>
      <c r="JC54" s="63"/>
      <c r="JD54" s="63"/>
      <c r="JE54" s="63"/>
      <c r="JF54" s="63"/>
      <c r="JG54" s="63"/>
      <c r="JH54" s="63"/>
    </row>
    <row r="55" spans="1:268" s="64" customFormat="1" ht="18" customHeight="1">
      <c r="A55" s="292" t="s">
        <v>109</v>
      </c>
      <c r="B55" s="293"/>
      <c r="C55" s="31">
        <f>'[1]прогноз '!B57</f>
        <v>14422.5</v>
      </c>
      <c r="D55" s="31">
        <f>'[1]прогноз '!C57</f>
        <v>6897.0999999999995</v>
      </c>
      <c r="E55" s="31">
        <v>18408</v>
      </c>
      <c r="F55" s="31">
        <f>H55+J55+N55+R55+V55+Z55+AD55+AH55+AL55+AP55+AT55+AX55</f>
        <v>5312.2000000000007</v>
      </c>
      <c r="G55" s="31">
        <f>605.1+H55</f>
        <v>689.5</v>
      </c>
      <c r="H55" s="31">
        <v>84.4</v>
      </c>
      <c r="I55" s="31">
        <f>639.5+J55</f>
        <v>1610.7</v>
      </c>
      <c r="J55" s="31">
        <v>971.2</v>
      </c>
      <c r="K55" s="26">
        <f t="shared" si="213"/>
        <v>2300.1999999999998</v>
      </c>
      <c r="L55" s="26">
        <f t="shared" si="213"/>
        <v>1055.6000000000001</v>
      </c>
      <c r="M55" s="31">
        <f>492.5+N55</f>
        <v>627.6</v>
      </c>
      <c r="N55" s="31">
        <v>135.1</v>
      </c>
      <c r="O55" s="26">
        <f t="shared" si="229"/>
        <v>2927.7999999999997</v>
      </c>
      <c r="P55" s="26">
        <f t="shared" si="229"/>
        <v>1190.7</v>
      </c>
      <c r="Q55" s="31">
        <f>477.2+R55</f>
        <v>738.8</v>
      </c>
      <c r="R55" s="31">
        <v>261.60000000000002</v>
      </c>
      <c r="S55" s="26">
        <f t="shared" si="230"/>
        <v>3666.5999999999995</v>
      </c>
      <c r="T55" s="26">
        <f t="shared" si="230"/>
        <v>1452.3000000000002</v>
      </c>
      <c r="U55" s="31">
        <f>47.5+V55</f>
        <v>234.9</v>
      </c>
      <c r="V55" s="31">
        <v>187.4</v>
      </c>
      <c r="W55" s="26">
        <f t="shared" si="231"/>
        <v>3901.4999999999995</v>
      </c>
      <c r="X55" s="26">
        <f t="shared" si="231"/>
        <v>1639.7000000000003</v>
      </c>
      <c r="Y55" s="31">
        <f>2420.1+Z55</f>
        <v>2754</v>
      </c>
      <c r="Z55" s="31">
        <v>333.9</v>
      </c>
      <c r="AA55" s="26">
        <f t="shared" si="232"/>
        <v>6655.5</v>
      </c>
      <c r="AB55" s="26">
        <f t="shared" si="232"/>
        <v>1973.6000000000004</v>
      </c>
      <c r="AC55" s="31">
        <f>245.1+AD55</f>
        <v>817.2</v>
      </c>
      <c r="AD55" s="31">
        <v>572.1</v>
      </c>
      <c r="AE55" s="26">
        <f t="shared" si="233"/>
        <v>7472.7</v>
      </c>
      <c r="AF55" s="26">
        <f t="shared" si="233"/>
        <v>2545.7000000000003</v>
      </c>
      <c r="AG55" s="31">
        <v>684.9</v>
      </c>
      <c r="AH55" s="31">
        <v>418.3</v>
      </c>
      <c r="AI55" s="26">
        <f t="shared" si="234"/>
        <v>8157.5999999999995</v>
      </c>
      <c r="AJ55" s="26">
        <f t="shared" si="234"/>
        <v>2964.0000000000005</v>
      </c>
      <c r="AK55" s="31">
        <v>1249</v>
      </c>
      <c r="AL55" s="31">
        <v>662.4</v>
      </c>
      <c r="AM55" s="26">
        <f t="shared" si="235"/>
        <v>9406.5999999999985</v>
      </c>
      <c r="AN55" s="26">
        <f t="shared" si="235"/>
        <v>3626.4000000000005</v>
      </c>
      <c r="AO55" s="31">
        <v>974</v>
      </c>
      <c r="AP55" s="31">
        <v>328.9</v>
      </c>
      <c r="AQ55" s="26">
        <f t="shared" si="236"/>
        <v>10380.599999999999</v>
      </c>
      <c r="AR55" s="26">
        <f t="shared" si="236"/>
        <v>3955.3000000000006</v>
      </c>
      <c r="AS55" s="31">
        <f>2548.1+AT55</f>
        <v>3593.1</v>
      </c>
      <c r="AT55" s="31">
        <v>1045</v>
      </c>
      <c r="AU55" s="26">
        <f t="shared" si="237"/>
        <v>13973.699999999999</v>
      </c>
      <c r="AV55" s="26">
        <f t="shared" si="237"/>
        <v>5000.3000000000011</v>
      </c>
      <c r="AW55" s="31">
        <f>6385.1+AX55</f>
        <v>6697</v>
      </c>
      <c r="AX55" s="31">
        <v>311.89999999999998</v>
      </c>
      <c r="AY55" s="31"/>
      <c r="AZ55" s="31">
        <v>3337.8</v>
      </c>
      <c r="BA55" s="55">
        <f t="shared" si="212"/>
        <v>-1</v>
      </c>
      <c r="BB55" s="55">
        <f t="shared" si="212"/>
        <v>-0.37167275328489147</v>
      </c>
      <c r="BC55" s="31">
        <v>0</v>
      </c>
      <c r="BD55" s="31">
        <v>234.3</v>
      </c>
      <c r="BE55" s="31">
        <v>0</v>
      </c>
      <c r="BF55" s="31">
        <v>255.4</v>
      </c>
      <c r="BG55" s="26">
        <f t="shared" si="214"/>
        <v>0</v>
      </c>
      <c r="BH55" s="26">
        <f t="shared" si="214"/>
        <v>489.70000000000005</v>
      </c>
      <c r="BI55" s="55">
        <f t="shared" si="184"/>
        <v>-1</v>
      </c>
      <c r="BJ55" s="55">
        <f t="shared" si="184"/>
        <v>-0.53609321712769997</v>
      </c>
      <c r="BK55" s="31">
        <v>0</v>
      </c>
      <c r="BL55" s="31">
        <v>0</v>
      </c>
      <c r="BM55" s="26">
        <f t="shared" si="238"/>
        <v>0</v>
      </c>
      <c r="BN55" s="26">
        <f t="shared" si="238"/>
        <v>489.70000000000005</v>
      </c>
      <c r="BO55" s="55">
        <f t="shared" si="185"/>
        <v>-1</v>
      </c>
      <c r="BP55" s="55">
        <f t="shared" si="185"/>
        <v>-0.58872931888804902</v>
      </c>
      <c r="BQ55" s="31"/>
      <c r="BR55" s="31"/>
      <c r="BS55" s="26">
        <f t="shared" si="239"/>
        <v>0</v>
      </c>
      <c r="BT55" s="26">
        <f t="shared" si="239"/>
        <v>489.70000000000005</v>
      </c>
      <c r="BU55" s="55">
        <f t="shared" si="186"/>
        <v>-1</v>
      </c>
      <c r="BV55" s="55">
        <f t="shared" si="186"/>
        <v>-0.66281071403979896</v>
      </c>
      <c r="BW55" s="31"/>
      <c r="BX55" s="31"/>
      <c r="BY55" s="26">
        <f t="shared" si="240"/>
        <v>0</v>
      </c>
      <c r="BZ55" s="26">
        <f t="shared" si="240"/>
        <v>489.70000000000005</v>
      </c>
      <c r="CA55" s="55">
        <f t="shared" si="187"/>
        <v>-1</v>
      </c>
      <c r="CB55" s="55">
        <f t="shared" si="187"/>
        <v>-0.70134780752576686</v>
      </c>
      <c r="CC55" s="31"/>
      <c r="CD55" s="31"/>
      <c r="CE55" s="26">
        <f t="shared" si="241"/>
        <v>0</v>
      </c>
      <c r="CF55" s="26">
        <f t="shared" si="241"/>
        <v>489.70000000000005</v>
      </c>
      <c r="CG55" s="55">
        <f t="shared" si="188"/>
        <v>-1</v>
      </c>
      <c r="CH55" s="55">
        <f t="shared" si="188"/>
        <v>-0.7518747466558573</v>
      </c>
      <c r="CI55" s="31"/>
      <c r="CJ55" s="31"/>
      <c r="CK55" s="26">
        <f t="shared" si="242"/>
        <v>0</v>
      </c>
      <c r="CL55" s="26">
        <f t="shared" si="242"/>
        <v>489.70000000000005</v>
      </c>
      <c r="CM55" s="55">
        <f t="shared" si="189"/>
        <v>-1</v>
      </c>
      <c r="CN55" s="55">
        <f t="shared" si="189"/>
        <v>-0.80763640648937418</v>
      </c>
      <c r="CO55" s="31"/>
      <c r="CP55" s="31"/>
      <c r="CQ55" s="26">
        <f t="shared" si="243"/>
        <v>0</v>
      </c>
      <c r="CR55" s="26">
        <f t="shared" si="243"/>
        <v>489.70000000000005</v>
      </c>
      <c r="CS55" s="55">
        <f t="shared" si="190"/>
        <v>-1</v>
      </c>
      <c r="CT55" s="55">
        <f t="shared" si="190"/>
        <v>-0.83478407557354928</v>
      </c>
      <c r="CU55" s="31"/>
      <c r="CV55" s="31"/>
      <c r="CW55" s="26">
        <f t="shared" si="244"/>
        <v>0</v>
      </c>
      <c r="CX55" s="26">
        <f t="shared" si="244"/>
        <v>489.70000000000005</v>
      </c>
      <c r="CY55" s="55">
        <f t="shared" si="191"/>
        <v>-1</v>
      </c>
      <c r="CZ55" s="55">
        <f t="shared" si="191"/>
        <v>-0.86496249724244434</v>
      </c>
      <c r="DA55" s="31"/>
      <c r="DB55" s="31"/>
      <c r="DC55" s="26">
        <f t="shared" si="245"/>
        <v>0</v>
      </c>
      <c r="DD55" s="26">
        <f t="shared" si="245"/>
        <v>489.70000000000005</v>
      </c>
      <c r="DE55" s="55">
        <f t="shared" si="192"/>
        <v>-1</v>
      </c>
      <c r="DF55" s="55">
        <f t="shared" si="192"/>
        <v>-0.87619143933456378</v>
      </c>
      <c r="DG55" s="31"/>
      <c r="DH55" s="31"/>
      <c r="DI55" s="26">
        <f t="shared" si="246"/>
        <v>0</v>
      </c>
      <c r="DJ55" s="26">
        <f t="shared" si="246"/>
        <v>489.70000000000005</v>
      </c>
      <c r="DK55" s="55">
        <f t="shared" si="193"/>
        <v>-1</v>
      </c>
      <c r="DL55" s="55">
        <f t="shared" si="193"/>
        <v>-0.90206587604743715</v>
      </c>
      <c r="DM55" s="31"/>
      <c r="DN55" s="31"/>
      <c r="DO55" s="31"/>
      <c r="DP55" s="31"/>
      <c r="DQ55" s="29"/>
      <c r="DR55" s="31">
        <f>3337.8+921</f>
        <v>4258.8</v>
      </c>
      <c r="DS55" s="55">
        <f>IF($AY$55=0,1,DQ55/$AY$55-1)</f>
        <v>1</v>
      </c>
      <c r="DT55" s="55">
        <f>IF($AZ$55=0,1,DR55/$AZ$55-1)</f>
        <v>0.27593025346036315</v>
      </c>
      <c r="DU55" s="55">
        <f>IF($E$55=0,1,DQ55/$E$55-1)</f>
        <v>-1</v>
      </c>
      <c r="DV55" s="55">
        <f>IF($E$55=0,1,DR55/$E$55-1)</f>
        <v>-0.76864406779661021</v>
      </c>
      <c r="DW55" s="25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</row>
    <row r="56" spans="1:268" s="64" customFormat="1" ht="18" customHeight="1">
      <c r="A56" s="292" t="s">
        <v>119</v>
      </c>
      <c r="B56" s="293"/>
      <c r="C56" s="29"/>
      <c r="D56" s="31"/>
      <c r="E56" s="26"/>
      <c r="F56" s="31"/>
      <c r="G56" s="31"/>
      <c r="H56" s="31"/>
      <c r="I56" s="31"/>
      <c r="J56" s="31"/>
      <c r="K56" s="26">
        <f t="shared" si="213"/>
        <v>0</v>
      </c>
      <c r="L56" s="26">
        <f t="shared" si="213"/>
        <v>0</v>
      </c>
      <c r="M56" s="31"/>
      <c r="N56" s="31"/>
      <c r="O56" s="26"/>
      <c r="P56" s="26"/>
      <c r="Q56" s="31"/>
      <c r="R56" s="31"/>
      <c r="S56" s="26"/>
      <c r="T56" s="26"/>
      <c r="U56" s="31"/>
      <c r="V56" s="31"/>
      <c r="W56" s="26"/>
      <c r="X56" s="26"/>
      <c r="Y56" s="31"/>
      <c r="Z56" s="31"/>
      <c r="AA56" s="26"/>
      <c r="AB56" s="26"/>
      <c r="AC56" s="31"/>
      <c r="AD56" s="31"/>
      <c r="AE56" s="26"/>
      <c r="AF56" s="26"/>
      <c r="AG56" s="31"/>
      <c r="AH56" s="31"/>
      <c r="AI56" s="26"/>
      <c r="AJ56" s="26"/>
      <c r="AK56" s="31"/>
      <c r="AL56" s="31"/>
      <c r="AM56" s="26"/>
      <c r="AN56" s="26"/>
      <c r="AO56" s="31"/>
      <c r="AP56" s="31"/>
      <c r="AQ56" s="26"/>
      <c r="AR56" s="26"/>
      <c r="AS56" s="31"/>
      <c r="AT56" s="31"/>
      <c r="AU56" s="26"/>
      <c r="AV56" s="26"/>
      <c r="AW56" s="31"/>
      <c r="AX56" s="31"/>
      <c r="AY56" s="31"/>
      <c r="AZ56" s="31"/>
      <c r="BA56" s="55">
        <f t="shared" si="212"/>
        <v>1</v>
      </c>
      <c r="BB56" s="55">
        <f t="shared" si="212"/>
        <v>1</v>
      </c>
      <c r="BC56" s="31"/>
      <c r="BD56" s="31"/>
      <c r="BE56" s="31"/>
      <c r="BF56" s="31"/>
      <c r="BG56" s="26">
        <f t="shared" si="214"/>
        <v>0</v>
      </c>
      <c r="BH56" s="26">
        <f t="shared" si="214"/>
        <v>0</v>
      </c>
      <c r="BI56" s="55">
        <f t="shared" si="184"/>
        <v>1</v>
      </c>
      <c r="BJ56" s="55">
        <f t="shared" si="184"/>
        <v>1</v>
      </c>
      <c r="BK56" s="31"/>
      <c r="BL56" s="31"/>
      <c r="BM56" s="26"/>
      <c r="BN56" s="26"/>
      <c r="BO56" s="55">
        <f t="shared" si="185"/>
        <v>1</v>
      </c>
      <c r="BP56" s="55">
        <f t="shared" si="185"/>
        <v>1</v>
      </c>
      <c r="BQ56" s="31"/>
      <c r="BR56" s="31"/>
      <c r="BS56" s="26"/>
      <c r="BT56" s="26"/>
      <c r="BU56" s="55">
        <f t="shared" si="186"/>
        <v>1</v>
      </c>
      <c r="BV56" s="55">
        <f t="shared" si="186"/>
        <v>1</v>
      </c>
      <c r="BW56" s="31"/>
      <c r="BX56" s="31"/>
      <c r="BY56" s="26"/>
      <c r="BZ56" s="26"/>
      <c r="CA56" s="55">
        <f t="shared" si="187"/>
        <v>1</v>
      </c>
      <c r="CB56" s="55">
        <f t="shared" si="187"/>
        <v>1</v>
      </c>
      <c r="CC56" s="31"/>
      <c r="CD56" s="31"/>
      <c r="CE56" s="26"/>
      <c r="CF56" s="26"/>
      <c r="CG56" s="55">
        <f t="shared" si="188"/>
        <v>1</v>
      </c>
      <c r="CH56" s="55">
        <f t="shared" si="188"/>
        <v>1</v>
      </c>
      <c r="CI56" s="31"/>
      <c r="CJ56" s="31"/>
      <c r="CK56" s="26"/>
      <c r="CL56" s="26"/>
      <c r="CM56" s="55">
        <f t="shared" si="189"/>
        <v>1</v>
      </c>
      <c r="CN56" s="55">
        <f t="shared" si="189"/>
        <v>1</v>
      </c>
      <c r="CO56" s="31"/>
      <c r="CP56" s="31"/>
      <c r="CQ56" s="26"/>
      <c r="CR56" s="26"/>
      <c r="CS56" s="55">
        <f t="shared" si="190"/>
        <v>1</v>
      </c>
      <c r="CT56" s="55">
        <f t="shared" si="190"/>
        <v>1</v>
      </c>
      <c r="CU56" s="31"/>
      <c r="CV56" s="31"/>
      <c r="CW56" s="26"/>
      <c r="CX56" s="26"/>
      <c r="CY56" s="55">
        <f t="shared" si="191"/>
        <v>1</v>
      </c>
      <c r="CZ56" s="55">
        <f t="shared" si="191"/>
        <v>1</v>
      </c>
      <c r="DA56" s="31"/>
      <c r="DB56" s="31"/>
      <c r="DC56" s="26"/>
      <c r="DD56" s="26"/>
      <c r="DE56" s="55">
        <f t="shared" si="192"/>
        <v>1</v>
      </c>
      <c r="DF56" s="55">
        <f t="shared" si="192"/>
        <v>1</v>
      </c>
      <c r="DG56" s="31"/>
      <c r="DH56" s="31"/>
      <c r="DI56" s="26"/>
      <c r="DJ56" s="26"/>
      <c r="DK56" s="55">
        <f t="shared" si="193"/>
        <v>1</v>
      </c>
      <c r="DL56" s="55">
        <f t="shared" si="193"/>
        <v>1</v>
      </c>
      <c r="DM56" s="31"/>
      <c r="DN56" s="31"/>
      <c r="DO56" s="31"/>
      <c r="DP56" s="31"/>
      <c r="DQ56" s="31"/>
      <c r="DR56" s="31"/>
      <c r="DS56" s="55">
        <f>IF($AY$56=0,1,DQ56/$AY$56-1)</f>
        <v>1</v>
      </c>
      <c r="DT56" s="55">
        <f>IF($AZ$56=0,1,DR56/$AZ$56-1)</f>
        <v>1</v>
      </c>
      <c r="DU56" s="55">
        <f>IF($E$56=0,1,DQ56/$E$56-1)</f>
        <v>1</v>
      </c>
      <c r="DV56" s="55">
        <f>IF($E$56=0,1,DR56/$E$56-1)</f>
        <v>1</v>
      </c>
      <c r="DW56" s="25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</row>
    <row r="57" spans="1:268" s="64" customFormat="1" ht="18" customHeight="1">
      <c r="A57" s="292" t="s">
        <v>120</v>
      </c>
      <c r="B57" s="293"/>
      <c r="C57" s="31">
        <f>'[1]прогноз '!B55</f>
        <v>2734.5</v>
      </c>
      <c r="D57" s="31">
        <f>'[1]прогноз '!C55</f>
        <v>100</v>
      </c>
      <c r="E57" s="31">
        <f>G57+I57+M57+Q57+U57+Y57+AC57+AG57+AK57+AO57+AS57+AW57</f>
        <v>3551.8</v>
      </c>
      <c r="F57" s="31">
        <f>H57+J57+N57+R57+V57+Z57+AD57+AH57+AL57+AP57+AT57+AX57</f>
        <v>1786.8</v>
      </c>
      <c r="G57" s="31">
        <v>500</v>
      </c>
      <c r="H57" s="31">
        <v>0</v>
      </c>
      <c r="I57" s="31">
        <v>200</v>
      </c>
      <c r="J57" s="31">
        <v>0</v>
      </c>
      <c r="K57" s="26">
        <f t="shared" si="213"/>
        <v>700</v>
      </c>
      <c r="L57" s="26">
        <f t="shared" si="213"/>
        <v>0</v>
      </c>
      <c r="M57" s="31">
        <v>0</v>
      </c>
      <c r="N57" s="31">
        <v>0</v>
      </c>
      <c r="O57" s="26">
        <f>K57+M57</f>
        <v>700</v>
      </c>
      <c r="P57" s="26">
        <f>L57+N57</f>
        <v>0</v>
      </c>
      <c r="Q57" s="31">
        <v>300</v>
      </c>
      <c r="R57" s="31">
        <v>0</v>
      </c>
      <c r="S57" s="26">
        <f>O57+Q57</f>
        <v>1000</v>
      </c>
      <c r="T57" s="26">
        <f>P57+R57</f>
        <v>0</v>
      </c>
      <c r="U57" s="31">
        <f>100+V57</f>
        <v>550</v>
      </c>
      <c r="V57" s="31">
        <v>450</v>
      </c>
      <c r="W57" s="26">
        <f>S57+U57</f>
        <v>1550</v>
      </c>
      <c r="X57" s="26">
        <f>T57+V57</f>
        <v>450</v>
      </c>
      <c r="Y57" s="31">
        <f>350+Z57</f>
        <v>747.4</v>
      </c>
      <c r="Z57" s="31">
        <v>397.4</v>
      </c>
      <c r="AA57" s="26">
        <f>W57+Y57</f>
        <v>2297.4</v>
      </c>
      <c r="AB57" s="26">
        <f>X57+Z57</f>
        <v>847.4</v>
      </c>
      <c r="AC57" s="31">
        <v>0</v>
      </c>
      <c r="AD57" s="31">
        <v>0</v>
      </c>
      <c r="AE57" s="26">
        <f>AA57+AC57</f>
        <v>2297.4</v>
      </c>
      <c r="AF57" s="26">
        <f>AB57+AD57</f>
        <v>847.4</v>
      </c>
      <c r="AG57" s="31">
        <v>0</v>
      </c>
      <c r="AH57" s="31">
        <v>0</v>
      </c>
      <c r="AI57" s="26">
        <f>AE57+AG57</f>
        <v>2297.4</v>
      </c>
      <c r="AJ57" s="26">
        <f>AF57+AH57</f>
        <v>847.4</v>
      </c>
      <c r="AK57" s="31">
        <v>0</v>
      </c>
      <c r="AL57" s="31">
        <v>-70</v>
      </c>
      <c r="AM57" s="26">
        <f>AI57+AK57</f>
        <v>2297.4</v>
      </c>
      <c r="AN57" s="26">
        <f>AJ57+AL57</f>
        <v>777.4</v>
      </c>
      <c r="AO57" s="31">
        <v>0</v>
      </c>
      <c r="AP57" s="31">
        <v>0</v>
      </c>
      <c r="AQ57" s="26">
        <f>AM57+AO57</f>
        <v>2297.4</v>
      </c>
      <c r="AR57" s="26">
        <f>AN57+AP57</f>
        <v>777.4</v>
      </c>
      <c r="AS57" s="31">
        <v>245</v>
      </c>
      <c r="AT57" s="31">
        <v>0</v>
      </c>
      <c r="AU57" s="26">
        <f>AQ57+AS57</f>
        <v>2542.4</v>
      </c>
      <c r="AV57" s="26">
        <f>AR57+AT57</f>
        <v>777.4</v>
      </c>
      <c r="AW57" s="31">
        <f>0+AX57</f>
        <v>1009.4</v>
      </c>
      <c r="AX57" s="31">
        <v>1009.4</v>
      </c>
      <c r="AY57" s="31"/>
      <c r="AZ57" s="31">
        <v>109.4</v>
      </c>
      <c r="BA57" s="55">
        <f t="shared" si="212"/>
        <v>-1</v>
      </c>
      <c r="BB57" s="55">
        <f t="shared" si="212"/>
        <v>-0.93877322587866574</v>
      </c>
      <c r="BC57" s="31">
        <v>0</v>
      </c>
      <c r="BD57" s="31">
        <v>0</v>
      </c>
      <c r="BE57" s="31">
        <v>0</v>
      </c>
      <c r="BF57" s="31">
        <v>0</v>
      </c>
      <c r="BG57" s="26">
        <f t="shared" si="214"/>
        <v>0</v>
      </c>
      <c r="BH57" s="26">
        <f t="shared" si="214"/>
        <v>0</v>
      </c>
      <c r="BI57" s="55">
        <f t="shared" si="184"/>
        <v>-1</v>
      </c>
      <c r="BJ57" s="55">
        <f t="shared" si="184"/>
        <v>1</v>
      </c>
      <c r="BK57" s="31">
        <v>0</v>
      </c>
      <c r="BL57" s="31">
        <v>0</v>
      </c>
      <c r="BM57" s="26">
        <f>BG57+BK57</f>
        <v>0</v>
      </c>
      <c r="BN57" s="26">
        <f>BH57+BL57</f>
        <v>0</v>
      </c>
      <c r="BO57" s="55">
        <f t="shared" si="185"/>
        <v>-1</v>
      </c>
      <c r="BP57" s="55">
        <f t="shared" si="185"/>
        <v>1</v>
      </c>
      <c r="BQ57" s="31"/>
      <c r="BR57" s="31"/>
      <c r="BS57" s="26">
        <f>BM57+BQ57</f>
        <v>0</v>
      </c>
      <c r="BT57" s="26">
        <f>BN57+BR57</f>
        <v>0</v>
      </c>
      <c r="BU57" s="55">
        <f t="shared" si="186"/>
        <v>-1</v>
      </c>
      <c r="BV57" s="55">
        <f t="shared" si="186"/>
        <v>1</v>
      </c>
      <c r="BW57" s="31"/>
      <c r="BX57" s="31"/>
      <c r="BY57" s="26">
        <f>BS57+BW57</f>
        <v>0</v>
      </c>
      <c r="BZ57" s="26">
        <f>BT57+BX57</f>
        <v>0</v>
      </c>
      <c r="CA57" s="55">
        <f t="shared" si="187"/>
        <v>-1</v>
      </c>
      <c r="CB57" s="55">
        <f t="shared" si="187"/>
        <v>-1</v>
      </c>
      <c r="CC57" s="31"/>
      <c r="CD57" s="31"/>
      <c r="CE57" s="26">
        <f>BY57+CC57</f>
        <v>0</v>
      </c>
      <c r="CF57" s="26">
        <f>BZ57+CD57</f>
        <v>0</v>
      </c>
      <c r="CG57" s="55">
        <f t="shared" si="188"/>
        <v>-1</v>
      </c>
      <c r="CH57" s="55">
        <f t="shared" si="188"/>
        <v>-1</v>
      </c>
      <c r="CI57" s="31"/>
      <c r="CJ57" s="31"/>
      <c r="CK57" s="26">
        <f>CE57+CI57</f>
        <v>0</v>
      </c>
      <c r="CL57" s="26">
        <f>CF57+CJ57</f>
        <v>0</v>
      </c>
      <c r="CM57" s="55">
        <f t="shared" si="189"/>
        <v>-1</v>
      </c>
      <c r="CN57" s="55">
        <f t="shared" si="189"/>
        <v>-1</v>
      </c>
      <c r="CO57" s="31"/>
      <c r="CP57" s="31"/>
      <c r="CQ57" s="26">
        <f>CK57+CO57</f>
        <v>0</v>
      </c>
      <c r="CR57" s="26">
        <f>CL57+CP57</f>
        <v>0</v>
      </c>
      <c r="CS57" s="55">
        <f t="shared" si="190"/>
        <v>-1</v>
      </c>
      <c r="CT57" s="55">
        <f t="shared" si="190"/>
        <v>-1</v>
      </c>
      <c r="CU57" s="31"/>
      <c r="CV57" s="31"/>
      <c r="CW57" s="26">
        <f>CQ57+CU57</f>
        <v>0</v>
      </c>
      <c r="CX57" s="26">
        <f>CR57+CV57</f>
        <v>0</v>
      </c>
      <c r="CY57" s="55">
        <f t="shared" si="191"/>
        <v>-1</v>
      </c>
      <c r="CZ57" s="55">
        <f t="shared" si="191"/>
        <v>-1</v>
      </c>
      <c r="DA57" s="31"/>
      <c r="DB57" s="31"/>
      <c r="DC57" s="26">
        <f>CW57+DA57</f>
        <v>0</v>
      </c>
      <c r="DD57" s="26">
        <f>CX57+DB57</f>
        <v>0</v>
      </c>
      <c r="DE57" s="55">
        <f t="shared" si="192"/>
        <v>-1</v>
      </c>
      <c r="DF57" s="55">
        <f t="shared" si="192"/>
        <v>-1</v>
      </c>
      <c r="DG57" s="31"/>
      <c r="DH57" s="31"/>
      <c r="DI57" s="26">
        <f>DC57+DG57</f>
        <v>0</v>
      </c>
      <c r="DJ57" s="26">
        <f>DD57+DH57</f>
        <v>0</v>
      </c>
      <c r="DK57" s="55">
        <f t="shared" si="193"/>
        <v>-1</v>
      </c>
      <c r="DL57" s="55">
        <f t="shared" si="193"/>
        <v>-1</v>
      </c>
      <c r="DM57" s="31"/>
      <c r="DN57" s="31"/>
      <c r="DO57" s="31"/>
      <c r="DP57" s="31"/>
      <c r="DQ57" s="29"/>
      <c r="DR57" s="31">
        <v>109.4</v>
      </c>
      <c r="DS57" s="55">
        <f>IF($AY$57=0,1,DQ57/$AY$57-1)</f>
        <v>1</v>
      </c>
      <c r="DT57" s="55">
        <f>IF($AZ$57=0,1,DR57/$AZ$57-1)</f>
        <v>0</v>
      </c>
      <c r="DU57" s="55">
        <f>IF($E$57=0,1,DQ57/$E$57-1)</f>
        <v>-1</v>
      </c>
      <c r="DV57" s="55">
        <f>IF($E$57=0,1,DR57/$E$57-1)</f>
        <v>-0.96919871614392705</v>
      </c>
      <c r="DW57" s="25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</row>
    <row r="58" spans="1:268" s="64" customFormat="1" ht="18" customHeight="1">
      <c r="A58" s="292" t="s">
        <v>121</v>
      </c>
      <c r="B58" s="293"/>
      <c r="C58" s="29"/>
      <c r="D58" s="31"/>
      <c r="E58" s="26"/>
      <c r="F58" s="31"/>
      <c r="G58" s="31"/>
      <c r="H58" s="31"/>
      <c r="I58" s="31"/>
      <c r="J58" s="31"/>
      <c r="K58" s="26">
        <f t="shared" si="213"/>
        <v>0</v>
      </c>
      <c r="L58" s="26">
        <f t="shared" si="213"/>
        <v>0</v>
      </c>
      <c r="M58" s="31"/>
      <c r="N58" s="31"/>
      <c r="O58" s="26"/>
      <c r="P58" s="26"/>
      <c r="Q58" s="31"/>
      <c r="R58" s="31"/>
      <c r="S58" s="26"/>
      <c r="T58" s="26"/>
      <c r="U58" s="31"/>
      <c r="V58" s="31"/>
      <c r="W58" s="26"/>
      <c r="X58" s="26"/>
      <c r="Y58" s="31"/>
      <c r="Z58" s="31"/>
      <c r="AA58" s="26"/>
      <c r="AB58" s="26"/>
      <c r="AC58" s="31"/>
      <c r="AD58" s="31"/>
      <c r="AE58" s="26"/>
      <c r="AF58" s="26"/>
      <c r="AG58" s="31"/>
      <c r="AH58" s="31"/>
      <c r="AI58" s="26"/>
      <c r="AJ58" s="26"/>
      <c r="AK58" s="31"/>
      <c r="AL58" s="31"/>
      <c r="AM58" s="26"/>
      <c r="AN58" s="26"/>
      <c r="AO58" s="31"/>
      <c r="AP58" s="31"/>
      <c r="AQ58" s="26"/>
      <c r="AR58" s="26"/>
      <c r="AS58" s="31"/>
      <c r="AT58" s="31"/>
      <c r="AU58" s="26"/>
      <c r="AV58" s="26"/>
      <c r="AW58" s="31"/>
      <c r="AX58" s="31"/>
      <c r="AY58" s="31"/>
      <c r="AZ58" s="31"/>
      <c r="BA58" s="55">
        <f t="shared" ref="BA58:BB62" si="247">IF(E58=0,1,AY58/E58-1)</f>
        <v>1</v>
      </c>
      <c r="BB58" s="55">
        <f t="shared" si="247"/>
        <v>1</v>
      </c>
      <c r="BC58" s="31"/>
      <c r="BD58" s="31"/>
      <c r="BE58" s="31"/>
      <c r="BF58" s="31"/>
      <c r="BG58" s="26">
        <f t="shared" si="214"/>
        <v>0</v>
      </c>
      <c r="BH58" s="26">
        <f t="shared" si="214"/>
        <v>0</v>
      </c>
      <c r="BI58" s="55">
        <f t="shared" si="184"/>
        <v>1</v>
      </c>
      <c r="BJ58" s="55">
        <f t="shared" si="184"/>
        <v>1</v>
      </c>
      <c r="BK58" s="31"/>
      <c r="BL58" s="31"/>
      <c r="BM58" s="26"/>
      <c r="BN58" s="26"/>
      <c r="BO58" s="55">
        <f t="shared" si="185"/>
        <v>1</v>
      </c>
      <c r="BP58" s="55">
        <f t="shared" si="185"/>
        <v>1</v>
      </c>
      <c r="BQ58" s="31"/>
      <c r="BR58" s="31"/>
      <c r="BS58" s="26"/>
      <c r="BT58" s="26"/>
      <c r="BU58" s="55">
        <f t="shared" si="186"/>
        <v>1</v>
      </c>
      <c r="BV58" s="55">
        <f t="shared" si="186"/>
        <v>1</v>
      </c>
      <c r="BW58" s="31"/>
      <c r="BX58" s="31"/>
      <c r="BY58" s="26"/>
      <c r="BZ58" s="26"/>
      <c r="CA58" s="55">
        <f t="shared" si="187"/>
        <v>1</v>
      </c>
      <c r="CB58" s="55">
        <f t="shared" si="187"/>
        <v>1</v>
      </c>
      <c r="CC58" s="31"/>
      <c r="CD58" s="31"/>
      <c r="CE58" s="26"/>
      <c r="CF58" s="26"/>
      <c r="CG58" s="55">
        <f t="shared" si="188"/>
        <v>1</v>
      </c>
      <c r="CH58" s="55">
        <f t="shared" si="188"/>
        <v>1</v>
      </c>
      <c r="CI58" s="31"/>
      <c r="CJ58" s="31"/>
      <c r="CK58" s="26"/>
      <c r="CL58" s="26"/>
      <c r="CM58" s="55">
        <f t="shared" si="189"/>
        <v>1</v>
      </c>
      <c r="CN58" s="55">
        <f t="shared" si="189"/>
        <v>1</v>
      </c>
      <c r="CO58" s="31"/>
      <c r="CP58" s="31"/>
      <c r="CQ58" s="26"/>
      <c r="CR58" s="26"/>
      <c r="CS58" s="55">
        <f t="shared" si="190"/>
        <v>1</v>
      </c>
      <c r="CT58" s="55">
        <f t="shared" si="190"/>
        <v>1</v>
      </c>
      <c r="CU58" s="31"/>
      <c r="CV58" s="31"/>
      <c r="CW58" s="26"/>
      <c r="CX58" s="26"/>
      <c r="CY58" s="55">
        <f t="shared" si="191"/>
        <v>1</v>
      </c>
      <c r="CZ58" s="55">
        <f t="shared" si="191"/>
        <v>1</v>
      </c>
      <c r="DA58" s="31"/>
      <c r="DB58" s="31"/>
      <c r="DC58" s="26"/>
      <c r="DD58" s="26"/>
      <c r="DE58" s="55">
        <f t="shared" si="192"/>
        <v>1</v>
      </c>
      <c r="DF58" s="55">
        <f t="shared" si="192"/>
        <v>1</v>
      </c>
      <c r="DG58" s="31"/>
      <c r="DH58" s="31"/>
      <c r="DI58" s="26"/>
      <c r="DJ58" s="26"/>
      <c r="DK58" s="55">
        <f t="shared" si="193"/>
        <v>1</v>
      </c>
      <c r="DL58" s="55">
        <f t="shared" si="193"/>
        <v>1</v>
      </c>
      <c r="DM58" s="31"/>
      <c r="DN58" s="31"/>
      <c r="DO58" s="31"/>
      <c r="DP58" s="31"/>
      <c r="DQ58" s="31"/>
      <c r="DR58" s="31"/>
      <c r="DS58" s="55">
        <f>IF($AY$58=0,1,DQ58/$AY$58-1)</f>
        <v>1</v>
      </c>
      <c r="DT58" s="55">
        <f>IF($AZ$58=0,1,DR58/$AZ$58-1)</f>
        <v>1</v>
      </c>
      <c r="DU58" s="55">
        <f>IF($E$58=0,1,DQ58/$E$58-1)</f>
        <v>1</v>
      </c>
      <c r="DV58" s="55">
        <f>IF($E$58=0,1,DR58/$E$58-1)</f>
        <v>1</v>
      </c>
      <c r="DW58" s="25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</row>
    <row r="59" spans="1:268" s="64" customFormat="1" ht="18" customHeight="1">
      <c r="A59" s="292" t="s">
        <v>122</v>
      </c>
      <c r="B59" s="293"/>
      <c r="C59" s="29"/>
      <c r="D59" s="31"/>
      <c r="E59" s="26"/>
      <c r="F59" s="31"/>
      <c r="G59" s="31"/>
      <c r="H59" s="31"/>
      <c r="I59" s="31"/>
      <c r="J59" s="31"/>
      <c r="K59" s="26">
        <f t="shared" si="213"/>
        <v>0</v>
      </c>
      <c r="L59" s="26">
        <f t="shared" si="213"/>
        <v>0</v>
      </c>
      <c r="M59" s="31"/>
      <c r="N59" s="31"/>
      <c r="O59" s="26"/>
      <c r="P59" s="26"/>
      <c r="Q59" s="31"/>
      <c r="R59" s="31"/>
      <c r="S59" s="26"/>
      <c r="T59" s="26"/>
      <c r="U59" s="31"/>
      <c r="V59" s="31"/>
      <c r="W59" s="26"/>
      <c r="X59" s="26"/>
      <c r="Y59" s="31"/>
      <c r="Z59" s="31"/>
      <c r="AA59" s="26"/>
      <c r="AB59" s="26"/>
      <c r="AC59" s="31"/>
      <c r="AD59" s="31"/>
      <c r="AE59" s="26"/>
      <c r="AF59" s="26"/>
      <c r="AG59" s="31"/>
      <c r="AH59" s="31"/>
      <c r="AI59" s="26"/>
      <c r="AJ59" s="26"/>
      <c r="AK59" s="31"/>
      <c r="AL59" s="31"/>
      <c r="AM59" s="26"/>
      <c r="AN59" s="26"/>
      <c r="AO59" s="31"/>
      <c r="AP59" s="31"/>
      <c r="AQ59" s="26"/>
      <c r="AR59" s="26"/>
      <c r="AS59" s="31"/>
      <c r="AT59" s="31"/>
      <c r="AU59" s="26"/>
      <c r="AV59" s="26"/>
      <c r="AW59" s="31"/>
      <c r="AX59" s="31"/>
      <c r="AY59" s="31"/>
      <c r="AZ59" s="31"/>
      <c r="BA59" s="55">
        <f t="shared" si="247"/>
        <v>1</v>
      </c>
      <c r="BB59" s="55">
        <f t="shared" si="247"/>
        <v>1</v>
      </c>
      <c r="BC59" s="31"/>
      <c r="BD59" s="31"/>
      <c r="BE59" s="31"/>
      <c r="BF59" s="31"/>
      <c r="BG59" s="26">
        <f t="shared" si="214"/>
        <v>0</v>
      </c>
      <c r="BH59" s="26">
        <f t="shared" si="214"/>
        <v>0</v>
      </c>
      <c r="BI59" s="55">
        <f t="shared" si="184"/>
        <v>1</v>
      </c>
      <c r="BJ59" s="55">
        <f t="shared" si="184"/>
        <v>1</v>
      </c>
      <c r="BK59" s="31"/>
      <c r="BL59" s="31"/>
      <c r="BM59" s="26"/>
      <c r="BN59" s="26"/>
      <c r="BO59" s="55">
        <f t="shared" si="185"/>
        <v>1</v>
      </c>
      <c r="BP59" s="55">
        <f t="shared" si="185"/>
        <v>1</v>
      </c>
      <c r="BQ59" s="31"/>
      <c r="BR59" s="31"/>
      <c r="BS59" s="26"/>
      <c r="BT59" s="26"/>
      <c r="BU59" s="55">
        <f t="shared" si="186"/>
        <v>1</v>
      </c>
      <c r="BV59" s="55">
        <f t="shared" si="186"/>
        <v>1</v>
      </c>
      <c r="BW59" s="31"/>
      <c r="BX59" s="31"/>
      <c r="BY59" s="26"/>
      <c r="BZ59" s="26"/>
      <c r="CA59" s="55">
        <f t="shared" si="187"/>
        <v>1</v>
      </c>
      <c r="CB59" s="55">
        <f t="shared" si="187"/>
        <v>1</v>
      </c>
      <c r="CC59" s="31"/>
      <c r="CD59" s="31"/>
      <c r="CE59" s="26"/>
      <c r="CF59" s="26"/>
      <c r="CG59" s="55">
        <f t="shared" si="188"/>
        <v>1</v>
      </c>
      <c r="CH59" s="55">
        <f t="shared" si="188"/>
        <v>1</v>
      </c>
      <c r="CI59" s="31"/>
      <c r="CJ59" s="31"/>
      <c r="CK59" s="26"/>
      <c r="CL59" s="26"/>
      <c r="CM59" s="55">
        <f t="shared" si="189"/>
        <v>1</v>
      </c>
      <c r="CN59" s="55">
        <f t="shared" si="189"/>
        <v>1</v>
      </c>
      <c r="CO59" s="31"/>
      <c r="CP59" s="31"/>
      <c r="CQ59" s="26"/>
      <c r="CR59" s="26"/>
      <c r="CS59" s="55">
        <f t="shared" si="190"/>
        <v>1</v>
      </c>
      <c r="CT59" s="55">
        <f t="shared" si="190"/>
        <v>1</v>
      </c>
      <c r="CU59" s="31"/>
      <c r="CV59" s="31"/>
      <c r="CW59" s="26"/>
      <c r="CX59" s="26"/>
      <c r="CY59" s="55">
        <f t="shared" si="191"/>
        <v>1</v>
      </c>
      <c r="CZ59" s="55">
        <f t="shared" si="191"/>
        <v>1</v>
      </c>
      <c r="DA59" s="31"/>
      <c r="DB59" s="31"/>
      <c r="DC59" s="26"/>
      <c r="DD59" s="26"/>
      <c r="DE59" s="55">
        <f t="shared" si="192"/>
        <v>1</v>
      </c>
      <c r="DF59" s="55">
        <f t="shared" si="192"/>
        <v>1</v>
      </c>
      <c r="DG59" s="31"/>
      <c r="DH59" s="31"/>
      <c r="DI59" s="26"/>
      <c r="DJ59" s="26"/>
      <c r="DK59" s="55">
        <f t="shared" si="193"/>
        <v>1</v>
      </c>
      <c r="DL59" s="55">
        <f t="shared" si="193"/>
        <v>1</v>
      </c>
      <c r="DM59" s="31"/>
      <c r="DN59" s="31"/>
      <c r="DO59" s="31"/>
      <c r="DP59" s="31"/>
      <c r="DQ59" s="31"/>
      <c r="DR59" s="31"/>
      <c r="DS59" s="55">
        <f>IF($AY$59=0,1,DQ59/$AY$59-1)</f>
        <v>1</v>
      </c>
      <c r="DT59" s="55">
        <f>IF($AZ$59=0,1,DR59/$AZ$59-1)</f>
        <v>1</v>
      </c>
      <c r="DU59" s="55">
        <f>IF($E$59=0,1,DQ59/$E$59-1)</f>
        <v>1</v>
      </c>
      <c r="DV59" s="55">
        <f>IF($E$59=0,1,DR59/$E$59-1)</f>
        <v>1</v>
      </c>
      <c r="DW59" s="25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  <c r="JE59" s="63"/>
      <c r="JF59" s="63"/>
      <c r="JG59" s="63"/>
      <c r="JH59" s="63"/>
    </row>
    <row r="60" spans="1:268" s="64" customFormat="1" ht="18" customHeight="1">
      <c r="A60" s="292" t="s">
        <v>123</v>
      </c>
      <c r="B60" s="293"/>
      <c r="C60" s="31">
        <f>'[1]прогноз '!B54</f>
        <v>0</v>
      </c>
      <c r="D60" s="31">
        <f>'[1]прогноз '!C54</f>
        <v>1162</v>
      </c>
      <c r="E60" s="31">
        <v>3113</v>
      </c>
      <c r="F60" s="31">
        <f>H60+J60+N60+R60+V60+Z60+AD60+AH60+AL60+AP60+AT60+AX60</f>
        <v>2712</v>
      </c>
      <c r="G60" s="31">
        <f>179.5+H60</f>
        <v>182.9</v>
      </c>
      <c r="H60" s="31">
        <v>3.4</v>
      </c>
      <c r="I60" s="31">
        <f>80.9+J60</f>
        <v>167.4</v>
      </c>
      <c r="J60" s="31">
        <v>86.5</v>
      </c>
      <c r="K60" s="26">
        <f>G60+I60</f>
        <v>350.3</v>
      </c>
      <c r="L60" s="26">
        <f>H60+J60</f>
        <v>89.9</v>
      </c>
      <c r="M60" s="31">
        <f>299.5+N60</f>
        <v>277.10000000000002</v>
      </c>
      <c r="N60" s="31">
        <v>-22.4</v>
      </c>
      <c r="O60" s="26">
        <f>K60+M60</f>
        <v>627.40000000000009</v>
      </c>
      <c r="P60" s="26">
        <f>L60+N60</f>
        <v>67.5</v>
      </c>
      <c r="Q60" s="31">
        <f>132.4+R60</f>
        <v>314.89999999999998</v>
      </c>
      <c r="R60" s="31">
        <v>182.5</v>
      </c>
      <c r="S60" s="26">
        <f>O60+Q60</f>
        <v>942.30000000000007</v>
      </c>
      <c r="T60" s="26">
        <f>P60+R60</f>
        <v>250</v>
      </c>
      <c r="U60" s="31">
        <f>429.3+V60</f>
        <v>677.6</v>
      </c>
      <c r="V60" s="31">
        <v>248.3</v>
      </c>
      <c r="W60" s="26">
        <f>S60+U60</f>
        <v>1619.9</v>
      </c>
      <c r="X60" s="26">
        <f>T60+V60</f>
        <v>498.3</v>
      </c>
      <c r="Y60" s="31">
        <f>283.1+Z60</f>
        <v>490</v>
      </c>
      <c r="Z60" s="31">
        <v>206.9</v>
      </c>
      <c r="AA60" s="26">
        <f>W60+Y60</f>
        <v>2109.9</v>
      </c>
      <c r="AB60" s="26">
        <f>X60+Z60</f>
        <v>705.2</v>
      </c>
      <c r="AC60" s="31">
        <v>-304.89999999999998</v>
      </c>
      <c r="AD60" s="31">
        <v>-40.299999999999997</v>
      </c>
      <c r="AE60" s="26">
        <f>AA60+AC60</f>
        <v>1805</v>
      </c>
      <c r="AF60" s="26">
        <f>AB60+AD60</f>
        <v>664.90000000000009</v>
      </c>
      <c r="AG60" s="31">
        <v>718.1</v>
      </c>
      <c r="AH60" s="31">
        <v>-16.2</v>
      </c>
      <c r="AI60" s="26">
        <f>AE60+AG60</f>
        <v>2523.1</v>
      </c>
      <c r="AJ60" s="26">
        <f>AF60+AH60</f>
        <v>648.70000000000005</v>
      </c>
      <c r="AK60" s="31">
        <v>2157</v>
      </c>
      <c r="AL60" s="31">
        <v>1654.6</v>
      </c>
      <c r="AM60" s="26">
        <f>AI60+AK60</f>
        <v>4680.1000000000004</v>
      </c>
      <c r="AN60" s="26">
        <f>AJ60+AL60</f>
        <v>2303.3000000000002</v>
      </c>
      <c r="AO60" s="31">
        <v>481.3</v>
      </c>
      <c r="AP60" s="31">
        <v>65.599999999999994</v>
      </c>
      <c r="AQ60" s="26">
        <f>AM60+AO60</f>
        <v>5161.4000000000005</v>
      </c>
      <c r="AR60" s="26">
        <f>AN60+AP60</f>
        <v>2368.9</v>
      </c>
      <c r="AS60" s="31">
        <f>295.7+AT60</f>
        <v>416.6</v>
      </c>
      <c r="AT60" s="31">
        <v>120.9</v>
      </c>
      <c r="AU60" s="26">
        <f>AQ60+AS60</f>
        <v>5578.0000000000009</v>
      </c>
      <c r="AV60" s="26">
        <f>AR60+AT60</f>
        <v>2489.8000000000002</v>
      </c>
      <c r="AW60" s="31">
        <f>68.8+AX60</f>
        <v>291</v>
      </c>
      <c r="AX60" s="31">
        <v>222.2</v>
      </c>
      <c r="AY60" s="31"/>
      <c r="AZ60" s="31">
        <v>3296</v>
      </c>
      <c r="BA60" s="55">
        <f>IF(E60=0,1,AY60/E60-1)</f>
        <v>-1</v>
      </c>
      <c r="BB60" s="55">
        <f>IF(F60=0,1,AZ60/F60-1)</f>
        <v>0.21533923303834812</v>
      </c>
      <c r="BC60" s="31">
        <v>0</v>
      </c>
      <c r="BD60" s="31">
        <v>-23.2</v>
      </c>
      <c r="BE60" s="31">
        <v>0</v>
      </c>
      <c r="BF60" s="31">
        <v>-31.5</v>
      </c>
      <c r="BG60" s="26">
        <f>BC60+BE60</f>
        <v>0</v>
      </c>
      <c r="BH60" s="26">
        <f>BD60+BF60</f>
        <v>-54.7</v>
      </c>
      <c r="BI60" s="55">
        <f>IF(K60=0,1,BG60/K60-1)</f>
        <v>-1</v>
      </c>
      <c r="BJ60" s="55">
        <f>IF(L60=0,1,BH60/L60-1)</f>
        <v>-1.6084538375973305</v>
      </c>
      <c r="BK60" s="31">
        <v>0</v>
      </c>
      <c r="BL60" s="31">
        <v>0</v>
      </c>
      <c r="BM60" s="26">
        <f>BG60+BK60</f>
        <v>0</v>
      </c>
      <c r="BN60" s="26">
        <f>BH60+BL60</f>
        <v>-54.7</v>
      </c>
      <c r="BO60" s="55">
        <f>IF(O60=0,1,BM60/O60-1)</f>
        <v>-1</v>
      </c>
      <c r="BP60" s="55">
        <f>IF(P60=0,1,BN60/P60-1)</f>
        <v>-1.8103703703703704</v>
      </c>
      <c r="BQ60" s="31"/>
      <c r="BR60" s="31"/>
      <c r="BS60" s="26">
        <f>BM60+BQ60</f>
        <v>0</v>
      </c>
      <c r="BT60" s="26">
        <f>BN60+BR60</f>
        <v>-54.7</v>
      </c>
      <c r="BU60" s="55">
        <f>IF(S60=0,1,BS60/S60-1)</f>
        <v>-1</v>
      </c>
      <c r="BV60" s="55">
        <f>IF(T60=0,1,BT60/T60-1)</f>
        <v>-1.2188000000000001</v>
      </c>
      <c r="BW60" s="31"/>
      <c r="BX60" s="31"/>
      <c r="BY60" s="26">
        <f>BS60+BW60</f>
        <v>0</v>
      </c>
      <c r="BZ60" s="26">
        <f>BT60+BX60</f>
        <v>-54.7</v>
      </c>
      <c r="CA60" s="55">
        <f>IF(W60=0,1,BY60/W60-1)</f>
        <v>-1</v>
      </c>
      <c r="CB60" s="55">
        <f>IF(X60=0,1,BZ60/X60-1)</f>
        <v>-1.1097732289785269</v>
      </c>
      <c r="CC60" s="31"/>
      <c r="CD60" s="31"/>
      <c r="CE60" s="26">
        <f>BY60+CC60</f>
        <v>0</v>
      </c>
      <c r="CF60" s="26">
        <f>BZ60+CD60</f>
        <v>-54.7</v>
      </c>
      <c r="CG60" s="55">
        <f>IF(AA60=0,1,CE60/AA60-1)</f>
        <v>-1</v>
      </c>
      <c r="CH60" s="55">
        <f>IF(AB60=0,1,CF60/AB60-1)</f>
        <v>-1.077566647759501</v>
      </c>
      <c r="CI60" s="31"/>
      <c r="CJ60" s="31"/>
      <c r="CK60" s="26">
        <f>CE60+CI60</f>
        <v>0</v>
      </c>
      <c r="CL60" s="26">
        <f>CF60+CJ60</f>
        <v>-54.7</v>
      </c>
      <c r="CM60" s="55">
        <f>IF(AE60=0,1,CK60/AE60-1)</f>
        <v>-1</v>
      </c>
      <c r="CN60" s="55">
        <f>IF(AF60=0,1,CL60/AF60-1)</f>
        <v>-1.0822680102271018</v>
      </c>
      <c r="CO60" s="31"/>
      <c r="CP60" s="31"/>
      <c r="CQ60" s="26">
        <f>CK60+CO60</f>
        <v>0</v>
      </c>
      <c r="CR60" s="26">
        <f>CL60+CP60</f>
        <v>-54.7</v>
      </c>
      <c r="CS60" s="55">
        <f>IF(AI60=0,1,CQ60/AI60-1)</f>
        <v>-1</v>
      </c>
      <c r="CT60" s="55">
        <f>IF(AJ60=0,1,CR60/AJ60-1)</f>
        <v>-1.0843224911361184</v>
      </c>
      <c r="CU60" s="31"/>
      <c r="CV60" s="31"/>
      <c r="CW60" s="26">
        <f>CQ60+CU60</f>
        <v>0</v>
      </c>
      <c r="CX60" s="26">
        <f>CR60+CV60</f>
        <v>-54.7</v>
      </c>
      <c r="CY60" s="55">
        <f>IF(AM60=0,1,CW60/AM60-1)</f>
        <v>-1</v>
      </c>
      <c r="CZ60" s="55">
        <f>IF(AN60=0,1,CX60/AN60-1)</f>
        <v>-1.0237485347110666</v>
      </c>
      <c r="DA60" s="31"/>
      <c r="DB60" s="31"/>
      <c r="DC60" s="26">
        <f>CW60+DA60</f>
        <v>0</v>
      </c>
      <c r="DD60" s="26">
        <f>CX60+DB60</f>
        <v>-54.7</v>
      </c>
      <c r="DE60" s="55">
        <f>IF(AQ60=0,1,DC60/AQ60-1)</f>
        <v>-1</v>
      </c>
      <c r="DF60" s="55">
        <f>IF(AR60=0,1,DD60/AR60-1)</f>
        <v>-1.0230908860652623</v>
      </c>
      <c r="DG60" s="31"/>
      <c r="DH60" s="31"/>
      <c r="DI60" s="26">
        <f>DC60+DG60</f>
        <v>0</v>
      </c>
      <c r="DJ60" s="26">
        <f>DD60+DH60</f>
        <v>-54.7</v>
      </c>
      <c r="DK60" s="55">
        <f>IF(AU60=0,1,DI60/AU60-1)</f>
        <v>-1</v>
      </c>
      <c r="DL60" s="55">
        <f>IF(AV60=0,1,DJ60/AV60-1)</f>
        <v>-1.0219696361153505</v>
      </c>
      <c r="DM60" s="31"/>
      <c r="DN60" s="31"/>
      <c r="DO60" s="31"/>
      <c r="DP60" s="31"/>
      <c r="DQ60" s="29"/>
      <c r="DR60" s="31">
        <v>3296</v>
      </c>
      <c r="DS60" s="55">
        <f>IF($AY$60=0,1,DQ60/$AY$60-1)</f>
        <v>1</v>
      </c>
      <c r="DT60" s="55">
        <f>IF($AZ$60=0,1,DR60/$AZ$60-1)</f>
        <v>0</v>
      </c>
      <c r="DU60" s="55">
        <f>IF($E$60=0,1,DQ60/$E$60-1)</f>
        <v>-1</v>
      </c>
      <c r="DV60" s="55">
        <f>IF($E$60=0,1,DR60/$E$60-1)</f>
        <v>5.8785737230966806E-2</v>
      </c>
      <c r="DW60" s="25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</row>
    <row r="61" spans="1:268" s="64" customFormat="1" ht="18" customHeight="1">
      <c r="A61" s="292" t="s">
        <v>124</v>
      </c>
      <c r="B61" s="293"/>
      <c r="C61" s="29"/>
      <c r="D61" s="31"/>
      <c r="E61" s="26"/>
      <c r="F61" s="31"/>
      <c r="G61" s="31"/>
      <c r="H61" s="31"/>
      <c r="I61" s="31"/>
      <c r="J61" s="31"/>
      <c r="K61" s="26">
        <f t="shared" si="213"/>
        <v>0</v>
      </c>
      <c r="L61" s="26">
        <f t="shared" si="213"/>
        <v>0</v>
      </c>
      <c r="M61" s="31"/>
      <c r="N61" s="31"/>
      <c r="O61" s="26"/>
      <c r="P61" s="26"/>
      <c r="Q61" s="31"/>
      <c r="R61" s="31"/>
      <c r="S61" s="26"/>
      <c r="T61" s="26"/>
      <c r="U61" s="31"/>
      <c r="V61" s="31"/>
      <c r="W61" s="26"/>
      <c r="X61" s="26"/>
      <c r="Y61" s="31"/>
      <c r="Z61" s="31"/>
      <c r="AA61" s="26"/>
      <c r="AB61" s="26"/>
      <c r="AC61" s="31"/>
      <c r="AD61" s="31"/>
      <c r="AE61" s="26"/>
      <c r="AF61" s="26"/>
      <c r="AG61" s="31"/>
      <c r="AH61" s="31"/>
      <c r="AI61" s="26"/>
      <c r="AJ61" s="26"/>
      <c r="AK61" s="31"/>
      <c r="AL61" s="31"/>
      <c r="AM61" s="26"/>
      <c r="AN61" s="26"/>
      <c r="AO61" s="31"/>
      <c r="AP61" s="31"/>
      <c r="AQ61" s="26"/>
      <c r="AR61" s="26"/>
      <c r="AS61" s="31"/>
      <c r="AT61" s="31"/>
      <c r="AU61" s="26"/>
      <c r="AV61" s="26"/>
      <c r="AW61" s="31"/>
      <c r="AX61" s="31"/>
      <c r="AY61" s="31"/>
      <c r="AZ61" s="31"/>
      <c r="BA61" s="55">
        <f t="shared" si="247"/>
        <v>1</v>
      </c>
      <c r="BB61" s="55">
        <f t="shared" si="247"/>
        <v>1</v>
      </c>
      <c r="BC61" s="31"/>
      <c r="BD61" s="31"/>
      <c r="BE61" s="31"/>
      <c r="BF61" s="31"/>
      <c r="BG61" s="26">
        <f t="shared" si="214"/>
        <v>0</v>
      </c>
      <c r="BH61" s="26">
        <f t="shared" si="214"/>
        <v>0</v>
      </c>
      <c r="BI61" s="55">
        <f t="shared" si="184"/>
        <v>1</v>
      </c>
      <c r="BJ61" s="55">
        <f t="shared" si="184"/>
        <v>1</v>
      </c>
      <c r="BK61" s="31"/>
      <c r="BL61" s="31"/>
      <c r="BM61" s="26"/>
      <c r="BN61" s="26"/>
      <c r="BO61" s="55">
        <f t="shared" si="185"/>
        <v>1</v>
      </c>
      <c r="BP61" s="55">
        <f t="shared" si="185"/>
        <v>1</v>
      </c>
      <c r="BQ61" s="31"/>
      <c r="BR61" s="31"/>
      <c r="BS61" s="26"/>
      <c r="BT61" s="26"/>
      <c r="BU61" s="55">
        <f t="shared" si="186"/>
        <v>1</v>
      </c>
      <c r="BV61" s="55">
        <f t="shared" si="186"/>
        <v>1</v>
      </c>
      <c r="BW61" s="31"/>
      <c r="BX61" s="31"/>
      <c r="BY61" s="26"/>
      <c r="BZ61" s="26"/>
      <c r="CA61" s="55">
        <f t="shared" si="187"/>
        <v>1</v>
      </c>
      <c r="CB61" s="55">
        <f t="shared" si="187"/>
        <v>1</v>
      </c>
      <c r="CC61" s="31"/>
      <c r="CD61" s="31"/>
      <c r="CE61" s="26"/>
      <c r="CF61" s="26"/>
      <c r="CG61" s="55">
        <f t="shared" si="188"/>
        <v>1</v>
      </c>
      <c r="CH61" s="55">
        <f t="shared" si="188"/>
        <v>1</v>
      </c>
      <c r="CI61" s="31"/>
      <c r="CJ61" s="31"/>
      <c r="CK61" s="26"/>
      <c r="CL61" s="26"/>
      <c r="CM61" s="55">
        <f t="shared" si="189"/>
        <v>1</v>
      </c>
      <c r="CN61" s="55">
        <f t="shared" si="189"/>
        <v>1</v>
      </c>
      <c r="CO61" s="31"/>
      <c r="CP61" s="31"/>
      <c r="CQ61" s="26"/>
      <c r="CR61" s="26"/>
      <c r="CS61" s="55">
        <f t="shared" si="190"/>
        <v>1</v>
      </c>
      <c r="CT61" s="55">
        <f t="shared" si="190"/>
        <v>1</v>
      </c>
      <c r="CU61" s="31"/>
      <c r="CV61" s="31"/>
      <c r="CW61" s="26"/>
      <c r="CX61" s="26"/>
      <c r="CY61" s="55">
        <f t="shared" si="191"/>
        <v>1</v>
      </c>
      <c r="CZ61" s="55">
        <f t="shared" si="191"/>
        <v>1</v>
      </c>
      <c r="DA61" s="31"/>
      <c r="DB61" s="31"/>
      <c r="DC61" s="26"/>
      <c r="DD61" s="26"/>
      <c r="DE61" s="55">
        <f t="shared" si="192"/>
        <v>1</v>
      </c>
      <c r="DF61" s="55">
        <f t="shared" si="192"/>
        <v>1</v>
      </c>
      <c r="DG61" s="31"/>
      <c r="DH61" s="31"/>
      <c r="DI61" s="26"/>
      <c r="DJ61" s="26"/>
      <c r="DK61" s="55">
        <f t="shared" si="193"/>
        <v>1</v>
      </c>
      <c r="DL61" s="55">
        <f t="shared" si="193"/>
        <v>1</v>
      </c>
      <c r="DM61" s="31"/>
      <c r="DN61" s="31"/>
      <c r="DO61" s="31"/>
      <c r="DP61" s="31"/>
      <c r="DQ61" s="31"/>
      <c r="DR61" s="31"/>
      <c r="DS61" s="55">
        <f>IF($AY$61=0,1,DQ61/$AY$61-1)</f>
        <v>1</v>
      </c>
      <c r="DT61" s="55">
        <f>IF($AZ$61=0,1,DR61/$AZ$61-1)</f>
        <v>1</v>
      </c>
      <c r="DU61" s="55">
        <f>IF($E$61=0,1,DQ61/$E$61-1)</f>
        <v>1</v>
      </c>
      <c r="DV61" s="55">
        <f>IF($E$61=0,1,DR61/$E$61-1)</f>
        <v>1</v>
      </c>
      <c r="DW61" s="25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</row>
    <row r="62" spans="1:268" s="64" customFormat="1" ht="18.75" customHeight="1">
      <c r="A62" s="292" t="s">
        <v>133</v>
      </c>
      <c r="B62" s="293"/>
      <c r="C62" s="29"/>
      <c r="D62" s="31"/>
      <c r="E62" s="26"/>
      <c r="F62" s="31"/>
      <c r="G62" s="31"/>
      <c r="H62" s="31"/>
      <c r="I62" s="31"/>
      <c r="J62" s="31"/>
      <c r="K62" s="26">
        <f t="shared" ref="K62:L62" si="248">G62+I62</f>
        <v>0</v>
      </c>
      <c r="L62" s="26">
        <f t="shared" si="248"/>
        <v>0</v>
      </c>
      <c r="M62" s="31"/>
      <c r="N62" s="31"/>
      <c r="O62" s="26"/>
      <c r="P62" s="26"/>
      <c r="Q62" s="31"/>
      <c r="R62" s="31"/>
      <c r="S62" s="26"/>
      <c r="T62" s="26"/>
      <c r="U62" s="31"/>
      <c r="V62" s="31"/>
      <c r="W62" s="26"/>
      <c r="X62" s="26"/>
      <c r="Y62" s="31"/>
      <c r="Z62" s="31"/>
      <c r="AA62" s="26"/>
      <c r="AB62" s="26"/>
      <c r="AC62" s="31"/>
      <c r="AD62" s="31"/>
      <c r="AE62" s="26"/>
      <c r="AF62" s="26"/>
      <c r="AG62" s="31"/>
      <c r="AH62" s="31"/>
      <c r="AI62" s="26"/>
      <c r="AJ62" s="26"/>
      <c r="AK62" s="31"/>
      <c r="AL62" s="31"/>
      <c r="AM62" s="26"/>
      <c r="AN62" s="26"/>
      <c r="AO62" s="31"/>
      <c r="AP62" s="31"/>
      <c r="AQ62" s="26"/>
      <c r="AR62" s="26"/>
      <c r="AS62" s="31"/>
      <c r="AT62" s="31"/>
      <c r="AU62" s="26"/>
      <c r="AV62" s="26"/>
      <c r="AW62" s="31"/>
      <c r="AX62" s="31"/>
      <c r="AY62" s="31"/>
      <c r="AZ62" s="31"/>
      <c r="BA62" s="55">
        <f t="shared" si="247"/>
        <v>1</v>
      </c>
      <c r="BB62" s="55">
        <f t="shared" si="247"/>
        <v>1</v>
      </c>
      <c r="BC62" s="31"/>
      <c r="BD62" s="31"/>
      <c r="BE62" s="31"/>
      <c r="BF62" s="31"/>
      <c r="BG62" s="26">
        <f t="shared" ref="BG62:BH62" si="249">BC62+BE62</f>
        <v>0</v>
      </c>
      <c r="BH62" s="26">
        <f t="shared" si="249"/>
        <v>0</v>
      </c>
      <c r="BI62" s="55">
        <f t="shared" ref="BI62:BJ62" si="250">IF(K62=0,1,BG62/K62-1)</f>
        <v>1</v>
      </c>
      <c r="BJ62" s="55">
        <f t="shared" si="250"/>
        <v>1</v>
      </c>
      <c r="BK62" s="31"/>
      <c r="BL62" s="31"/>
      <c r="BM62" s="26"/>
      <c r="BN62" s="26"/>
      <c r="BO62" s="55">
        <f t="shared" ref="BO62:BP62" si="251">IF(O62=0,1,BM62/O62-1)</f>
        <v>1</v>
      </c>
      <c r="BP62" s="55">
        <f t="shared" si="251"/>
        <v>1</v>
      </c>
      <c r="BQ62" s="31"/>
      <c r="BR62" s="31"/>
      <c r="BS62" s="26"/>
      <c r="BT62" s="26"/>
      <c r="BU62" s="55">
        <f t="shared" ref="BU62:BV62" si="252">IF(S62=0,1,BS62/S62-1)</f>
        <v>1</v>
      </c>
      <c r="BV62" s="55">
        <f t="shared" si="252"/>
        <v>1</v>
      </c>
      <c r="BW62" s="31"/>
      <c r="BX62" s="31"/>
      <c r="BY62" s="26"/>
      <c r="BZ62" s="26"/>
      <c r="CA62" s="55">
        <f t="shared" ref="CA62:CB62" si="253">IF(W62=0,1,BY62/W62-1)</f>
        <v>1</v>
      </c>
      <c r="CB62" s="55">
        <f t="shared" si="253"/>
        <v>1</v>
      </c>
      <c r="CC62" s="31"/>
      <c r="CD62" s="31"/>
      <c r="CE62" s="26"/>
      <c r="CF62" s="26"/>
      <c r="CG62" s="55">
        <f t="shared" ref="CG62:CH62" si="254">IF(AA62=0,1,CE62/AA62-1)</f>
        <v>1</v>
      </c>
      <c r="CH62" s="55">
        <f t="shared" si="254"/>
        <v>1</v>
      </c>
      <c r="CI62" s="31"/>
      <c r="CJ62" s="31"/>
      <c r="CK62" s="26"/>
      <c r="CL62" s="26"/>
      <c r="CM62" s="55">
        <f t="shared" ref="CM62:CN62" si="255">IF(AE62=0,1,CK62/AE62-1)</f>
        <v>1</v>
      </c>
      <c r="CN62" s="55">
        <f t="shared" si="255"/>
        <v>1</v>
      </c>
      <c r="CO62" s="31"/>
      <c r="CP62" s="31"/>
      <c r="CQ62" s="26"/>
      <c r="CR62" s="26"/>
      <c r="CS62" s="55">
        <f t="shared" ref="CS62:CT62" si="256">IF(AI62=0,1,CQ62/AI62-1)</f>
        <v>1</v>
      </c>
      <c r="CT62" s="55">
        <f t="shared" si="256"/>
        <v>1</v>
      </c>
      <c r="CU62" s="31"/>
      <c r="CV62" s="31"/>
      <c r="CW62" s="26"/>
      <c r="CX62" s="26"/>
      <c r="CY62" s="55">
        <f t="shared" ref="CY62:CZ62" si="257">IF(AM62=0,1,CW62/AM62-1)</f>
        <v>1</v>
      </c>
      <c r="CZ62" s="55">
        <f t="shared" si="257"/>
        <v>1</v>
      </c>
      <c r="DA62" s="31"/>
      <c r="DB62" s="31"/>
      <c r="DC62" s="26"/>
      <c r="DD62" s="26"/>
      <c r="DE62" s="55">
        <f t="shared" ref="DE62:DF62" si="258">IF(AQ62=0,1,DC62/AQ62-1)</f>
        <v>1</v>
      </c>
      <c r="DF62" s="55">
        <f t="shared" si="258"/>
        <v>1</v>
      </c>
      <c r="DG62" s="31"/>
      <c r="DH62" s="31"/>
      <c r="DI62" s="26"/>
      <c r="DJ62" s="26"/>
      <c r="DK62" s="55">
        <f t="shared" ref="DK62:DL62" si="259">IF(AU62=0,1,DI62/AU62-1)</f>
        <v>1</v>
      </c>
      <c r="DL62" s="55">
        <f t="shared" si="259"/>
        <v>1</v>
      </c>
      <c r="DM62" s="31"/>
      <c r="DN62" s="31"/>
      <c r="DO62" s="31"/>
      <c r="DP62" s="31"/>
      <c r="DQ62" s="31"/>
      <c r="DR62" s="31"/>
      <c r="DS62" s="55">
        <f>IF($AY$62=0,1,DQ62/$AY$62-1)</f>
        <v>1</v>
      </c>
      <c r="DT62" s="55">
        <f>IF($AZ$62=0,1,DR62/$AZ$62-1)</f>
        <v>1</v>
      </c>
      <c r="DU62" s="55">
        <f>IF($E$62=0,1,DQ62/$E$62-1)</f>
        <v>1</v>
      </c>
      <c r="DV62" s="55">
        <f>IF($E$62=0,1,DR62/$E$62-1)</f>
        <v>1</v>
      </c>
      <c r="DW62" s="25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  <c r="JE62" s="63"/>
      <c r="JF62" s="63"/>
      <c r="JG62" s="63"/>
      <c r="JH62" s="63"/>
    </row>
    <row r="63" spans="1:268" s="72" customFormat="1" ht="16.5">
      <c r="A63" s="286" t="s">
        <v>50</v>
      </c>
      <c r="B63" s="287"/>
      <c r="C63" s="17">
        <f>C8-C36</f>
        <v>557059.40000000014</v>
      </c>
      <c r="D63" s="17">
        <f t="shared" ref="D63:AY63" si="260">D8-D36</f>
        <v>56308.650000000023</v>
      </c>
      <c r="E63" s="17">
        <f t="shared" si="260"/>
        <v>153311.69999999995</v>
      </c>
      <c r="F63" s="17">
        <f t="shared" si="260"/>
        <v>27959.300000000163</v>
      </c>
      <c r="G63" s="17">
        <f t="shared" si="260"/>
        <v>8921</v>
      </c>
      <c r="H63" s="17">
        <f t="shared" si="260"/>
        <v>8725.2999999999956</v>
      </c>
      <c r="I63" s="17">
        <f t="shared" si="260"/>
        <v>22977.199999999997</v>
      </c>
      <c r="J63" s="17">
        <f t="shared" si="260"/>
        <v>20169.69999999999</v>
      </c>
      <c r="K63" s="17">
        <f t="shared" si="260"/>
        <v>31898.199999999983</v>
      </c>
      <c r="L63" s="17">
        <f t="shared" si="260"/>
        <v>28895</v>
      </c>
      <c r="M63" s="17">
        <f t="shared" si="260"/>
        <v>1366.3999999999942</v>
      </c>
      <c r="N63" s="17">
        <f t="shared" si="260"/>
        <v>598.79999999998836</v>
      </c>
      <c r="O63" s="17">
        <f t="shared" si="260"/>
        <v>33264.599999999977</v>
      </c>
      <c r="P63" s="17">
        <f t="shared" si="260"/>
        <v>29493.799999999988</v>
      </c>
      <c r="Q63" s="17">
        <f t="shared" si="260"/>
        <v>5437</v>
      </c>
      <c r="R63" s="17">
        <f t="shared" si="260"/>
        <v>8043.010000000002</v>
      </c>
      <c r="S63" s="17">
        <f t="shared" si="260"/>
        <v>38701.600000000064</v>
      </c>
      <c r="T63" s="17">
        <f t="shared" si="260"/>
        <v>37536.810000000027</v>
      </c>
      <c r="U63" s="17">
        <f t="shared" si="260"/>
        <v>13199.600000000013</v>
      </c>
      <c r="V63" s="17">
        <f t="shared" si="260"/>
        <v>6683.5999999999913</v>
      </c>
      <c r="W63" s="17">
        <f t="shared" si="260"/>
        <v>51901.20000000007</v>
      </c>
      <c r="X63" s="17">
        <f t="shared" si="260"/>
        <v>44220.410000000033</v>
      </c>
      <c r="Y63" s="17">
        <f t="shared" si="260"/>
        <v>3069.8999999999942</v>
      </c>
      <c r="Z63" s="17">
        <f t="shared" si="260"/>
        <v>-3995</v>
      </c>
      <c r="AA63" s="17">
        <f t="shared" si="260"/>
        <v>54971.099999999977</v>
      </c>
      <c r="AB63" s="17">
        <f t="shared" si="260"/>
        <v>40225.410000000033</v>
      </c>
      <c r="AC63" s="17">
        <f t="shared" si="260"/>
        <v>-1462.5999999999913</v>
      </c>
      <c r="AD63" s="17">
        <f t="shared" si="260"/>
        <v>-2928.6999999999898</v>
      </c>
      <c r="AE63" s="17">
        <f t="shared" si="260"/>
        <v>53508.500000000116</v>
      </c>
      <c r="AF63" s="17">
        <f t="shared" si="260"/>
        <v>37296.710000000021</v>
      </c>
      <c r="AG63" s="17">
        <f t="shared" si="260"/>
        <v>-1444.1999999999825</v>
      </c>
      <c r="AH63" s="17">
        <f t="shared" si="260"/>
        <v>-3885.7100000000064</v>
      </c>
      <c r="AI63" s="17">
        <f t="shared" si="260"/>
        <v>52064.300000000105</v>
      </c>
      <c r="AJ63" s="17">
        <f t="shared" si="260"/>
        <v>33410.999999999942</v>
      </c>
      <c r="AK63" s="17">
        <f t="shared" si="260"/>
        <v>3879.0999999999694</v>
      </c>
      <c r="AL63" s="17">
        <f t="shared" si="260"/>
        <v>4824.2000000000189</v>
      </c>
      <c r="AM63" s="17">
        <f t="shared" si="260"/>
        <v>55943.40000000014</v>
      </c>
      <c r="AN63" s="17">
        <f t="shared" si="260"/>
        <v>38235.20000000007</v>
      </c>
      <c r="AO63" s="17">
        <f t="shared" si="260"/>
        <v>8144.0000000000291</v>
      </c>
      <c r="AP63" s="17">
        <f t="shared" si="260"/>
        <v>3945.3000000000466</v>
      </c>
      <c r="AQ63" s="17">
        <f t="shared" si="260"/>
        <v>64087.40000000014</v>
      </c>
      <c r="AR63" s="17">
        <f t="shared" si="260"/>
        <v>42180.5</v>
      </c>
      <c r="AS63" s="17">
        <f t="shared" si="260"/>
        <v>38859.300000000003</v>
      </c>
      <c r="AT63" s="17">
        <f t="shared" si="260"/>
        <v>20.899999999994179</v>
      </c>
      <c r="AU63" s="17">
        <f t="shared" si="260"/>
        <v>102946.69999999995</v>
      </c>
      <c r="AV63" s="17">
        <f t="shared" si="260"/>
        <v>42201.400000000023</v>
      </c>
      <c r="AW63" s="17">
        <f t="shared" si="260"/>
        <v>40046</v>
      </c>
      <c r="AX63" s="17">
        <f t="shared" si="260"/>
        <v>-14242.100000000006</v>
      </c>
      <c r="AY63" s="17">
        <f t="shared" si="260"/>
        <v>174222.40000000002</v>
      </c>
      <c r="AZ63" s="17">
        <f>AZ8-AZ36</f>
        <v>77157.400000000023</v>
      </c>
      <c r="BA63" s="20" t="s">
        <v>51</v>
      </c>
      <c r="BB63" s="20" t="s">
        <v>51</v>
      </c>
      <c r="BC63" s="17">
        <f t="shared" ref="BC63:DN63" si="261">BC8-BC36</f>
        <v>10365.599999999999</v>
      </c>
      <c r="BD63" s="17">
        <f t="shared" si="261"/>
        <v>5008.1999999999971</v>
      </c>
      <c r="BE63" s="17">
        <f t="shared" si="261"/>
        <v>8685.0999999999985</v>
      </c>
      <c r="BF63" s="17">
        <f t="shared" si="261"/>
        <v>1693</v>
      </c>
      <c r="BG63" s="17">
        <f t="shared" si="261"/>
        <v>19050.699999999997</v>
      </c>
      <c r="BH63" s="17">
        <f t="shared" si="261"/>
        <v>6701.1999999999971</v>
      </c>
      <c r="BI63" s="20" t="s">
        <v>51</v>
      </c>
      <c r="BJ63" s="20" t="s">
        <v>51</v>
      </c>
      <c r="BK63" s="17">
        <f t="shared" si="261"/>
        <v>8822.8999999999942</v>
      </c>
      <c r="BL63" s="17">
        <f t="shared" si="261"/>
        <v>8181.8000000000029</v>
      </c>
      <c r="BM63" s="17">
        <f t="shared" si="261"/>
        <v>27873.600000000006</v>
      </c>
      <c r="BN63" s="17">
        <f t="shared" si="261"/>
        <v>14883.000000000029</v>
      </c>
      <c r="BO63" s="20" t="s">
        <v>51</v>
      </c>
      <c r="BP63" s="20" t="s">
        <v>51</v>
      </c>
      <c r="BQ63" s="17">
        <f t="shared" si="261"/>
        <v>0</v>
      </c>
      <c r="BR63" s="17">
        <f t="shared" si="261"/>
        <v>0</v>
      </c>
      <c r="BS63" s="17">
        <f t="shared" si="261"/>
        <v>27873.600000000006</v>
      </c>
      <c r="BT63" s="17">
        <f t="shared" si="261"/>
        <v>14883.000000000029</v>
      </c>
      <c r="BU63" s="20" t="s">
        <v>51</v>
      </c>
      <c r="BV63" s="20" t="s">
        <v>51</v>
      </c>
      <c r="BW63" s="17">
        <f t="shared" si="261"/>
        <v>0</v>
      </c>
      <c r="BX63" s="17">
        <f t="shared" si="261"/>
        <v>0</v>
      </c>
      <c r="BY63" s="17">
        <f t="shared" si="261"/>
        <v>27873.600000000006</v>
      </c>
      <c r="BZ63" s="17">
        <f t="shared" si="261"/>
        <v>14883.000000000029</v>
      </c>
      <c r="CA63" s="20" t="s">
        <v>51</v>
      </c>
      <c r="CB63" s="20" t="s">
        <v>51</v>
      </c>
      <c r="CC63" s="17">
        <f t="shared" si="261"/>
        <v>0</v>
      </c>
      <c r="CD63" s="17">
        <f t="shared" si="261"/>
        <v>0</v>
      </c>
      <c r="CE63" s="17">
        <f t="shared" si="261"/>
        <v>27873.600000000006</v>
      </c>
      <c r="CF63" s="17">
        <f t="shared" si="261"/>
        <v>14883.000000000029</v>
      </c>
      <c r="CG63" s="20" t="s">
        <v>51</v>
      </c>
      <c r="CH63" s="20" t="s">
        <v>51</v>
      </c>
      <c r="CI63" s="17">
        <f t="shared" si="261"/>
        <v>0</v>
      </c>
      <c r="CJ63" s="17">
        <f t="shared" si="261"/>
        <v>0</v>
      </c>
      <c r="CK63" s="17">
        <f t="shared" si="261"/>
        <v>27873.600000000006</v>
      </c>
      <c r="CL63" s="17">
        <f t="shared" si="261"/>
        <v>14883.000000000029</v>
      </c>
      <c r="CM63" s="20" t="s">
        <v>51</v>
      </c>
      <c r="CN63" s="20" t="s">
        <v>51</v>
      </c>
      <c r="CO63" s="17">
        <f t="shared" si="261"/>
        <v>0</v>
      </c>
      <c r="CP63" s="17">
        <f t="shared" si="261"/>
        <v>0</v>
      </c>
      <c r="CQ63" s="17">
        <f t="shared" si="261"/>
        <v>27873.600000000006</v>
      </c>
      <c r="CR63" s="17">
        <f t="shared" si="261"/>
        <v>14883.000000000029</v>
      </c>
      <c r="CS63" s="20" t="s">
        <v>51</v>
      </c>
      <c r="CT63" s="20" t="s">
        <v>51</v>
      </c>
      <c r="CU63" s="17">
        <f t="shared" si="261"/>
        <v>0</v>
      </c>
      <c r="CV63" s="17">
        <f t="shared" si="261"/>
        <v>0</v>
      </c>
      <c r="CW63" s="17">
        <f t="shared" si="261"/>
        <v>27873.600000000006</v>
      </c>
      <c r="CX63" s="17">
        <f t="shared" si="261"/>
        <v>14883.000000000029</v>
      </c>
      <c r="CY63" s="20" t="s">
        <v>51</v>
      </c>
      <c r="CZ63" s="20" t="s">
        <v>51</v>
      </c>
      <c r="DA63" s="17">
        <f t="shared" si="261"/>
        <v>0</v>
      </c>
      <c r="DB63" s="17">
        <f t="shared" si="261"/>
        <v>0</v>
      </c>
      <c r="DC63" s="17">
        <f t="shared" si="261"/>
        <v>27873.600000000006</v>
      </c>
      <c r="DD63" s="17">
        <f t="shared" si="261"/>
        <v>14883.000000000029</v>
      </c>
      <c r="DE63" s="20" t="s">
        <v>51</v>
      </c>
      <c r="DF63" s="20" t="s">
        <v>51</v>
      </c>
      <c r="DG63" s="17">
        <f t="shared" si="261"/>
        <v>0</v>
      </c>
      <c r="DH63" s="17">
        <f t="shared" si="261"/>
        <v>0</v>
      </c>
      <c r="DI63" s="17">
        <f t="shared" si="261"/>
        <v>27873.600000000006</v>
      </c>
      <c r="DJ63" s="17">
        <f t="shared" si="261"/>
        <v>14883.000000000029</v>
      </c>
      <c r="DK63" s="20" t="s">
        <v>51</v>
      </c>
      <c r="DL63" s="20" t="s">
        <v>51</v>
      </c>
      <c r="DM63" s="17">
        <f t="shared" si="261"/>
        <v>0</v>
      </c>
      <c r="DN63" s="17">
        <f t="shared" si="261"/>
        <v>0</v>
      </c>
      <c r="DO63" s="17">
        <f t="shared" ref="DO63:DR63" si="262">DO8-DO36</f>
        <v>0</v>
      </c>
      <c r="DP63" s="17">
        <f t="shared" si="262"/>
        <v>0</v>
      </c>
      <c r="DQ63" s="17">
        <f t="shared" si="262"/>
        <v>112407.90000000002</v>
      </c>
      <c r="DR63" s="17">
        <f t="shared" si="262"/>
        <v>17577.400000000023</v>
      </c>
      <c r="DS63" s="20" t="s">
        <v>51</v>
      </c>
      <c r="DT63" s="20" t="s">
        <v>51</v>
      </c>
      <c r="DU63" s="20" t="s">
        <v>51</v>
      </c>
      <c r="DV63" s="20" t="s">
        <v>51</v>
      </c>
      <c r="DW63" s="2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  <c r="IV63" s="71"/>
      <c r="IW63" s="71"/>
      <c r="IX63" s="71"/>
      <c r="IY63" s="71"/>
      <c r="IZ63" s="71"/>
      <c r="JA63" s="71"/>
      <c r="JB63" s="71"/>
      <c r="JC63" s="71"/>
      <c r="JD63" s="71"/>
      <c r="JE63" s="71"/>
      <c r="JF63" s="71"/>
      <c r="JG63" s="71"/>
      <c r="JH63" s="71"/>
    </row>
    <row r="64" spans="1:268" s="75" customFormat="1" ht="18" customHeight="1">
      <c r="A64" s="391" t="s">
        <v>52</v>
      </c>
      <c r="B64" s="392"/>
      <c r="C64" s="54" t="str">
        <f t="shared" ref="C64:AH64" si="263">IF(C63&gt;0,"-",-C63/(C9-C11))</f>
        <v>-</v>
      </c>
      <c r="D64" s="54" t="str">
        <f t="shared" si="263"/>
        <v>-</v>
      </c>
      <c r="E64" s="54" t="str">
        <f t="shared" si="263"/>
        <v>-</v>
      </c>
      <c r="F64" s="54" t="str">
        <f t="shared" si="263"/>
        <v>-</v>
      </c>
      <c r="G64" s="54" t="str">
        <f t="shared" si="263"/>
        <v>-</v>
      </c>
      <c r="H64" s="54" t="str">
        <f t="shared" si="263"/>
        <v>-</v>
      </c>
      <c r="I64" s="54" t="str">
        <f t="shared" si="263"/>
        <v>-</v>
      </c>
      <c r="J64" s="54" t="str">
        <f t="shared" si="263"/>
        <v>-</v>
      </c>
      <c r="K64" s="54" t="str">
        <f t="shared" si="263"/>
        <v>-</v>
      </c>
      <c r="L64" s="54" t="str">
        <f t="shared" si="263"/>
        <v>-</v>
      </c>
      <c r="M64" s="54" t="str">
        <f t="shared" si="263"/>
        <v>-</v>
      </c>
      <c r="N64" s="54" t="str">
        <f t="shared" si="263"/>
        <v>-</v>
      </c>
      <c r="O64" s="54" t="str">
        <f t="shared" si="263"/>
        <v>-</v>
      </c>
      <c r="P64" s="54" t="str">
        <f t="shared" si="263"/>
        <v>-</v>
      </c>
      <c r="Q64" s="54" t="str">
        <f t="shared" si="263"/>
        <v>-</v>
      </c>
      <c r="R64" s="54" t="str">
        <f t="shared" si="263"/>
        <v>-</v>
      </c>
      <c r="S64" s="54" t="str">
        <f t="shared" si="263"/>
        <v>-</v>
      </c>
      <c r="T64" s="54" t="str">
        <f t="shared" si="263"/>
        <v>-</v>
      </c>
      <c r="U64" s="54" t="str">
        <f t="shared" si="263"/>
        <v>-</v>
      </c>
      <c r="V64" s="54" t="str">
        <f t="shared" si="263"/>
        <v>-</v>
      </c>
      <c r="W64" s="54" t="str">
        <f t="shared" si="263"/>
        <v>-</v>
      </c>
      <c r="X64" s="54" t="str">
        <f t="shared" si="263"/>
        <v>-</v>
      </c>
      <c r="Y64" s="54" t="str">
        <f t="shared" si="263"/>
        <v>-</v>
      </c>
      <c r="Z64" s="54">
        <f t="shared" si="263"/>
        <v>0.21056015853941348</v>
      </c>
      <c r="AA64" s="54" t="str">
        <f t="shared" si="263"/>
        <v>-</v>
      </c>
      <c r="AB64" s="54" t="str">
        <f t="shared" si="263"/>
        <v>-</v>
      </c>
      <c r="AC64" s="54">
        <f t="shared" si="263"/>
        <v>3.9189732322284808E-2</v>
      </c>
      <c r="AD64" s="54">
        <f t="shared" si="263"/>
        <v>9.983262942245183E-2</v>
      </c>
      <c r="AE64" s="54" t="str">
        <f t="shared" si="263"/>
        <v>-</v>
      </c>
      <c r="AF64" s="54" t="str">
        <f t="shared" si="263"/>
        <v>-</v>
      </c>
      <c r="AG64" s="54">
        <f t="shared" si="263"/>
        <v>5.6386750167886704E-2</v>
      </c>
      <c r="AH64" s="54">
        <f t="shared" si="263"/>
        <v>0.21598328922743301</v>
      </c>
      <c r="AI64" s="54" t="str">
        <f t="shared" ref="AI64:AZ64" si="264">IF(AI63&gt;0,"-",-AI63/(AI9-AI11))</f>
        <v>-</v>
      </c>
      <c r="AJ64" s="54" t="str">
        <f t="shared" si="264"/>
        <v>-</v>
      </c>
      <c r="AK64" s="54" t="str">
        <f t="shared" si="264"/>
        <v>-</v>
      </c>
      <c r="AL64" s="54" t="str">
        <f t="shared" si="264"/>
        <v>-</v>
      </c>
      <c r="AM64" s="54" t="str">
        <f t="shared" si="264"/>
        <v>-</v>
      </c>
      <c r="AN64" s="54" t="str">
        <f t="shared" si="264"/>
        <v>-</v>
      </c>
      <c r="AO64" s="54" t="str">
        <f t="shared" si="264"/>
        <v>-</v>
      </c>
      <c r="AP64" s="54" t="str">
        <f t="shared" si="264"/>
        <v>-</v>
      </c>
      <c r="AQ64" s="54" t="str">
        <f t="shared" si="264"/>
        <v>-</v>
      </c>
      <c r="AR64" s="54" t="str">
        <f t="shared" si="264"/>
        <v>-</v>
      </c>
      <c r="AS64" s="54" t="str">
        <f t="shared" si="264"/>
        <v>-</v>
      </c>
      <c r="AT64" s="54" t="str">
        <f t="shared" si="264"/>
        <v>-</v>
      </c>
      <c r="AU64" s="54" t="str">
        <f t="shared" si="264"/>
        <v>-</v>
      </c>
      <c r="AV64" s="54" t="str">
        <f t="shared" si="264"/>
        <v>-</v>
      </c>
      <c r="AW64" s="54" t="str">
        <f t="shared" si="264"/>
        <v>-</v>
      </c>
      <c r="AX64" s="54">
        <f t="shared" si="264"/>
        <v>0.53910591263532459</v>
      </c>
      <c r="AY64" s="54" t="str">
        <f t="shared" si="264"/>
        <v>-</v>
      </c>
      <c r="AZ64" s="54" t="str">
        <f t="shared" si="264"/>
        <v>-</v>
      </c>
      <c r="BA64" s="27" t="s">
        <v>51</v>
      </c>
      <c r="BB64" s="27" t="s">
        <v>51</v>
      </c>
      <c r="BC64" s="54" t="str">
        <f t="shared" ref="BC64:BH64" si="265">IF(BC63&gt;0,"-",-BC63/(BC9-BC11))</f>
        <v>-</v>
      </c>
      <c r="BD64" s="54" t="str">
        <f t="shared" si="265"/>
        <v>-</v>
      </c>
      <c r="BE64" s="54" t="str">
        <f t="shared" si="265"/>
        <v>-</v>
      </c>
      <c r="BF64" s="54" t="str">
        <f t="shared" si="265"/>
        <v>-</v>
      </c>
      <c r="BG64" s="54" t="str">
        <f t="shared" si="265"/>
        <v>-</v>
      </c>
      <c r="BH64" s="54" t="str">
        <f t="shared" si="265"/>
        <v>-</v>
      </c>
      <c r="BI64" s="27" t="s">
        <v>51</v>
      </c>
      <c r="BJ64" s="27" t="s">
        <v>51</v>
      </c>
      <c r="BK64" s="54" t="str">
        <f>IF(BK63&gt;0,"-",-BK63/(BK9-BK11))</f>
        <v>-</v>
      </c>
      <c r="BL64" s="54" t="str">
        <f>IF(BL63&gt;0,"-",-BL63/(BL9-BL11))</f>
        <v>-</v>
      </c>
      <c r="BM64" s="54" t="str">
        <f>IF(BM63&gt;0,"-",-BM63/(BM9-BM11))</f>
        <v>-</v>
      </c>
      <c r="BN64" s="54" t="str">
        <f>IF(BN63&gt;0,"-",-BN63/(BN9-BN11))</f>
        <v>-</v>
      </c>
      <c r="BO64" s="27" t="s">
        <v>51</v>
      </c>
      <c r="BP64" s="27" t="s">
        <v>51</v>
      </c>
      <c r="BQ64" s="54" t="e">
        <f>IF(BQ63&gt;0,"-",-BQ63/(BQ9-BQ11))</f>
        <v>#DIV/0!</v>
      </c>
      <c r="BR64" s="54" t="e">
        <f>IF(BR63&gt;0,"-",-BR63/(BR9-BR11))</f>
        <v>#DIV/0!</v>
      </c>
      <c r="BS64" s="54" t="str">
        <f>IF(BS63&gt;0,"-",-BS63/(BS9-BS11))</f>
        <v>-</v>
      </c>
      <c r="BT64" s="54" t="str">
        <f>IF(BT63&gt;0,"-",-BT63/(BT9-BT11))</f>
        <v>-</v>
      </c>
      <c r="BU64" s="27" t="s">
        <v>51</v>
      </c>
      <c r="BV64" s="27" t="s">
        <v>51</v>
      </c>
      <c r="BW64" s="54" t="e">
        <f>IF(BW63&gt;0,"-",-BW63/(BW9-BW11))</f>
        <v>#DIV/0!</v>
      </c>
      <c r="BX64" s="54" t="e">
        <f>IF(BX63&gt;0,"-",-BX63/(BX9-BX11))</f>
        <v>#DIV/0!</v>
      </c>
      <c r="BY64" s="54" t="str">
        <f>IF(BY63&gt;0,"-",-BY63/(BY9-BY11))</f>
        <v>-</v>
      </c>
      <c r="BZ64" s="54" t="str">
        <f>IF(BZ63&gt;0,"-",-BZ63/(BZ9-BZ11))</f>
        <v>-</v>
      </c>
      <c r="CA64" s="27" t="s">
        <v>51</v>
      </c>
      <c r="CB64" s="27" t="s">
        <v>51</v>
      </c>
      <c r="CC64" s="54" t="e">
        <f>IF(CC63&gt;0,"-",-CC63/(CC9-CC11))</f>
        <v>#DIV/0!</v>
      </c>
      <c r="CD64" s="54" t="e">
        <f>IF(CD63&gt;0,"-",-CD63/(CD9-CD11))</f>
        <v>#DIV/0!</v>
      </c>
      <c r="CE64" s="54" t="str">
        <f>IF(CE63&gt;0,"-",-CE63/(CE9-CE11))</f>
        <v>-</v>
      </c>
      <c r="CF64" s="54" t="str">
        <f>IF(CF63&gt;0,"-",-CF63/(CF9-CF11))</f>
        <v>-</v>
      </c>
      <c r="CG64" s="27" t="s">
        <v>51</v>
      </c>
      <c r="CH64" s="27" t="s">
        <v>51</v>
      </c>
      <c r="CI64" s="54" t="e">
        <f>IF(CI63&gt;0,"-",-CI63/(CI9-CI11))</f>
        <v>#DIV/0!</v>
      </c>
      <c r="CJ64" s="54" t="e">
        <f>IF(CJ63&gt;0,"-",-CJ63/(CJ9-CJ11))</f>
        <v>#DIV/0!</v>
      </c>
      <c r="CK64" s="54" t="str">
        <f>IF(CK63&gt;0,"-",-CK63/(CK9-CK11))</f>
        <v>-</v>
      </c>
      <c r="CL64" s="54" t="str">
        <f>IF(CL63&gt;0,"-",-CL63/(CL9-CL11))</f>
        <v>-</v>
      </c>
      <c r="CM64" s="27" t="s">
        <v>51</v>
      </c>
      <c r="CN64" s="27" t="s">
        <v>51</v>
      </c>
      <c r="CO64" s="54" t="e">
        <f>IF(CO63&gt;0,"-",-CO63/(CO9-CO11))</f>
        <v>#DIV/0!</v>
      </c>
      <c r="CP64" s="54" t="e">
        <f>IF(CP63&gt;0,"-",-CP63/(CP9-CP11))</f>
        <v>#DIV/0!</v>
      </c>
      <c r="CQ64" s="54" t="str">
        <f>IF(CQ63&gt;0,"-",-CQ63/(CQ9-CQ11))</f>
        <v>-</v>
      </c>
      <c r="CR64" s="54" t="str">
        <f>IF(CR63&gt;0,"-",-CR63/(CR9-CR11))</f>
        <v>-</v>
      </c>
      <c r="CS64" s="27" t="s">
        <v>51</v>
      </c>
      <c r="CT64" s="27" t="s">
        <v>51</v>
      </c>
      <c r="CU64" s="54" t="e">
        <f>IF(CU63&gt;0,"-",-CU63/(CU9-CU11))</f>
        <v>#DIV/0!</v>
      </c>
      <c r="CV64" s="54" t="e">
        <f>IF(CV63&gt;0,"-",-CV63/(CV9-CV11))</f>
        <v>#DIV/0!</v>
      </c>
      <c r="CW64" s="54" t="str">
        <f>IF(CW63&gt;0,"-",-CW63/(CW9-CW11))</f>
        <v>-</v>
      </c>
      <c r="CX64" s="54" t="str">
        <f>IF(CX63&gt;0,"-",-CX63/(CX9-CX11))</f>
        <v>-</v>
      </c>
      <c r="CY64" s="27" t="s">
        <v>51</v>
      </c>
      <c r="CZ64" s="27" t="s">
        <v>51</v>
      </c>
      <c r="DA64" s="54" t="e">
        <f>IF(DA63&gt;0,"-",-DA63/(DA9-DA11))</f>
        <v>#DIV/0!</v>
      </c>
      <c r="DB64" s="54" t="e">
        <f>IF(DB63&gt;0,"-",-DB63/(DB9-DB11))</f>
        <v>#DIV/0!</v>
      </c>
      <c r="DC64" s="54" t="str">
        <f>IF(DC63&gt;0,"-",-DC63/(DC9-DC11))</f>
        <v>-</v>
      </c>
      <c r="DD64" s="54" t="str">
        <f>IF(DD63&gt;0,"-",-DD63/(DD9-DD11))</f>
        <v>-</v>
      </c>
      <c r="DE64" s="27" t="s">
        <v>51</v>
      </c>
      <c r="DF64" s="27" t="s">
        <v>51</v>
      </c>
      <c r="DG64" s="54" t="e">
        <f>IF(DG63&gt;0,"-",-DG63/(DG9-DG11))</f>
        <v>#DIV/0!</v>
      </c>
      <c r="DH64" s="54" t="e">
        <f>IF(DH63&gt;0,"-",-DH63/(DH9-DH11))</f>
        <v>#DIV/0!</v>
      </c>
      <c r="DI64" s="54" t="str">
        <f>IF(DI63&gt;0,"-",-DI63/(DI9-DI11))</f>
        <v>-</v>
      </c>
      <c r="DJ64" s="54" t="str">
        <f>IF(DJ63&gt;0,"-",-DJ63/(DJ9-DJ11))</f>
        <v>-</v>
      </c>
      <c r="DK64" s="27" t="s">
        <v>51</v>
      </c>
      <c r="DL64" s="27" t="s">
        <v>51</v>
      </c>
      <c r="DM64" s="54" t="e">
        <f t="shared" ref="DM64:DR64" si="266">IF(DM63&gt;0,"-",-DM63/(DM9-DM11))</f>
        <v>#DIV/0!</v>
      </c>
      <c r="DN64" s="54" t="e">
        <f t="shared" si="266"/>
        <v>#DIV/0!</v>
      </c>
      <c r="DO64" s="54" t="e">
        <f t="shared" si="266"/>
        <v>#DIV/0!</v>
      </c>
      <c r="DP64" s="54" t="e">
        <f t="shared" si="266"/>
        <v>#DIV/0!</v>
      </c>
      <c r="DQ64" s="54" t="str">
        <f t="shared" si="266"/>
        <v>-</v>
      </c>
      <c r="DR64" s="54" t="str">
        <f t="shared" si="266"/>
        <v>-</v>
      </c>
      <c r="DS64" s="27" t="s">
        <v>51</v>
      </c>
      <c r="DT64" s="27" t="s">
        <v>51</v>
      </c>
      <c r="DU64" s="27" t="s">
        <v>51</v>
      </c>
      <c r="DV64" s="27" t="s">
        <v>51</v>
      </c>
      <c r="DW64" s="73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  <c r="IW64" s="74"/>
      <c r="IX64" s="74"/>
      <c r="IY64" s="74"/>
      <c r="IZ64" s="74"/>
      <c r="JA64" s="74"/>
      <c r="JB64" s="74"/>
      <c r="JC64" s="74"/>
      <c r="JD64" s="74"/>
      <c r="JE64" s="74"/>
      <c r="JF64" s="74"/>
      <c r="JG64" s="74"/>
      <c r="JH64" s="74"/>
    </row>
    <row r="65" spans="1:268" s="75" customFormat="1" ht="19.5" customHeight="1">
      <c r="A65" s="407" t="s">
        <v>127</v>
      </c>
      <c r="B65" s="408"/>
      <c r="C65" s="109" t="str">
        <f t="shared" ref="C65:AH65" si="267">IF(OR(C9-C11=0,C63&gt;=0),"-",IF(AND(C67&lt;=0,C76&lt;=0),(-C63)/(C9-C11),IF(AND(C76&gt;0,C67&lt;=0),(-C63-C76)/(C9-C11),IF(AND(C76&lt;=0,C67&gt;0),(-C63-C67)/(C9-C11),(-C63-C67-C76)/(C9-C11)))))</f>
        <v>-</v>
      </c>
      <c r="D65" s="109" t="str">
        <f t="shared" si="267"/>
        <v>-</v>
      </c>
      <c r="E65" s="109" t="str">
        <f t="shared" si="267"/>
        <v>-</v>
      </c>
      <c r="F65" s="109" t="str">
        <f t="shared" si="267"/>
        <v>-</v>
      </c>
      <c r="G65" s="109" t="str">
        <f t="shared" si="267"/>
        <v>-</v>
      </c>
      <c r="H65" s="109" t="str">
        <f t="shared" si="267"/>
        <v>-</v>
      </c>
      <c r="I65" s="109" t="str">
        <f t="shared" si="267"/>
        <v>-</v>
      </c>
      <c r="J65" s="109" t="str">
        <f t="shared" si="267"/>
        <v>-</v>
      </c>
      <c r="K65" s="109" t="str">
        <f t="shared" si="267"/>
        <v>-</v>
      </c>
      <c r="L65" s="109" t="str">
        <f t="shared" si="267"/>
        <v>-</v>
      </c>
      <c r="M65" s="109" t="str">
        <f t="shared" si="267"/>
        <v>-</v>
      </c>
      <c r="N65" s="109" t="str">
        <f t="shared" si="267"/>
        <v>-</v>
      </c>
      <c r="O65" s="109" t="str">
        <f t="shared" si="267"/>
        <v>-</v>
      </c>
      <c r="P65" s="109" t="str">
        <f t="shared" si="267"/>
        <v>-</v>
      </c>
      <c r="Q65" s="109" t="str">
        <f t="shared" si="267"/>
        <v>-</v>
      </c>
      <c r="R65" s="109" t="str">
        <f t="shared" si="267"/>
        <v>-</v>
      </c>
      <c r="S65" s="109" t="str">
        <f t="shared" si="267"/>
        <v>-</v>
      </c>
      <c r="T65" s="109" t="str">
        <f t="shared" si="267"/>
        <v>-</v>
      </c>
      <c r="U65" s="109" t="str">
        <f t="shared" si="267"/>
        <v>-</v>
      </c>
      <c r="V65" s="109" t="str">
        <f t="shared" si="267"/>
        <v>-</v>
      </c>
      <c r="W65" s="109" t="str">
        <f t="shared" si="267"/>
        <v>-</v>
      </c>
      <c r="X65" s="109" t="str">
        <f t="shared" si="267"/>
        <v>-</v>
      </c>
      <c r="Y65" s="109" t="str">
        <f t="shared" si="267"/>
        <v>-</v>
      </c>
      <c r="Z65" s="109">
        <f t="shared" si="267"/>
        <v>0.21056015853941348</v>
      </c>
      <c r="AA65" s="109" t="str">
        <f t="shared" si="267"/>
        <v>-</v>
      </c>
      <c r="AB65" s="109" t="str">
        <f t="shared" si="267"/>
        <v>-</v>
      </c>
      <c r="AC65" s="109">
        <f t="shared" si="267"/>
        <v>-3.1537204254977087E-2</v>
      </c>
      <c r="AD65" s="109">
        <f t="shared" si="267"/>
        <v>-4.0121215839869391E-2</v>
      </c>
      <c r="AE65" s="109" t="str">
        <f t="shared" si="267"/>
        <v>-</v>
      </c>
      <c r="AF65" s="109" t="str">
        <f t="shared" si="267"/>
        <v>-</v>
      </c>
      <c r="AG65" s="109">
        <f t="shared" si="267"/>
        <v>-4.94682263278724E-2</v>
      </c>
      <c r="AH65" s="109">
        <f t="shared" si="267"/>
        <v>-7.0424922974477555E-2</v>
      </c>
      <c r="AI65" s="109" t="str">
        <f t="shared" ref="AI65:BN65" si="268">IF(OR(AI9-AI11=0,AI63&gt;=0),"-",IF(AND(AI67&lt;=0,AI76&lt;=0),(-AI63)/(AI9-AI11),IF(AND(AI76&gt;0,AI67&lt;=0),(-AI63-AI76)/(AI9-AI11),IF(AND(AI76&lt;=0,AI67&gt;0),(-AI63-AI67)/(AI9-AI11),(-AI63-AI67-AI76)/(AI9-AI11)))))</f>
        <v>-</v>
      </c>
      <c r="AJ65" s="109" t="str">
        <f t="shared" si="268"/>
        <v>-</v>
      </c>
      <c r="AK65" s="109" t="str">
        <f t="shared" si="268"/>
        <v>-</v>
      </c>
      <c r="AL65" s="109" t="str">
        <f t="shared" si="268"/>
        <v>-</v>
      </c>
      <c r="AM65" s="109" t="str">
        <f t="shared" si="268"/>
        <v>-</v>
      </c>
      <c r="AN65" s="109" t="str">
        <f t="shared" si="268"/>
        <v>-</v>
      </c>
      <c r="AO65" s="109" t="str">
        <f t="shared" si="268"/>
        <v>-</v>
      </c>
      <c r="AP65" s="109" t="str">
        <f t="shared" si="268"/>
        <v>-</v>
      </c>
      <c r="AQ65" s="109" t="str">
        <f t="shared" si="268"/>
        <v>-</v>
      </c>
      <c r="AR65" s="109" t="str">
        <f t="shared" si="268"/>
        <v>-</v>
      </c>
      <c r="AS65" s="109" t="str">
        <f t="shared" si="268"/>
        <v>-</v>
      </c>
      <c r="AT65" s="109" t="str">
        <f t="shared" si="268"/>
        <v>-</v>
      </c>
      <c r="AU65" s="109" t="str">
        <f t="shared" si="268"/>
        <v>-</v>
      </c>
      <c r="AV65" s="109" t="str">
        <f t="shared" si="268"/>
        <v>-</v>
      </c>
      <c r="AW65" s="109" t="str">
        <f t="shared" si="268"/>
        <v>-</v>
      </c>
      <c r="AX65" s="109">
        <f t="shared" si="268"/>
        <v>-3.2663335604511852E-2</v>
      </c>
      <c r="AY65" s="109" t="str">
        <f t="shared" si="268"/>
        <v>-</v>
      </c>
      <c r="AZ65" s="109" t="str">
        <f t="shared" si="268"/>
        <v>-</v>
      </c>
      <c r="BA65" s="109" t="str">
        <f t="shared" si="268"/>
        <v>-</v>
      </c>
      <c r="BB65" s="109" t="str">
        <f t="shared" si="268"/>
        <v>-</v>
      </c>
      <c r="BC65" s="109" t="str">
        <f t="shared" si="268"/>
        <v>-</v>
      </c>
      <c r="BD65" s="109" t="str">
        <f t="shared" si="268"/>
        <v>-</v>
      </c>
      <c r="BE65" s="109" t="str">
        <f t="shared" si="268"/>
        <v>-</v>
      </c>
      <c r="BF65" s="109" t="str">
        <f t="shared" si="268"/>
        <v>-</v>
      </c>
      <c r="BG65" s="109" t="str">
        <f t="shared" si="268"/>
        <v>-</v>
      </c>
      <c r="BH65" s="109" t="str">
        <f t="shared" si="268"/>
        <v>-</v>
      </c>
      <c r="BI65" s="109" t="str">
        <f t="shared" si="268"/>
        <v>-</v>
      </c>
      <c r="BJ65" s="109" t="str">
        <f t="shared" si="268"/>
        <v>-</v>
      </c>
      <c r="BK65" s="109" t="str">
        <f t="shared" si="268"/>
        <v>-</v>
      </c>
      <c r="BL65" s="109" t="str">
        <f t="shared" si="268"/>
        <v>-</v>
      </c>
      <c r="BM65" s="109" t="str">
        <f t="shared" si="268"/>
        <v>-</v>
      </c>
      <c r="BN65" s="109" t="str">
        <f t="shared" si="268"/>
        <v>-</v>
      </c>
      <c r="BO65" s="109" t="str">
        <f t="shared" ref="BO65:CT65" si="269">IF(OR(BO9-BO11=0,BO63&gt;=0),"-",IF(AND(BO67&lt;=0,BO76&lt;=0),(-BO63)/(BO9-BO11),IF(AND(BO76&gt;0,BO67&lt;=0),(-BO63-BO76)/(BO9-BO11),IF(AND(BO76&lt;=0,BO67&gt;0),(-BO63-BO67)/(BO9-BO11),(-BO63-BO67-BO76)/(BO9-BO11)))))</f>
        <v>-</v>
      </c>
      <c r="BP65" s="109" t="str">
        <f t="shared" si="269"/>
        <v>-</v>
      </c>
      <c r="BQ65" s="109" t="str">
        <f t="shared" si="269"/>
        <v>-</v>
      </c>
      <c r="BR65" s="109" t="str">
        <f t="shared" si="269"/>
        <v>-</v>
      </c>
      <c r="BS65" s="109" t="str">
        <f t="shared" si="269"/>
        <v>-</v>
      </c>
      <c r="BT65" s="109" t="str">
        <f t="shared" si="269"/>
        <v>-</v>
      </c>
      <c r="BU65" s="109" t="str">
        <f t="shared" si="269"/>
        <v>-</v>
      </c>
      <c r="BV65" s="109" t="str">
        <f t="shared" si="269"/>
        <v>-</v>
      </c>
      <c r="BW65" s="109" t="str">
        <f t="shared" si="269"/>
        <v>-</v>
      </c>
      <c r="BX65" s="109" t="str">
        <f t="shared" si="269"/>
        <v>-</v>
      </c>
      <c r="BY65" s="109" t="str">
        <f t="shared" si="269"/>
        <v>-</v>
      </c>
      <c r="BZ65" s="109" t="str">
        <f t="shared" si="269"/>
        <v>-</v>
      </c>
      <c r="CA65" s="109" t="str">
        <f t="shared" si="269"/>
        <v>-</v>
      </c>
      <c r="CB65" s="109" t="str">
        <f t="shared" si="269"/>
        <v>-</v>
      </c>
      <c r="CC65" s="109" t="str">
        <f t="shared" si="269"/>
        <v>-</v>
      </c>
      <c r="CD65" s="109" t="str">
        <f t="shared" si="269"/>
        <v>-</v>
      </c>
      <c r="CE65" s="109" t="str">
        <f t="shared" si="269"/>
        <v>-</v>
      </c>
      <c r="CF65" s="109" t="str">
        <f t="shared" si="269"/>
        <v>-</v>
      </c>
      <c r="CG65" s="109" t="str">
        <f t="shared" si="269"/>
        <v>-</v>
      </c>
      <c r="CH65" s="109" t="str">
        <f t="shared" si="269"/>
        <v>-</v>
      </c>
      <c r="CI65" s="109" t="str">
        <f t="shared" si="269"/>
        <v>-</v>
      </c>
      <c r="CJ65" s="109" t="str">
        <f t="shared" si="269"/>
        <v>-</v>
      </c>
      <c r="CK65" s="109" t="str">
        <f t="shared" si="269"/>
        <v>-</v>
      </c>
      <c r="CL65" s="109" t="str">
        <f t="shared" si="269"/>
        <v>-</v>
      </c>
      <c r="CM65" s="109" t="str">
        <f t="shared" si="269"/>
        <v>-</v>
      </c>
      <c r="CN65" s="109" t="str">
        <f t="shared" si="269"/>
        <v>-</v>
      </c>
      <c r="CO65" s="109" t="str">
        <f t="shared" si="269"/>
        <v>-</v>
      </c>
      <c r="CP65" s="109" t="str">
        <f t="shared" si="269"/>
        <v>-</v>
      </c>
      <c r="CQ65" s="109" t="str">
        <f t="shared" si="269"/>
        <v>-</v>
      </c>
      <c r="CR65" s="109" t="str">
        <f t="shared" si="269"/>
        <v>-</v>
      </c>
      <c r="CS65" s="109" t="str">
        <f t="shared" si="269"/>
        <v>-</v>
      </c>
      <c r="CT65" s="109" t="str">
        <f t="shared" si="269"/>
        <v>-</v>
      </c>
      <c r="CU65" s="109" t="str">
        <f t="shared" ref="CU65:DV65" si="270">IF(OR(CU9-CU11=0,CU63&gt;=0),"-",IF(AND(CU67&lt;=0,CU76&lt;=0),(-CU63)/(CU9-CU11),IF(AND(CU76&gt;0,CU67&lt;=0),(-CU63-CU76)/(CU9-CU11),IF(AND(CU76&lt;=0,CU67&gt;0),(-CU63-CU67)/(CU9-CU11),(-CU63-CU67-CU76)/(CU9-CU11)))))</f>
        <v>-</v>
      </c>
      <c r="CV65" s="109" t="str">
        <f t="shared" si="270"/>
        <v>-</v>
      </c>
      <c r="CW65" s="109" t="str">
        <f t="shared" si="270"/>
        <v>-</v>
      </c>
      <c r="CX65" s="109" t="str">
        <f t="shared" si="270"/>
        <v>-</v>
      </c>
      <c r="CY65" s="109" t="str">
        <f t="shared" si="270"/>
        <v>-</v>
      </c>
      <c r="CZ65" s="109" t="str">
        <f t="shared" si="270"/>
        <v>-</v>
      </c>
      <c r="DA65" s="109" t="str">
        <f t="shared" si="270"/>
        <v>-</v>
      </c>
      <c r="DB65" s="109" t="str">
        <f t="shared" si="270"/>
        <v>-</v>
      </c>
      <c r="DC65" s="109" t="str">
        <f t="shared" si="270"/>
        <v>-</v>
      </c>
      <c r="DD65" s="109" t="str">
        <f t="shared" si="270"/>
        <v>-</v>
      </c>
      <c r="DE65" s="109" t="str">
        <f t="shared" si="270"/>
        <v>-</v>
      </c>
      <c r="DF65" s="109" t="str">
        <f t="shared" si="270"/>
        <v>-</v>
      </c>
      <c r="DG65" s="109" t="str">
        <f t="shared" si="270"/>
        <v>-</v>
      </c>
      <c r="DH65" s="109" t="str">
        <f t="shared" si="270"/>
        <v>-</v>
      </c>
      <c r="DI65" s="109" t="str">
        <f t="shared" si="270"/>
        <v>-</v>
      </c>
      <c r="DJ65" s="109" t="str">
        <f t="shared" si="270"/>
        <v>-</v>
      </c>
      <c r="DK65" s="109" t="str">
        <f t="shared" si="270"/>
        <v>-</v>
      </c>
      <c r="DL65" s="109" t="str">
        <f t="shared" si="270"/>
        <v>-</v>
      </c>
      <c r="DM65" s="109" t="str">
        <f t="shared" si="270"/>
        <v>-</v>
      </c>
      <c r="DN65" s="109" t="str">
        <f t="shared" si="270"/>
        <v>-</v>
      </c>
      <c r="DO65" s="109" t="str">
        <f t="shared" si="270"/>
        <v>-</v>
      </c>
      <c r="DP65" s="109" t="str">
        <f t="shared" si="270"/>
        <v>-</v>
      </c>
      <c r="DQ65" s="109" t="str">
        <f t="shared" si="270"/>
        <v>-</v>
      </c>
      <c r="DR65" s="109" t="str">
        <f t="shared" si="270"/>
        <v>-</v>
      </c>
      <c r="DS65" s="109" t="str">
        <f t="shared" si="270"/>
        <v>-</v>
      </c>
      <c r="DT65" s="109" t="str">
        <f t="shared" si="270"/>
        <v>-</v>
      </c>
      <c r="DU65" s="109" t="str">
        <f t="shared" si="270"/>
        <v>-</v>
      </c>
      <c r="DV65" s="109" t="str">
        <f t="shared" si="270"/>
        <v>-</v>
      </c>
      <c r="DW65" s="73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  <c r="IW65" s="74"/>
      <c r="IX65" s="74"/>
      <c r="IY65" s="74"/>
      <c r="IZ65" s="74"/>
      <c r="JA65" s="74"/>
      <c r="JB65" s="74"/>
      <c r="JC65" s="74"/>
      <c r="JD65" s="74"/>
      <c r="JE65" s="74"/>
      <c r="JF65" s="74"/>
      <c r="JG65" s="74"/>
      <c r="JH65" s="74"/>
    </row>
    <row r="66" spans="1:268" s="77" customFormat="1" ht="32.25" customHeight="1">
      <c r="A66" s="286" t="s">
        <v>53</v>
      </c>
      <c r="B66" s="287"/>
      <c r="C66" s="107">
        <f>'[1]прогноз '!B63</f>
        <v>-3535.3000000000684</v>
      </c>
      <c r="D66" s="107">
        <f>'[1]прогноз '!C63</f>
        <v>10754.349999999973</v>
      </c>
      <c r="E66" s="107">
        <f>E67+E70+E73+E76</f>
        <v>-153311.69999999995</v>
      </c>
      <c r="F66" s="107">
        <f t="shared" ref="F66:AW66" si="271">F67+F70+F73+F76</f>
        <v>-27959.300000000163</v>
      </c>
      <c r="G66" s="107">
        <f t="shared" si="271"/>
        <v>-8921</v>
      </c>
      <c r="H66" s="107">
        <f t="shared" si="271"/>
        <v>-8725.2999999999956</v>
      </c>
      <c r="I66" s="107">
        <f t="shared" si="271"/>
        <v>-22977.199999999997</v>
      </c>
      <c r="J66" s="107">
        <f t="shared" si="271"/>
        <v>-20169.69999999999</v>
      </c>
      <c r="K66" s="107">
        <f t="shared" si="271"/>
        <v>-31898.199999999983</v>
      </c>
      <c r="L66" s="107">
        <f t="shared" si="271"/>
        <v>-28895</v>
      </c>
      <c r="M66" s="107">
        <f t="shared" si="271"/>
        <v>-1366.3999999999942</v>
      </c>
      <c r="N66" s="107">
        <f>N67+N70+N73+N76</f>
        <v>-598.79999999998836</v>
      </c>
      <c r="O66" s="107">
        <f>O67+O70+O73+O76</f>
        <v>-33264.599999999977</v>
      </c>
      <c r="P66" s="107">
        <f t="shared" ref="P66" si="272">P67+P70+P73+P76</f>
        <v>-29493.799999999988</v>
      </c>
      <c r="Q66" s="107">
        <f t="shared" si="271"/>
        <v>-5437</v>
      </c>
      <c r="R66" s="107">
        <f t="shared" si="271"/>
        <v>-8043.010000000002</v>
      </c>
      <c r="S66" s="107">
        <f>S67+S70+S73+S76</f>
        <v>-38701.600000000064</v>
      </c>
      <c r="T66" s="107">
        <f t="shared" ref="T66" si="273">T67+T70+T73+T76</f>
        <v>-37536.810000000027</v>
      </c>
      <c r="U66" s="107">
        <f t="shared" si="271"/>
        <v>-13199.600000000013</v>
      </c>
      <c r="V66" s="107">
        <f t="shared" si="271"/>
        <v>-6683.5999999999913</v>
      </c>
      <c r="W66" s="107">
        <f>W67+W70+W73+W76</f>
        <v>-51901.20000000007</v>
      </c>
      <c r="X66" s="107">
        <f t="shared" ref="X66" si="274">X67+X70+X73+X76</f>
        <v>-44220.410000000033</v>
      </c>
      <c r="Y66" s="107">
        <f t="shared" si="271"/>
        <v>-3069.8999999999796</v>
      </c>
      <c r="Z66" s="107">
        <f t="shared" si="271"/>
        <v>3995</v>
      </c>
      <c r="AA66" s="107">
        <f>AA67+AA70+AA73+AA76</f>
        <v>-54971.099999999977</v>
      </c>
      <c r="AB66" s="107">
        <f t="shared" ref="AB66" si="275">AB67+AB70+AB73+AB76</f>
        <v>-40225.410000000033</v>
      </c>
      <c r="AC66" s="107">
        <f t="shared" si="271"/>
        <v>1462.5999999999913</v>
      </c>
      <c r="AD66" s="107">
        <f t="shared" si="271"/>
        <v>2928.6999999999825</v>
      </c>
      <c r="AE66" s="107">
        <f>AE67+AE70+AE73+AE76</f>
        <v>-53508.500000000116</v>
      </c>
      <c r="AF66" s="107">
        <f t="shared" ref="AF66" si="276">AF67+AF70+AF73+AF76</f>
        <v>-37296.710000000021</v>
      </c>
      <c r="AG66" s="107">
        <f t="shared" si="271"/>
        <v>1444.1999999999825</v>
      </c>
      <c r="AH66" s="107">
        <f t="shared" si="271"/>
        <v>3885.7100000000064</v>
      </c>
      <c r="AI66" s="107">
        <f>AI67+AI70+AI73+AI76</f>
        <v>-52064.300000000105</v>
      </c>
      <c r="AJ66" s="107">
        <f t="shared" ref="AJ66" si="277">AJ67+AJ70+AJ73+AJ76</f>
        <v>-33410.999999999942</v>
      </c>
      <c r="AK66" s="107">
        <f t="shared" si="271"/>
        <v>-3879.0999999999694</v>
      </c>
      <c r="AL66" s="107">
        <f t="shared" si="271"/>
        <v>-4824.2000000000189</v>
      </c>
      <c r="AM66" s="107">
        <f>AM67+AM70+AM73+AM76</f>
        <v>-55943.40000000014</v>
      </c>
      <c r="AN66" s="107">
        <f t="shared" ref="AN66" si="278">AN67+AN70+AN73+AN76</f>
        <v>-38235.20000000007</v>
      </c>
      <c r="AO66" s="107">
        <f t="shared" si="271"/>
        <v>-8144.0000000000291</v>
      </c>
      <c r="AP66" s="107">
        <f t="shared" si="271"/>
        <v>-3945.3000000000466</v>
      </c>
      <c r="AQ66" s="107">
        <f>AQ67+AQ70+AQ73+AQ76</f>
        <v>-64087.40000000014</v>
      </c>
      <c r="AR66" s="107">
        <f t="shared" ref="AR66" si="279">AR67+AR70+AR73+AR76</f>
        <v>-42180.5</v>
      </c>
      <c r="AS66" s="107">
        <f t="shared" si="271"/>
        <v>-38859.300000000003</v>
      </c>
      <c r="AT66" s="107">
        <f t="shared" si="271"/>
        <v>-20.899999999994179</v>
      </c>
      <c r="AU66" s="107">
        <f>AU67+AU70+AU73+AU76</f>
        <v>-102946.69999999995</v>
      </c>
      <c r="AV66" s="107">
        <f t="shared" ref="AV66" si="280">AV67+AV70+AV73+AV76</f>
        <v>-42201.400000000023</v>
      </c>
      <c r="AW66" s="107">
        <f t="shared" si="271"/>
        <v>-40046</v>
      </c>
      <c r="AX66" s="107">
        <f>AX67+AX70+AX73+AX76</f>
        <v>14242.100000000006</v>
      </c>
      <c r="AY66" s="107">
        <f>AY67+AY70+AY73+AY76</f>
        <v>-174222.40000000002</v>
      </c>
      <c r="AZ66" s="107">
        <f>AZ67+AZ70+AZ73+AZ76</f>
        <v>-77157.400000000023</v>
      </c>
      <c r="BA66" s="108" t="s">
        <v>51</v>
      </c>
      <c r="BB66" s="108" t="s">
        <v>51</v>
      </c>
      <c r="BC66" s="107">
        <f t="shared" ref="BC66" si="281">BC67+BC70+BC73+BC76</f>
        <v>-10365.599999999999</v>
      </c>
      <c r="BD66" s="107">
        <f>BD67+BD70+BD73+BD76</f>
        <v>-5008.1999999999971</v>
      </c>
      <c r="BE66" s="107">
        <f t="shared" ref="BE66:DP66" si="282">BE67+BE70+BE73+BE76</f>
        <v>-8685.0999999999985</v>
      </c>
      <c r="BF66" s="107">
        <f t="shared" si="282"/>
        <v>-1693</v>
      </c>
      <c r="BG66" s="107">
        <f t="shared" si="282"/>
        <v>-19050.699999999997</v>
      </c>
      <c r="BH66" s="107">
        <f t="shared" si="282"/>
        <v>-6701.1999999999971</v>
      </c>
      <c r="BI66" s="108" t="s">
        <v>51</v>
      </c>
      <c r="BJ66" s="108" t="s">
        <v>51</v>
      </c>
      <c r="BK66" s="107">
        <f t="shared" si="282"/>
        <v>-8822.8999999999942</v>
      </c>
      <c r="BL66" s="107">
        <f t="shared" si="282"/>
        <v>-8181.8000000000029</v>
      </c>
      <c r="BM66" s="107">
        <f t="shared" si="282"/>
        <v>-27873.600000000006</v>
      </c>
      <c r="BN66" s="107">
        <f t="shared" si="282"/>
        <v>-14883.000000000029</v>
      </c>
      <c r="BO66" s="108" t="s">
        <v>51</v>
      </c>
      <c r="BP66" s="108" t="s">
        <v>51</v>
      </c>
      <c r="BQ66" s="107">
        <f t="shared" si="282"/>
        <v>0</v>
      </c>
      <c r="BR66" s="107">
        <f t="shared" si="282"/>
        <v>0</v>
      </c>
      <c r="BS66" s="107">
        <f t="shared" si="282"/>
        <v>-27873.600000000006</v>
      </c>
      <c r="BT66" s="107">
        <f t="shared" si="282"/>
        <v>-14883.000000000029</v>
      </c>
      <c r="BU66" s="108" t="s">
        <v>51</v>
      </c>
      <c r="BV66" s="108" t="s">
        <v>51</v>
      </c>
      <c r="BW66" s="107">
        <f t="shared" si="282"/>
        <v>0</v>
      </c>
      <c r="BX66" s="107">
        <f t="shared" si="282"/>
        <v>0</v>
      </c>
      <c r="BY66" s="107">
        <f t="shared" si="282"/>
        <v>-27873.600000000006</v>
      </c>
      <c r="BZ66" s="107">
        <f t="shared" si="282"/>
        <v>-14883.000000000029</v>
      </c>
      <c r="CA66" s="108" t="s">
        <v>51</v>
      </c>
      <c r="CB66" s="108" t="s">
        <v>51</v>
      </c>
      <c r="CC66" s="107">
        <f t="shared" si="282"/>
        <v>0</v>
      </c>
      <c r="CD66" s="107">
        <f t="shared" si="282"/>
        <v>0</v>
      </c>
      <c r="CE66" s="107">
        <f t="shared" si="282"/>
        <v>-27873.600000000006</v>
      </c>
      <c r="CF66" s="107">
        <f t="shared" si="282"/>
        <v>-14883.000000000029</v>
      </c>
      <c r="CG66" s="108" t="s">
        <v>51</v>
      </c>
      <c r="CH66" s="108" t="s">
        <v>51</v>
      </c>
      <c r="CI66" s="107">
        <f t="shared" si="282"/>
        <v>0</v>
      </c>
      <c r="CJ66" s="107">
        <f t="shared" si="282"/>
        <v>0</v>
      </c>
      <c r="CK66" s="107">
        <f t="shared" si="282"/>
        <v>-27873.600000000006</v>
      </c>
      <c r="CL66" s="107">
        <f t="shared" si="282"/>
        <v>-14883.000000000029</v>
      </c>
      <c r="CM66" s="108" t="s">
        <v>51</v>
      </c>
      <c r="CN66" s="108" t="s">
        <v>51</v>
      </c>
      <c r="CO66" s="107">
        <f t="shared" si="282"/>
        <v>0</v>
      </c>
      <c r="CP66" s="107">
        <f t="shared" si="282"/>
        <v>0</v>
      </c>
      <c r="CQ66" s="107">
        <f t="shared" si="282"/>
        <v>-27873.600000000006</v>
      </c>
      <c r="CR66" s="107">
        <f t="shared" si="282"/>
        <v>-14883.000000000029</v>
      </c>
      <c r="CS66" s="108" t="s">
        <v>51</v>
      </c>
      <c r="CT66" s="108" t="s">
        <v>51</v>
      </c>
      <c r="CU66" s="107">
        <f t="shared" si="282"/>
        <v>0</v>
      </c>
      <c r="CV66" s="107">
        <f t="shared" si="282"/>
        <v>0</v>
      </c>
      <c r="CW66" s="107">
        <f t="shared" si="282"/>
        <v>-27873.600000000006</v>
      </c>
      <c r="CX66" s="107">
        <f t="shared" si="282"/>
        <v>-14883.000000000029</v>
      </c>
      <c r="CY66" s="108" t="s">
        <v>51</v>
      </c>
      <c r="CZ66" s="108" t="s">
        <v>51</v>
      </c>
      <c r="DA66" s="107">
        <f t="shared" si="282"/>
        <v>0</v>
      </c>
      <c r="DB66" s="107">
        <f t="shared" si="282"/>
        <v>0</v>
      </c>
      <c r="DC66" s="107">
        <f t="shared" si="282"/>
        <v>-27873.600000000006</v>
      </c>
      <c r="DD66" s="107">
        <f t="shared" si="282"/>
        <v>-14883.000000000029</v>
      </c>
      <c r="DE66" s="108" t="s">
        <v>51</v>
      </c>
      <c r="DF66" s="108" t="s">
        <v>51</v>
      </c>
      <c r="DG66" s="107">
        <f t="shared" si="282"/>
        <v>0</v>
      </c>
      <c r="DH66" s="107">
        <f t="shared" si="282"/>
        <v>0</v>
      </c>
      <c r="DI66" s="107">
        <f t="shared" si="282"/>
        <v>-27873.600000000006</v>
      </c>
      <c r="DJ66" s="107">
        <f t="shared" si="282"/>
        <v>-14883.000000000029</v>
      </c>
      <c r="DK66" s="108" t="s">
        <v>51</v>
      </c>
      <c r="DL66" s="108" t="s">
        <v>51</v>
      </c>
      <c r="DM66" s="107">
        <f t="shared" si="282"/>
        <v>0</v>
      </c>
      <c r="DN66" s="107">
        <f t="shared" si="282"/>
        <v>0</v>
      </c>
      <c r="DO66" s="107">
        <f t="shared" si="282"/>
        <v>0</v>
      </c>
      <c r="DP66" s="107">
        <f t="shared" si="282"/>
        <v>0</v>
      </c>
      <c r="DQ66" s="107">
        <f>DQ67+DQ70+DQ73+DQ76</f>
        <v>-112407.90000000002</v>
      </c>
      <c r="DR66" s="107">
        <f t="shared" ref="DR66" si="283">DR67+DR70+DR73+DR76</f>
        <v>-17577.400000000023</v>
      </c>
      <c r="DS66" s="108" t="s">
        <v>51</v>
      </c>
      <c r="DT66" s="108" t="s">
        <v>51</v>
      </c>
      <c r="DU66" s="108" t="s">
        <v>51</v>
      </c>
      <c r="DV66" s="108" t="s">
        <v>51</v>
      </c>
      <c r="DW66" s="37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</row>
    <row r="67" spans="1:268" s="75" customFormat="1" ht="18" customHeight="1">
      <c r="A67" s="399" t="s">
        <v>54</v>
      </c>
      <c r="B67" s="400"/>
      <c r="C67" s="96">
        <f t="shared" ref="C67:AZ67" si="284">C68-C69</f>
        <v>1257.4000000000015</v>
      </c>
      <c r="D67" s="96">
        <f t="shared" si="284"/>
        <v>1257.1999999999971</v>
      </c>
      <c r="E67" s="96">
        <f t="shared" si="284"/>
        <v>4915</v>
      </c>
      <c r="F67" s="96">
        <f t="shared" si="284"/>
        <v>4915</v>
      </c>
      <c r="G67" s="96">
        <f t="shared" si="284"/>
        <v>-1638</v>
      </c>
      <c r="H67" s="96">
        <f t="shared" si="284"/>
        <v>-1638</v>
      </c>
      <c r="I67" s="96">
        <f t="shared" si="284"/>
        <v>-1498</v>
      </c>
      <c r="J67" s="96">
        <f t="shared" si="284"/>
        <v>-1498</v>
      </c>
      <c r="K67" s="96">
        <f t="shared" si="284"/>
        <v>-3136</v>
      </c>
      <c r="L67" s="96">
        <f t="shared" si="284"/>
        <v>-3136</v>
      </c>
      <c r="M67" s="96">
        <f t="shared" si="284"/>
        <v>-1898</v>
      </c>
      <c r="N67" s="96">
        <f t="shared" si="284"/>
        <v>-1898</v>
      </c>
      <c r="O67" s="96">
        <f t="shared" si="284"/>
        <v>-5034</v>
      </c>
      <c r="P67" s="96">
        <f t="shared" si="284"/>
        <v>-5034</v>
      </c>
      <c r="Q67" s="96">
        <f t="shared" si="284"/>
        <v>-2248</v>
      </c>
      <c r="R67" s="96">
        <f t="shared" si="284"/>
        <v>-2248</v>
      </c>
      <c r="S67" s="96">
        <f t="shared" si="284"/>
        <v>-7282</v>
      </c>
      <c r="T67" s="96">
        <f t="shared" si="284"/>
        <v>-7282</v>
      </c>
      <c r="U67" s="96">
        <f t="shared" si="284"/>
        <v>-1270</v>
      </c>
      <c r="V67" s="96">
        <f t="shared" si="284"/>
        <v>-1270</v>
      </c>
      <c r="W67" s="96">
        <f t="shared" si="284"/>
        <v>-8552</v>
      </c>
      <c r="X67" s="96">
        <f t="shared" si="284"/>
        <v>-8552</v>
      </c>
      <c r="Y67" s="96">
        <f t="shared" si="284"/>
        <v>-1181</v>
      </c>
      <c r="Z67" s="96">
        <f t="shared" si="284"/>
        <v>-1181</v>
      </c>
      <c r="AA67" s="96">
        <f t="shared" si="284"/>
        <v>-9733</v>
      </c>
      <c r="AB67" s="96">
        <f t="shared" si="284"/>
        <v>-9733</v>
      </c>
      <c r="AC67" s="96">
        <f t="shared" si="284"/>
        <v>-1177</v>
      </c>
      <c r="AD67" s="96">
        <f t="shared" si="284"/>
        <v>-1177</v>
      </c>
      <c r="AE67" s="96">
        <f t="shared" si="284"/>
        <v>-10910</v>
      </c>
      <c r="AF67" s="96">
        <f t="shared" si="284"/>
        <v>-10910</v>
      </c>
      <c r="AG67" s="96">
        <f t="shared" si="284"/>
        <v>-1267</v>
      </c>
      <c r="AH67" s="96">
        <f t="shared" si="284"/>
        <v>-1267</v>
      </c>
      <c r="AI67" s="96">
        <f t="shared" si="284"/>
        <v>-12177</v>
      </c>
      <c r="AJ67" s="96">
        <f t="shared" si="284"/>
        <v>-12177</v>
      </c>
      <c r="AK67" s="96">
        <f t="shared" si="284"/>
        <v>2022</v>
      </c>
      <c r="AL67" s="96">
        <f t="shared" si="284"/>
        <v>2022</v>
      </c>
      <c r="AM67" s="96">
        <f t="shared" si="284"/>
        <v>-10155</v>
      </c>
      <c r="AN67" s="96">
        <f t="shared" si="284"/>
        <v>-10155</v>
      </c>
      <c r="AO67" s="96">
        <f t="shared" si="284"/>
        <v>-10</v>
      </c>
      <c r="AP67" s="96">
        <f t="shared" si="284"/>
        <v>-10</v>
      </c>
      <c r="AQ67" s="96">
        <f t="shared" si="284"/>
        <v>-10165</v>
      </c>
      <c r="AR67" s="96">
        <f t="shared" si="284"/>
        <v>-10165</v>
      </c>
      <c r="AS67" s="96">
        <f t="shared" si="284"/>
        <v>-25</v>
      </c>
      <c r="AT67" s="96">
        <f t="shared" si="284"/>
        <v>-25</v>
      </c>
      <c r="AU67" s="96">
        <f t="shared" si="284"/>
        <v>-10190</v>
      </c>
      <c r="AV67" s="96">
        <f t="shared" si="284"/>
        <v>-10190</v>
      </c>
      <c r="AW67" s="96">
        <f t="shared" si="284"/>
        <v>15105</v>
      </c>
      <c r="AX67" s="96">
        <f t="shared" si="284"/>
        <v>15105</v>
      </c>
      <c r="AY67" s="96">
        <f t="shared" si="284"/>
        <v>20000</v>
      </c>
      <c r="AZ67" s="96">
        <f t="shared" si="284"/>
        <v>20000</v>
      </c>
      <c r="BA67" s="54">
        <f t="shared" ref="BA67:BB76" si="285">IF(E67=0,1,AY67/E67-1)</f>
        <v>3.0691759918616484</v>
      </c>
      <c r="BB67" s="54">
        <f t="shared" si="285"/>
        <v>3.0691759918616484</v>
      </c>
      <c r="BC67" s="96">
        <f t="shared" ref="BC67:DN67" si="286">BC68-BC69</f>
        <v>-779</v>
      </c>
      <c r="BD67" s="96">
        <f t="shared" si="286"/>
        <v>-779</v>
      </c>
      <c r="BE67" s="96">
        <f t="shared" si="286"/>
        <v>-969</v>
      </c>
      <c r="BF67" s="96">
        <f t="shared" si="286"/>
        <v>-969</v>
      </c>
      <c r="BG67" s="96">
        <f t="shared" si="286"/>
        <v>-1748</v>
      </c>
      <c r="BH67" s="96">
        <f t="shared" si="286"/>
        <v>-1748</v>
      </c>
      <c r="BI67" s="54">
        <f t="shared" ref="BI67:BJ76" si="287">IF(K67=0,1,BG67/K67-1)</f>
        <v>-0.44260204081632648</v>
      </c>
      <c r="BJ67" s="54">
        <f t="shared" si="287"/>
        <v>-0.44260204081632648</v>
      </c>
      <c r="BK67" s="96">
        <f t="shared" si="286"/>
        <v>32081</v>
      </c>
      <c r="BL67" s="96">
        <f t="shared" si="286"/>
        <v>-1419</v>
      </c>
      <c r="BM67" s="96">
        <f t="shared" si="286"/>
        <v>30333</v>
      </c>
      <c r="BN67" s="96">
        <f t="shared" si="286"/>
        <v>-3167</v>
      </c>
      <c r="BO67" s="54">
        <f t="shared" ref="BO67:BP76" si="288">IF(O67=0,1,BM67/O67-1)</f>
        <v>-7.0256257449344455</v>
      </c>
      <c r="BP67" s="54">
        <f t="shared" si="288"/>
        <v>-0.37087802940007941</v>
      </c>
      <c r="BQ67" s="96">
        <f t="shared" si="286"/>
        <v>0</v>
      </c>
      <c r="BR67" s="96">
        <f t="shared" si="286"/>
        <v>0</v>
      </c>
      <c r="BS67" s="96">
        <f t="shared" si="286"/>
        <v>30333</v>
      </c>
      <c r="BT67" s="96">
        <f t="shared" si="286"/>
        <v>-3167</v>
      </c>
      <c r="BU67" s="54">
        <f t="shared" ref="BU67:BV76" si="289">IF(S67=0,1,BS67/S67-1)</f>
        <v>-5.1654765174402639</v>
      </c>
      <c r="BV67" s="54">
        <f t="shared" si="289"/>
        <v>-0.56509200769019508</v>
      </c>
      <c r="BW67" s="96">
        <f t="shared" si="286"/>
        <v>0</v>
      </c>
      <c r="BX67" s="96">
        <f t="shared" si="286"/>
        <v>0</v>
      </c>
      <c r="BY67" s="96">
        <f t="shared" si="286"/>
        <v>30333</v>
      </c>
      <c r="BZ67" s="96">
        <f t="shared" si="286"/>
        <v>-3167</v>
      </c>
      <c r="CA67" s="54">
        <f t="shared" ref="CA67:CB76" si="290">IF(W67=0,1,BY67/W67-1)</f>
        <v>-4.5468896164639849</v>
      </c>
      <c r="CB67" s="54">
        <f t="shared" si="290"/>
        <v>-0.62967726847521055</v>
      </c>
      <c r="CC67" s="96">
        <f t="shared" si="286"/>
        <v>0</v>
      </c>
      <c r="CD67" s="96">
        <f t="shared" si="286"/>
        <v>0</v>
      </c>
      <c r="CE67" s="96">
        <f t="shared" si="286"/>
        <v>30333</v>
      </c>
      <c r="CF67" s="96">
        <f t="shared" si="286"/>
        <v>-3167</v>
      </c>
      <c r="CG67" s="54">
        <f t="shared" ref="CG67:CH76" si="291">IF(AA67=0,1,CE67/AA67-1)</f>
        <v>-4.1165108394123084</v>
      </c>
      <c r="CH67" s="54">
        <f t="shared" si="291"/>
        <v>-0.67461214425151539</v>
      </c>
      <c r="CI67" s="96">
        <f t="shared" si="286"/>
        <v>0</v>
      </c>
      <c r="CJ67" s="96">
        <f t="shared" si="286"/>
        <v>0</v>
      </c>
      <c r="CK67" s="96">
        <f t="shared" si="286"/>
        <v>30333</v>
      </c>
      <c r="CL67" s="96">
        <f t="shared" si="286"/>
        <v>-3167</v>
      </c>
      <c r="CM67" s="54">
        <f t="shared" ref="CM67:CN76" si="292">IF(AE67=0,1,CK67/AE67-1)</f>
        <v>-3.7802933088909256</v>
      </c>
      <c r="CN67" s="54">
        <f t="shared" si="292"/>
        <v>-0.70971585701191575</v>
      </c>
      <c r="CO67" s="96">
        <f t="shared" si="286"/>
        <v>0</v>
      </c>
      <c r="CP67" s="96">
        <f t="shared" si="286"/>
        <v>0</v>
      </c>
      <c r="CQ67" s="96">
        <f t="shared" si="286"/>
        <v>30333</v>
      </c>
      <c r="CR67" s="96">
        <f t="shared" si="286"/>
        <v>-3167</v>
      </c>
      <c r="CS67" s="54">
        <f t="shared" ref="CS67:CT76" si="293">IF(AI67=0,1,CQ67/AI67-1)</f>
        <v>-3.4910076373491008</v>
      </c>
      <c r="CT67" s="54">
        <f t="shared" si="293"/>
        <v>-0.73991952040732523</v>
      </c>
      <c r="CU67" s="96">
        <f t="shared" si="286"/>
        <v>0</v>
      </c>
      <c r="CV67" s="96">
        <f t="shared" si="286"/>
        <v>0</v>
      </c>
      <c r="CW67" s="96">
        <f t="shared" si="286"/>
        <v>30333</v>
      </c>
      <c r="CX67" s="96">
        <f t="shared" si="286"/>
        <v>-3167</v>
      </c>
      <c r="CY67" s="54">
        <f t="shared" ref="CY67:CZ76" si="294">IF(AM67=0,1,CW67/AM67-1)</f>
        <v>-3.9870014771048745</v>
      </c>
      <c r="CZ67" s="54">
        <f t="shared" si="294"/>
        <v>-0.68813392417528307</v>
      </c>
      <c r="DA67" s="96">
        <f t="shared" si="286"/>
        <v>0</v>
      </c>
      <c r="DB67" s="96">
        <f t="shared" si="286"/>
        <v>0</v>
      </c>
      <c r="DC67" s="96">
        <f t="shared" si="286"/>
        <v>30333</v>
      </c>
      <c r="DD67" s="96">
        <f t="shared" si="286"/>
        <v>-3167</v>
      </c>
      <c r="DE67" s="54">
        <f t="shared" ref="DE67:DF76" si="295">IF(AQ67=0,1,DC67/AQ67-1)</f>
        <v>-3.9840629611411709</v>
      </c>
      <c r="DF67" s="54">
        <f t="shared" si="295"/>
        <v>-0.68844072798819478</v>
      </c>
      <c r="DG67" s="96">
        <f t="shared" si="286"/>
        <v>0</v>
      </c>
      <c r="DH67" s="96">
        <f t="shared" si="286"/>
        <v>0</v>
      </c>
      <c r="DI67" s="96">
        <f t="shared" si="286"/>
        <v>30333</v>
      </c>
      <c r="DJ67" s="96">
        <f t="shared" si="286"/>
        <v>-3167</v>
      </c>
      <c r="DK67" s="54">
        <f t="shared" ref="DK67:DL76" si="296">IF(AU67=0,1,DI67/AU67-1)</f>
        <v>-3.9767419038272815</v>
      </c>
      <c r="DL67" s="54">
        <f t="shared" si="296"/>
        <v>-0.68920510304219817</v>
      </c>
      <c r="DM67" s="96">
        <f t="shared" si="286"/>
        <v>0</v>
      </c>
      <c r="DN67" s="96">
        <f t="shared" si="286"/>
        <v>0</v>
      </c>
      <c r="DO67" s="96">
        <f t="shared" ref="DO67:DR67" si="297">DO68-DO69</f>
        <v>0</v>
      </c>
      <c r="DP67" s="96">
        <f t="shared" si="297"/>
        <v>0</v>
      </c>
      <c r="DQ67" s="96">
        <f t="shared" si="297"/>
        <v>20000</v>
      </c>
      <c r="DR67" s="96">
        <f t="shared" si="297"/>
        <v>20000</v>
      </c>
      <c r="DS67" s="54">
        <f>IF($AY$67=0,1,DQ67/$AY$67-1)</f>
        <v>0</v>
      </c>
      <c r="DT67" s="54">
        <f>IF($AZ$67=0,1,DR67/$AZ$67-1)</f>
        <v>0</v>
      </c>
      <c r="DU67" s="54">
        <f>IF($E$67=0,1,DQ67/$E$67-1)</f>
        <v>3.0691759918616484</v>
      </c>
      <c r="DV67" s="54">
        <f>IF($E$67=0,1,DR67/$E$67-1)</f>
        <v>3.0691759918616484</v>
      </c>
      <c r="DW67" s="28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  <c r="IW67" s="74"/>
      <c r="IX67" s="74"/>
      <c r="IY67" s="74"/>
      <c r="IZ67" s="74"/>
      <c r="JA67" s="74"/>
      <c r="JB67" s="74"/>
      <c r="JC67" s="74"/>
      <c r="JD67" s="74"/>
      <c r="JE67" s="74"/>
      <c r="JF67" s="74"/>
      <c r="JG67" s="74"/>
      <c r="JH67" s="74"/>
    </row>
    <row r="68" spans="1:268" s="66" customFormat="1" ht="18" customHeight="1">
      <c r="A68" s="401" t="s">
        <v>55</v>
      </c>
      <c r="B68" s="402"/>
      <c r="C68" s="29">
        <f>'[1]прогноз '!B65</f>
        <v>20446.400000000001</v>
      </c>
      <c r="D68" s="29">
        <f>'[1]прогноз '!C65</f>
        <v>20446.199999999997</v>
      </c>
      <c r="E68" s="29">
        <f>G68+I68+M68+Q68+U68+Y68+AC68+AG68+AK68++AO68+AS68+AW68</f>
        <v>20650</v>
      </c>
      <c r="F68" s="29">
        <f>H68+J68+N68+R68+V68+Z68+AD68+AH68+AL68+AP68+AT68+AX68</f>
        <v>20650</v>
      </c>
      <c r="G68" s="29">
        <v>0</v>
      </c>
      <c r="H68" s="29">
        <v>0</v>
      </c>
      <c r="I68" s="29">
        <v>0</v>
      </c>
      <c r="J68" s="29">
        <v>0</v>
      </c>
      <c r="K68" s="29">
        <f>G68+I68</f>
        <v>0</v>
      </c>
      <c r="L68" s="29">
        <f>H68+J68</f>
        <v>0</v>
      </c>
      <c r="M68" s="29">
        <v>0</v>
      </c>
      <c r="N68" s="29">
        <v>0</v>
      </c>
      <c r="O68" s="29">
        <f>K68+M68</f>
        <v>0</v>
      </c>
      <c r="P68" s="29">
        <f>L68+N68</f>
        <v>0</v>
      </c>
      <c r="Q68" s="29">
        <v>0</v>
      </c>
      <c r="R68" s="29">
        <v>0</v>
      </c>
      <c r="S68" s="29">
        <f>O68+Q68</f>
        <v>0</v>
      </c>
      <c r="T68" s="29">
        <f>P68+R68</f>
        <v>0</v>
      </c>
      <c r="U68" s="29">
        <v>0</v>
      </c>
      <c r="V68" s="29">
        <v>0</v>
      </c>
      <c r="W68" s="29">
        <f>S68+U68</f>
        <v>0</v>
      </c>
      <c r="X68" s="29">
        <f>T68+V68</f>
        <v>0</v>
      </c>
      <c r="Y68" s="29">
        <v>0</v>
      </c>
      <c r="Z68" s="29">
        <v>0</v>
      </c>
      <c r="AA68" s="29">
        <f>W68+Y68</f>
        <v>0</v>
      </c>
      <c r="AB68" s="29">
        <f>X68+Z68</f>
        <v>0</v>
      </c>
      <c r="AC68" s="29">
        <v>0</v>
      </c>
      <c r="AD68" s="29">
        <v>0</v>
      </c>
      <c r="AE68" s="29">
        <f>AA68+AC68</f>
        <v>0</v>
      </c>
      <c r="AF68" s="29">
        <f>AB68+AD68</f>
        <v>0</v>
      </c>
      <c r="AG68" s="29">
        <v>0</v>
      </c>
      <c r="AH68" s="29">
        <v>0</v>
      </c>
      <c r="AI68" s="29">
        <f>AE68+AG68</f>
        <v>0</v>
      </c>
      <c r="AJ68" s="29">
        <f>AF68+AH68</f>
        <v>0</v>
      </c>
      <c r="AK68" s="29">
        <f>2775-AG68</f>
        <v>2775</v>
      </c>
      <c r="AL68" s="29">
        <v>2775</v>
      </c>
      <c r="AM68" s="29">
        <f>AI68+AK68</f>
        <v>2775</v>
      </c>
      <c r="AN68" s="29">
        <f>AJ68+AL68</f>
        <v>2775</v>
      </c>
      <c r="AO68" s="29">
        <v>1125</v>
      </c>
      <c r="AP68" s="29">
        <v>1125</v>
      </c>
      <c r="AQ68" s="29">
        <f>AM68+AO68</f>
        <v>3900</v>
      </c>
      <c r="AR68" s="29">
        <f>AN68+AP68</f>
        <v>3900</v>
      </c>
      <c r="AS68" s="29">
        <v>1125</v>
      </c>
      <c r="AT68" s="29">
        <v>1125</v>
      </c>
      <c r="AU68" s="29">
        <f>AQ68+AS68</f>
        <v>5025</v>
      </c>
      <c r="AV68" s="29">
        <f>AR68+AT68</f>
        <v>5025</v>
      </c>
      <c r="AW68" s="29">
        <v>15625</v>
      </c>
      <c r="AX68" s="29">
        <v>15625</v>
      </c>
      <c r="AY68" s="29">
        <f>AZ68</f>
        <v>30000</v>
      </c>
      <c r="AZ68" s="29">
        <v>30000</v>
      </c>
      <c r="BA68" s="55">
        <f t="shared" si="285"/>
        <v>0.45278450363196132</v>
      </c>
      <c r="BB68" s="55">
        <f t="shared" si="285"/>
        <v>0.45278450363196132</v>
      </c>
      <c r="BC68" s="29">
        <v>0</v>
      </c>
      <c r="BD68" s="29">
        <v>0</v>
      </c>
      <c r="BE68" s="29">
        <v>0</v>
      </c>
      <c r="BF68" s="29">
        <v>0</v>
      </c>
      <c r="BG68" s="29">
        <f>BC68+BE68</f>
        <v>0</v>
      </c>
      <c r="BH68" s="29">
        <f>BD68+BF68</f>
        <v>0</v>
      </c>
      <c r="BI68" s="55">
        <f t="shared" si="287"/>
        <v>1</v>
      </c>
      <c r="BJ68" s="55">
        <f t="shared" si="287"/>
        <v>1</v>
      </c>
      <c r="BK68" s="29">
        <v>33500</v>
      </c>
      <c r="BL68" s="29">
        <v>0</v>
      </c>
      <c r="BM68" s="29">
        <f>BG68+BK68</f>
        <v>33500</v>
      </c>
      <c r="BN68" s="29">
        <f>BH68+BL68</f>
        <v>0</v>
      </c>
      <c r="BO68" s="55">
        <f t="shared" si="288"/>
        <v>1</v>
      </c>
      <c r="BP68" s="55">
        <f t="shared" si="288"/>
        <v>1</v>
      </c>
      <c r="BQ68" s="29"/>
      <c r="BR68" s="29"/>
      <c r="BS68" s="29">
        <f>BM68+BQ68</f>
        <v>33500</v>
      </c>
      <c r="BT68" s="29">
        <f>BN68+BR68</f>
        <v>0</v>
      </c>
      <c r="BU68" s="55">
        <f t="shared" si="289"/>
        <v>1</v>
      </c>
      <c r="BV68" s="55">
        <f t="shared" si="289"/>
        <v>1</v>
      </c>
      <c r="BW68" s="29"/>
      <c r="BX68" s="29"/>
      <c r="BY68" s="29">
        <f>BS68+BW68</f>
        <v>33500</v>
      </c>
      <c r="BZ68" s="29">
        <f>BT68+BX68</f>
        <v>0</v>
      </c>
      <c r="CA68" s="55">
        <f t="shared" si="290"/>
        <v>1</v>
      </c>
      <c r="CB68" s="55">
        <f t="shared" si="290"/>
        <v>1</v>
      </c>
      <c r="CC68" s="29"/>
      <c r="CD68" s="29"/>
      <c r="CE68" s="29">
        <f>BY68+CC68</f>
        <v>33500</v>
      </c>
      <c r="CF68" s="29">
        <f>BZ68+CD68</f>
        <v>0</v>
      </c>
      <c r="CG68" s="55">
        <f t="shared" si="291"/>
        <v>1</v>
      </c>
      <c r="CH68" s="55">
        <f t="shared" si="291"/>
        <v>1</v>
      </c>
      <c r="CI68" s="29"/>
      <c r="CJ68" s="29"/>
      <c r="CK68" s="29">
        <f>CE68+CI68</f>
        <v>33500</v>
      </c>
      <c r="CL68" s="29">
        <f>CF68+CJ68</f>
        <v>0</v>
      </c>
      <c r="CM68" s="55">
        <f t="shared" si="292"/>
        <v>1</v>
      </c>
      <c r="CN68" s="55">
        <f t="shared" si="292"/>
        <v>1</v>
      </c>
      <c r="CO68" s="29"/>
      <c r="CP68" s="29"/>
      <c r="CQ68" s="29">
        <f>CK68+CO68</f>
        <v>33500</v>
      </c>
      <c r="CR68" s="29">
        <f>CL68+CP68</f>
        <v>0</v>
      </c>
      <c r="CS68" s="55">
        <f t="shared" si="293"/>
        <v>1</v>
      </c>
      <c r="CT68" s="55">
        <f t="shared" si="293"/>
        <v>1</v>
      </c>
      <c r="CU68" s="29"/>
      <c r="CV68" s="29"/>
      <c r="CW68" s="29">
        <f>CQ68+CU68</f>
        <v>33500</v>
      </c>
      <c r="CX68" s="29">
        <f>CR68+CV68</f>
        <v>0</v>
      </c>
      <c r="CY68" s="55">
        <f t="shared" si="294"/>
        <v>11.072072072072071</v>
      </c>
      <c r="CZ68" s="55">
        <f t="shared" si="294"/>
        <v>-1</v>
      </c>
      <c r="DA68" s="29"/>
      <c r="DB68" s="29"/>
      <c r="DC68" s="29">
        <f>CW68+DA68</f>
        <v>33500</v>
      </c>
      <c r="DD68" s="29">
        <f>CX68+DB68</f>
        <v>0</v>
      </c>
      <c r="DE68" s="55">
        <f t="shared" si="295"/>
        <v>7.5897435897435894</v>
      </c>
      <c r="DF68" s="55">
        <f t="shared" si="295"/>
        <v>-1</v>
      </c>
      <c r="DG68" s="29"/>
      <c r="DH68" s="29"/>
      <c r="DI68" s="29">
        <f>DC68+DG68</f>
        <v>33500</v>
      </c>
      <c r="DJ68" s="29">
        <f>DD68+DH68</f>
        <v>0</v>
      </c>
      <c r="DK68" s="55">
        <f t="shared" si="296"/>
        <v>5.666666666666667</v>
      </c>
      <c r="DL68" s="55">
        <f t="shared" si="296"/>
        <v>-1</v>
      </c>
      <c r="DM68" s="29"/>
      <c r="DN68" s="29"/>
      <c r="DO68" s="29"/>
      <c r="DP68" s="29"/>
      <c r="DQ68" s="29">
        <v>30000</v>
      </c>
      <c r="DR68" s="29">
        <v>30000</v>
      </c>
      <c r="DS68" s="55">
        <f>IF($AY$68=0,1,DQ68/$AY$68-1)</f>
        <v>0</v>
      </c>
      <c r="DT68" s="55">
        <f>IF($AZ$68=0,1,DR68/$AZ$68-1)</f>
        <v>0</v>
      </c>
      <c r="DU68" s="55">
        <f>IF($E$68=0,1,DQ68/$E$68-1)</f>
        <v>0.45278450363196132</v>
      </c>
      <c r="DV68" s="55">
        <f>IF($E$68=0,1,DR68/$E$68-1)</f>
        <v>0.45278450363196132</v>
      </c>
      <c r="DW68" s="2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  <c r="IW68" s="65"/>
      <c r="IX68" s="65"/>
      <c r="IY68" s="65"/>
      <c r="IZ68" s="65"/>
      <c r="JA68" s="65"/>
      <c r="JB68" s="65"/>
      <c r="JC68" s="65"/>
      <c r="JD68" s="65"/>
      <c r="JE68" s="65"/>
      <c r="JF68" s="65"/>
      <c r="JG68" s="65"/>
      <c r="JH68" s="65"/>
    </row>
    <row r="69" spans="1:268" s="66" customFormat="1" ht="18" customHeight="1">
      <c r="A69" s="401" t="s">
        <v>56</v>
      </c>
      <c r="B69" s="402"/>
      <c r="C69" s="29">
        <f>'[1]прогноз '!B66</f>
        <v>19189</v>
      </c>
      <c r="D69" s="29">
        <f>'[1]прогноз '!C66</f>
        <v>19189</v>
      </c>
      <c r="E69" s="29">
        <f>G69+I69+M69+Q69+U69+Y69+AC69+AG69+AK69+AO69+AS69+AW69</f>
        <v>15735</v>
      </c>
      <c r="F69" s="29">
        <f>H69+J69+N69+R69+V69+Z69+AD69+AH69+AL69+AP69+AT69+AX69</f>
        <v>15735</v>
      </c>
      <c r="G69" s="29">
        <v>1638</v>
      </c>
      <c r="H69" s="29">
        <v>1638</v>
      </c>
      <c r="I69" s="29">
        <v>1498</v>
      </c>
      <c r="J69" s="29">
        <v>1498</v>
      </c>
      <c r="K69" s="29">
        <f>G69+I69</f>
        <v>3136</v>
      </c>
      <c r="L69" s="29">
        <f>H69+J69</f>
        <v>3136</v>
      </c>
      <c r="M69" s="29">
        <v>1898</v>
      </c>
      <c r="N69" s="29">
        <v>1898</v>
      </c>
      <c r="O69" s="29">
        <f>K69+M69</f>
        <v>5034</v>
      </c>
      <c r="P69" s="29">
        <f>L69+N69</f>
        <v>5034</v>
      </c>
      <c r="Q69" s="29">
        <v>2248</v>
      </c>
      <c r="R69" s="29">
        <v>2248</v>
      </c>
      <c r="S69" s="29">
        <f>O69+Q69</f>
        <v>7282</v>
      </c>
      <c r="T69" s="29">
        <f>P69+R69</f>
        <v>7282</v>
      </c>
      <c r="U69" s="29">
        <v>1270</v>
      </c>
      <c r="V69" s="29">
        <v>1270</v>
      </c>
      <c r="W69" s="29">
        <f>S69+U69</f>
        <v>8552</v>
      </c>
      <c r="X69" s="29">
        <f>T69+V69</f>
        <v>8552</v>
      </c>
      <c r="Y69" s="29">
        <v>1181</v>
      </c>
      <c r="Z69" s="29">
        <v>1181</v>
      </c>
      <c r="AA69" s="29">
        <f>W69+Y69</f>
        <v>9733</v>
      </c>
      <c r="AB69" s="29">
        <f>X69+Z69</f>
        <v>9733</v>
      </c>
      <c r="AC69" s="29">
        <v>1177</v>
      </c>
      <c r="AD69" s="29">
        <v>1177</v>
      </c>
      <c r="AE69" s="29">
        <f>AA69+AC69</f>
        <v>10910</v>
      </c>
      <c r="AF69" s="29">
        <f>AB69+AD69</f>
        <v>10910</v>
      </c>
      <c r="AG69" s="29">
        <f>12177-G69-I69-M69-Q69-U69-Y69-AC69</f>
        <v>1267</v>
      </c>
      <c r="AH69" s="29">
        <v>1267</v>
      </c>
      <c r="AI69" s="29">
        <f>AE69+AG69</f>
        <v>12177</v>
      </c>
      <c r="AJ69" s="29">
        <f>AF69+AH69</f>
        <v>12177</v>
      </c>
      <c r="AK69" s="29">
        <f>12930-G69-I69-M69-Q69-U69-Y69-AC69-AG69</f>
        <v>753</v>
      </c>
      <c r="AL69" s="29">
        <v>753</v>
      </c>
      <c r="AM69" s="29">
        <f>AI69+AK69</f>
        <v>12930</v>
      </c>
      <c r="AN69" s="29">
        <f>AJ69+AL69</f>
        <v>12930</v>
      </c>
      <c r="AO69" s="29">
        <v>1135</v>
      </c>
      <c r="AP69" s="29">
        <v>1135</v>
      </c>
      <c r="AQ69" s="29">
        <f>AM69+AO69</f>
        <v>14065</v>
      </c>
      <c r="AR69" s="29">
        <f>AN69+AP69</f>
        <v>14065</v>
      </c>
      <c r="AS69" s="29">
        <v>1150</v>
      </c>
      <c r="AT69" s="29">
        <v>1150</v>
      </c>
      <c r="AU69" s="29">
        <f>AQ69+AS69</f>
        <v>15215</v>
      </c>
      <c r="AV69" s="29">
        <f>AR69+AT69</f>
        <v>15215</v>
      </c>
      <c r="AW69" s="29">
        <v>520</v>
      </c>
      <c r="AX69" s="29">
        <v>520</v>
      </c>
      <c r="AY69" s="29">
        <f>AZ69</f>
        <v>10000</v>
      </c>
      <c r="AZ69" s="29">
        <v>10000</v>
      </c>
      <c r="BA69" s="55">
        <f t="shared" si="285"/>
        <v>-0.36447410231966948</v>
      </c>
      <c r="BB69" s="55">
        <f t="shared" si="285"/>
        <v>-0.36447410231966948</v>
      </c>
      <c r="BC69" s="29">
        <v>779</v>
      </c>
      <c r="BD69" s="29">
        <v>779</v>
      </c>
      <c r="BE69" s="29">
        <v>969</v>
      </c>
      <c r="BF69" s="29">
        <v>969</v>
      </c>
      <c r="BG69" s="29">
        <f>BC69+BE69</f>
        <v>1748</v>
      </c>
      <c r="BH69" s="29">
        <f>BD69+BF69</f>
        <v>1748</v>
      </c>
      <c r="BI69" s="55">
        <f t="shared" si="287"/>
        <v>-0.44260204081632648</v>
      </c>
      <c r="BJ69" s="55">
        <f t="shared" si="287"/>
        <v>-0.44260204081632648</v>
      </c>
      <c r="BK69" s="29">
        <v>1419</v>
      </c>
      <c r="BL69" s="29">
        <v>1419</v>
      </c>
      <c r="BM69" s="29">
        <f>BG69+BK69</f>
        <v>3167</v>
      </c>
      <c r="BN69" s="29">
        <f>BH69+BL69</f>
        <v>3167</v>
      </c>
      <c r="BO69" s="55">
        <f t="shared" si="288"/>
        <v>-0.37087802940007941</v>
      </c>
      <c r="BP69" s="55">
        <f t="shared" si="288"/>
        <v>-0.37087802940007941</v>
      </c>
      <c r="BQ69" s="29"/>
      <c r="BR69" s="29"/>
      <c r="BS69" s="29">
        <f>BM69+BQ69</f>
        <v>3167</v>
      </c>
      <c r="BT69" s="29">
        <f>BN69+BR69</f>
        <v>3167</v>
      </c>
      <c r="BU69" s="55">
        <f t="shared" si="289"/>
        <v>-0.56509200769019508</v>
      </c>
      <c r="BV69" s="55">
        <f t="shared" si="289"/>
        <v>-0.56509200769019508</v>
      </c>
      <c r="BW69" s="29"/>
      <c r="BX69" s="29"/>
      <c r="BY69" s="29">
        <f>BS69+BW69</f>
        <v>3167</v>
      </c>
      <c r="BZ69" s="29">
        <f>BT69+BX69</f>
        <v>3167</v>
      </c>
      <c r="CA69" s="55">
        <f t="shared" si="290"/>
        <v>-0.62967726847521055</v>
      </c>
      <c r="CB69" s="55">
        <f t="shared" si="290"/>
        <v>-0.62967726847521055</v>
      </c>
      <c r="CC69" s="29"/>
      <c r="CD69" s="29"/>
      <c r="CE69" s="29">
        <f>BY69+CC69</f>
        <v>3167</v>
      </c>
      <c r="CF69" s="29">
        <f>BZ69+CD69</f>
        <v>3167</v>
      </c>
      <c r="CG69" s="55">
        <f t="shared" si="291"/>
        <v>-0.67461214425151539</v>
      </c>
      <c r="CH69" s="55">
        <f t="shared" si="291"/>
        <v>-0.67461214425151539</v>
      </c>
      <c r="CI69" s="29"/>
      <c r="CJ69" s="29"/>
      <c r="CK69" s="29">
        <f>CE69+CI69</f>
        <v>3167</v>
      </c>
      <c r="CL69" s="29">
        <f>CF69+CJ69</f>
        <v>3167</v>
      </c>
      <c r="CM69" s="55">
        <f t="shared" si="292"/>
        <v>-0.70971585701191575</v>
      </c>
      <c r="CN69" s="55">
        <f t="shared" si="292"/>
        <v>-0.70971585701191575</v>
      </c>
      <c r="CO69" s="29"/>
      <c r="CP69" s="29"/>
      <c r="CQ69" s="29">
        <f>CK69+CO69</f>
        <v>3167</v>
      </c>
      <c r="CR69" s="29">
        <f>CL69+CP69</f>
        <v>3167</v>
      </c>
      <c r="CS69" s="55">
        <f t="shared" si="293"/>
        <v>-0.73991952040732523</v>
      </c>
      <c r="CT69" s="55">
        <f t="shared" si="293"/>
        <v>-0.73991952040732523</v>
      </c>
      <c r="CU69" s="29"/>
      <c r="CV69" s="29"/>
      <c r="CW69" s="29">
        <f>CQ69+CU69</f>
        <v>3167</v>
      </c>
      <c r="CX69" s="29">
        <f>CR69+CV69</f>
        <v>3167</v>
      </c>
      <c r="CY69" s="55">
        <f t="shared" si="294"/>
        <v>-0.75506573859242077</v>
      </c>
      <c r="CZ69" s="55">
        <f t="shared" si="294"/>
        <v>-0.75506573859242077</v>
      </c>
      <c r="DA69" s="29"/>
      <c r="DB69" s="29"/>
      <c r="DC69" s="29">
        <f>CW69+DA69</f>
        <v>3167</v>
      </c>
      <c r="DD69" s="29">
        <f>CX69+DB69</f>
        <v>3167</v>
      </c>
      <c r="DE69" s="55">
        <f t="shared" si="295"/>
        <v>-0.77483114113046569</v>
      </c>
      <c r="DF69" s="55">
        <f t="shared" si="295"/>
        <v>-0.77483114113046569</v>
      </c>
      <c r="DG69" s="29"/>
      <c r="DH69" s="29"/>
      <c r="DI69" s="29">
        <f>DC69+DG69</f>
        <v>3167</v>
      </c>
      <c r="DJ69" s="29">
        <f>DD69+DH69</f>
        <v>3167</v>
      </c>
      <c r="DK69" s="55">
        <f t="shared" si="296"/>
        <v>-0.79185014788038122</v>
      </c>
      <c r="DL69" s="55">
        <f t="shared" si="296"/>
        <v>-0.79185014788038122</v>
      </c>
      <c r="DM69" s="29"/>
      <c r="DN69" s="29"/>
      <c r="DO69" s="29"/>
      <c r="DP69" s="29"/>
      <c r="DQ69" s="29">
        <v>10000</v>
      </c>
      <c r="DR69" s="29">
        <v>10000</v>
      </c>
      <c r="DS69" s="55">
        <f>IF($AY$69=0,1,DQ69/$AY$69-1)</f>
        <v>0</v>
      </c>
      <c r="DT69" s="55">
        <f>IF($AZ$69=0,1,DR69/$AZ$69-1)</f>
        <v>0</v>
      </c>
      <c r="DU69" s="55">
        <f>IF($E$69=0,1,DQ69/$E$69-1)</f>
        <v>-0.36447410231966948</v>
      </c>
      <c r="DV69" s="55">
        <f>IF($E$69=0,1,DR69/$E$69-1)</f>
        <v>-0.36447410231966948</v>
      </c>
      <c r="DW69" s="2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  <c r="IW69" s="65"/>
      <c r="IX69" s="65"/>
      <c r="IY69" s="65"/>
      <c r="IZ69" s="65"/>
      <c r="JA69" s="65"/>
      <c r="JB69" s="65"/>
      <c r="JC69" s="65"/>
      <c r="JD69" s="65"/>
      <c r="JE69" s="65"/>
      <c r="JF69" s="65"/>
      <c r="JG69" s="65"/>
      <c r="JH69" s="65"/>
    </row>
    <row r="70" spans="1:268" s="79" customFormat="1" ht="18" customHeight="1">
      <c r="A70" s="399" t="s">
        <v>57</v>
      </c>
      <c r="B70" s="400"/>
      <c r="C70" s="96">
        <f>C71-C72</f>
        <v>6981</v>
      </c>
      <c r="D70" s="96">
        <f t="shared" ref="D70:AZ70" si="298">D71-D72</f>
        <v>6980.8</v>
      </c>
      <c r="E70" s="96">
        <f t="shared" si="298"/>
        <v>47750</v>
      </c>
      <c r="F70" s="96">
        <f t="shared" si="298"/>
        <v>43000</v>
      </c>
      <c r="G70" s="96">
        <f t="shared" si="298"/>
        <v>0</v>
      </c>
      <c r="H70" s="96">
        <f t="shared" si="298"/>
        <v>0</v>
      </c>
      <c r="I70" s="96">
        <f t="shared" si="298"/>
        <v>-350</v>
      </c>
      <c r="J70" s="96">
        <f t="shared" si="298"/>
        <v>0</v>
      </c>
      <c r="K70" s="96">
        <f t="shared" si="298"/>
        <v>-350</v>
      </c>
      <c r="L70" s="96">
        <f t="shared" si="298"/>
        <v>0</v>
      </c>
      <c r="M70" s="96">
        <f t="shared" si="298"/>
        <v>0</v>
      </c>
      <c r="N70" s="96">
        <f t="shared" si="298"/>
        <v>0</v>
      </c>
      <c r="O70" s="96">
        <f t="shared" si="298"/>
        <v>-350</v>
      </c>
      <c r="P70" s="96">
        <f t="shared" si="298"/>
        <v>0</v>
      </c>
      <c r="Q70" s="96">
        <f t="shared" si="298"/>
        <v>12500</v>
      </c>
      <c r="R70" s="96">
        <f t="shared" si="298"/>
        <v>13000</v>
      </c>
      <c r="S70" s="96">
        <f t="shared" si="298"/>
        <v>12150</v>
      </c>
      <c r="T70" s="96">
        <f t="shared" si="298"/>
        <v>13000</v>
      </c>
      <c r="U70" s="96">
        <f t="shared" si="298"/>
        <v>-200</v>
      </c>
      <c r="V70" s="96">
        <f t="shared" si="298"/>
        <v>0</v>
      </c>
      <c r="W70" s="96">
        <f t="shared" si="298"/>
        <v>11950</v>
      </c>
      <c r="X70" s="96">
        <f t="shared" si="298"/>
        <v>13000</v>
      </c>
      <c r="Y70" s="96">
        <f t="shared" si="298"/>
        <v>20500</v>
      </c>
      <c r="Z70" s="96">
        <f t="shared" si="298"/>
        <v>20000</v>
      </c>
      <c r="AA70" s="96">
        <f t="shared" si="298"/>
        <v>32450</v>
      </c>
      <c r="AB70" s="96">
        <f t="shared" si="298"/>
        <v>33000</v>
      </c>
      <c r="AC70" s="96">
        <f t="shared" si="298"/>
        <v>0</v>
      </c>
      <c r="AD70" s="96">
        <f t="shared" si="298"/>
        <v>0</v>
      </c>
      <c r="AE70" s="96">
        <f t="shared" si="298"/>
        <v>32450</v>
      </c>
      <c r="AF70" s="96">
        <f t="shared" si="298"/>
        <v>33000</v>
      </c>
      <c r="AG70" s="96">
        <f t="shared" si="298"/>
        <v>0</v>
      </c>
      <c r="AH70" s="96">
        <f t="shared" si="298"/>
        <v>0</v>
      </c>
      <c r="AI70" s="96">
        <f t="shared" si="298"/>
        <v>32450</v>
      </c>
      <c r="AJ70" s="96">
        <f t="shared" si="298"/>
        <v>33000</v>
      </c>
      <c r="AK70" s="96">
        <f t="shared" si="298"/>
        <v>5000</v>
      </c>
      <c r="AL70" s="96">
        <f t="shared" si="298"/>
        <v>0</v>
      </c>
      <c r="AM70" s="96">
        <f t="shared" si="298"/>
        <v>37450</v>
      </c>
      <c r="AN70" s="96">
        <f t="shared" si="298"/>
        <v>33000</v>
      </c>
      <c r="AO70" s="96">
        <f t="shared" si="298"/>
        <v>300</v>
      </c>
      <c r="AP70" s="96">
        <f t="shared" si="298"/>
        <v>0</v>
      </c>
      <c r="AQ70" s="96">
        <f t="shared" si="298"/>
        <v>37750</v>
      </c>
      <c r="AR70" s="96">
        <f t="shared" si="298"/>
        <v>33000</v>
      </c>
      <c r="AS70" s="96">
        <f t="shared" si="298"/>
        <v>0</v>
      </c>
      <c r="AT70" s="96">
        <f t="shared" si="298"/>
        <v>0</v>
      </c>
      <c r="AU70" s="96">
        <f t="shared" si="298"/>
        <v>37750</v>
      </c>
      <c r="AV70" s="96">
        <f t="shared" si="298"/>
        <v>33000</v>
      </c>
      <c r="AW70" s="96">
        <f t="shared" si="298"/>
        <v>10000</v>
      </c>
      <c r="AX70" s="96">
        <f t="shared" si="298"/>
        <v>10000</v>
      </c>
      <c r="AY70" s="96">
        <f t="shared" si="298"/>
        <v>-3500</v>
      </c>
      <c r="AZ70" s="96">
        <f t="shared" si="298"/>
        <v>-3500</v>
      </c>
      <c r="BA70" s="54">
        <f t="shared" si="285"/>
        <v>-1.0732984293193717</v>
      </c>
      <c r="BB70" s="54">
        <f t="shared" si="285"/>
        <v>-1.0813953488372092</v>
      </c>
      <c r="BC70" s="96">
        <f t="shared" ref="BC70:DP70" si="299">BC71-BC72</f>
        <v>-1000</v>
      </c>
      <c r="BD70" s="96">
        <f t="shared" si="299"/>
        <v>-1000</v>
      </c>
      <c r="BE70" s="96">
        <f t="shared" si="299"/>
        <v>-1000</v>
      </c>
      <c r="BF70" s="96">
        <f t="shared" si="299"/>
        <v>-1000</v>
      </c>
      <c r="BG70" s="96">
        <f t="shared" si="299"/>
        <v>-2000</v>
      </c>
      <c r="BH70" s="96">
        <f t="shared" si="299"/>
        <v>-2000</v>
      </c>
      <c r="BI70" s="54">
        <f t="shared" si="287"/>
        <v>4.7142857142857144</v>
      </c>
      <c r="BJ70" s="54">
        <f t="shared" si="287"/>
        <v>1</v>
      </c>
      <c r="BK70" s="96">
        <f t="shared" si="299"/>
        <v>-1000</v>
      </c>
      <c r="BL70" s="96">
        <f t="shared" si="299"/>
        <v>-1000</v>
      </c>
      <c r="BM70" s="96">
        <f t="shared" si="299"/>
        <v>-3000</v>
      </c>
      <c r="BN70" s="96">
        <f t="shared" si="299"/>
        <v>-3000</v>
      </c>
      <c r="BO70" s="54">
        <f t="shared" si="288"/>
        <v>7.5714285714285712</v>
      </c>
      <c r="BP70" s="54">
        <f t="shared" si="288"/>
        <v>1</v>
      </c>
      <c r="BQ70" s="96">
        <f t="shared" si="299"/>
        <v>0</v>
      </c>
      <c r="BR70" s="96">
        <f t="shared" si="299"/>
        <v>0</v>
      </c>
      <c r="BS70" s="96">
        <f t="shared" si="299"/>
        <v>-3000</v>
      </c>
      <c r="BT70" s="96">
        <f t="shared" si="299"/>
        <v>-3000</v>
      </c>
      <c r="BU70" s="54">
        <f t="shared" si="289"/>
        <v>-1.2469135802469136</v>
      </c>
      <c r="BV70" s="54">
        <f t="shared" si="289"/>
        <v>-1.2307692307692308</v>
      </c>
      <c r="BW70" s="96">
        <f t="shared" si="299"/>
        <v>0</v>
      </c>
      <c r="BX70" s="96">
        <f t="shared" si="299"/>
        <v>0</v>
      </c>
      <c r="BY70" s="96">
        <f t="shared" si="299"/>
        <v>-3000</v>
      </c>
      <c r="BZ70" s="96">
        <f t="shared" si="299"/>
        <v>-3000</v>
      </c>
      <c r="CA70" s="54">
        <f t="shared" si="290"/>
        <v>-1.2510460251046025</v>
      </c>
      <c r="CB70" s="54">
        <f t="shared" si="290"/>
        <v>-1.2307692307692308</v>
      </c>
      <c r="CC70" s="96">
        <f t="shared" si="299"/>
        <v>0</v>
      </c>
      <c r="CD70" s="96">
        <f t="shared" si="299"/>
        <v>0</v>
      </c>
      <c r="CE70" s="96">
        <f t="shared" si="299"/>
        <v>-3000</v>
      </c>
      <c r="CF70" s="96">
        <f t="shared" si="299"/>
        <v>-3000</v>
      </c>
      <c r="CG70" s="54">
        <f t="shared" si="291"/>
        <v>-1.0924499229583975</v>
      </c>
      <c r="CH70" s="54">
        <f t="shared" si="291"/>
        <v>-1.0909090909090908</v>
      </c>
      <c r="CI70" s="96">
        <f t="shared" si="299"/>
        <v>0</v>
      </c>
      <c r="CJ70" s="96">
        <f t="shared" si="299"/>
        <v>0</v>
      </c>
      <c r="CK70" s="96">
        <f t="shared" si="299"/>
        <v>-3000</v>
      </c>
      <c r="CL70" s="96">
        <f t="shared" si="299"/>
        <v>-3000</v>
      </c>
      <c r="CM70" s="54">
        <f t="shared" si="292"/>
        <v>-1.0924499229583975</v>
      </c>
      <c r="CN70" s="54">
        <f t="shared" si="292"/>
        <v>-1.0909090909090908</v>
      </c>
      <c r="CO70" s="96">
        <f t="shared" si="299"/>
        <v>0</v>
      </c>
      <c r="CP70" s="96">
        <f t="shared" si="299"/>
        <v>0</v>
      </c>
      <c r="CQ70" s="96">
        <f t="shared" si="299"/>
        <v>-3000</v>
      </c>
      <c r="CR70" s="96">
        <f t="shared" si="299"/>
        <v>-3000</v>
      </c>
      <c r="CS70" s="54">
        <f t="shared" si="293"/>
        <v>-1.0924499229583975</v>
      </c>
      <c r="CT70" s="54">
        <f t="shared" si="293"/>
        <v>-1.0909090909090908</v>
      </c>
      <c r="CU70" s="96">
        <f t="shared" si="299"/>
        <v>0</v>
      </c>
      <c r="CV70" s="96">
        <f t="shared" si="299"/>
        <v>0</v>
      </c>
      <c r="CW70" s="96">
        <f t="shared" si="299"/>
        <v>-3000</v>
      </c>
      <c r="CX70" s="96">
        <f t="shared" si="299"/>
        <v>-3000</v>
      </c>
      <c r="CY70" s="54">
        <f t="shared" si="294"/>
        <v>-1.0801068090787718</v>
      </c>
      <c r="CZ70" s="54">
        <f t="shared" si="294"/>
        <v>-1.0909090909090908</v>
      </c>
      <c r="DA70" s="96">
        <f t="shared" si="299"/>
        <v>0</v>
      </c>
      <c r="DB70" s="96">
        <f t="shared" si="299"/>
        <v>0</v>
      </c>
      <c r="DC70" s="96">
        <f t="shared" si="299"/>
        <v>-3000</v>
      </c>
      <c r="DD70" s="96">
        <f t="shared" si="299"/>
        <v>-3000</v>
      </c>
      <c r="DE70" s="54">
        <f t="shared" si="295"/>
        <v>-1.0794701986754967</v>
      </c>
      <c r="DF70" s="54">
        <f t="shared" si="295"/>
        <v>-1.0909090909090908</v>
      </c>
      <c r="DG70" s="96">
        <f t="shared" si="299"/>
        <v>0</v>
      </c>
      <c r="DH70" s="96">
        <f t="shared" si="299"/>
        <v>0</v>
      </c>
      <c r="DI70" s="96">
        <f t="shared" si="299"/>
        <v>-3000</v>
      </c>
      <c r="DJ70" s="96">
        <f t="shared" si="299"/>
        <v>-3000</v>
      </c>
      <c r="DK70" s="54">
        <f t="shared" si="296"/>
        <v>-1.0794701986754967</v>
      </c>
      <c r="DL70" s="54">
        <f t="shared" si="296"/>
        <v>-1.0909090909090908</v>
      </c>
      <c r="DM70" s="96">
        <f t="shared" si="299"/>
        <v>0</v>
      </c>
      <c r="DN70" s="96">
        <f t="shared" si="299"/>
        <v>0</v>
      </c>
      <c r="DO70" s="96">
        <f t="shared" si="299"/>
        <v>0</v>
      </c>
      <c r="DP70" s="96">
        <f t="shared" si="299"/>
        <v>0</v>
      </c>
      <c r="DQ70" s="96">
        <f t="shared" ref="DQ70:DR70" si="300">DQ71-DQ72</f>
        <v>6550</v>
      </c>
      <c r="DR70" s="96">
        <f t="shared" si="300"/>
        <v>-3500</v>
      </c>
      <c r="DS70" s="54">
        <f>IF($AY$70=0,1,DQ70/$AY$70-1)</f>
        <v>-2.8714285714285714</v>
      </c>
      <c r="DT70" s="54">
        <f>IF($AZ$70=0,1,DR70/$AZ$70-1)</f>
        <v>0</v>
      </c>
      <c r="DU70" s="54">
        <f>IF($E$70=0,1,DQ70/$E$70-1)</f>
        <v>-0.86282722513089005</v>
      </c>
      <c r="DV70" s="54">
        <f>IF($E$70=0,1,DR70/$E$70-1)</f>
        <v>-1.0732984293193717</v>
      </c>
      <c r="DW70" s="2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8"/>
      <c r="JA70" s="78"/>
      <c r="JB70" s="78"/>
      <c r="JC70" s="78"/>
      <c r="JD70" s="78"/>
      <c r="JE70" s="78"/>
      <c r="JF70" s="78"/>
      <c r="JG70" s="78"/>
      <c r="JH70" s="78"/>
    </row>
    <row r="71" spans="1:268" s="64" customFormat="1" ht="18" customHeight="1">
      <c r="A71" s="401" t="s">
        <v>55</v>
      </c>
      <c r="B71" s="402"/>
      <c r="C71" s="29">
        <f>'[1]прогноз '!B68</f>
        <v>15000</v>
      </c>
      <c r="D71" s="29">
        <f>'[1]прогноз '!C68</f>
        <v>15000</v>
      </c>
      <c r="E71" s="29">
        <v>58800</v>
      </c>
      <c r="F71" s="29">
        <f>H71+J71+N71+R71+V71+Z71+AD71+AH71+AL71+AP71+AT71+AX71</f>
        <v>53000</v>
      </c>
      <c r="G71" s="29">
        <v>0</v>
      </c>
      <c r="H71" s="29">
        <v>0</v>
      </c>
      <c r="I71" s="29">
        <v>0</v>
      </c>
      <c r="J71" s="29">
        <v>0</v>
      </c>
      <c r="K71" s="29">
        <f t="shared" ref="K71:L72" si="301">G71+I71</f>
        <v>0</v>
      </c>
      <c r="L71" s="29">
        <f t="shared" si="301"/>
        <v>0</v>
      </c>
      <c r="M71" s="29">
        <v>0</v>
      </c>
      <c r="N71" s="29">
        <v>0</v>
      </c>
      <c r="O71" s="29">
        <f t="shared" ref="O71:P72" si="302">K71+M71</f>
        <v>0</v>
      </c>
      <c r="P71" s="29">
        <f t="shared" si="302"/>
        <v>0</v>
      </c>
      <c r="Q71" s="29">
        <v>13000</v>
      </c>
      <c r="R71" s="29">
        <v>13000</v>
      </c>
      <c r="S71" s="29">
        <f t="shared" ref="S71:T72" si="303">O71+Q71</f>
        <v>13000</v>
      </c>
      <c r="T71" s="29">
        <f t="shared" si="303"/>
        <v>13000</v>
      </c>
      <c r="U71" s="29">
        <v>0</v>
      </c>
      <c r="V71" s="29">
        <v>0</v>
      </c>
      <c r="W71" s="29">
        <f t="shared" ref="W71:X72" si="304">S71+U71</f>
        <v>13000</v>
      </c>
      <c r="X71" s="29">
        <f t="shared" si="304"/>
        <v>13000</v>
      </c>
      <c r="Y71" s="29">
        <v>20500</v>
      </c>
      <c r="Z71" s="29">
        <v>20000</v>
      </c>
      <c r="AA71" s="29">
        <f t="shared" ref="AA71:AB72" si="305">W71+Y71</f>
        <v>33500</v>
      </c>
      <c r="AB71" s="29">
        <f t="shared" si="305"/>
        <v>33000</v>
      </c>
      <c r="AC71" s="29">
        <v>10000</v>
      </c>
      <c r="AD71" s="29">
        <v>10000</v>
      </c>
      <c r="AE71" s="29">
        <f t="shared" ref="AE71:AF72" si="306">AA71+AC71</f>
        <v>43500</v>
      </c>
      <c r="AF71" s="29">
        <f t="shared" si="306"/>
        <v>43000</v>
      </c>
      <c r="AG71" s="29">
        <f>43500-Q71-U71-Y71-AC71</f>
        <v>0</v>
      </c>
      <c r="AH71" s="29">
        <v>0</v>
      </c>
      <c r="AI71" s="29">
        <f t="shared" ref="AI71:AJ72" si="307">AE71+AG71</f>
        <v>43500</v>
      </c>
      <c r="AJ71" s="29">
        <f t="shared" si="307"/>
        <v>43000</v>
      </c>
      <c r="AK71" s="29">
        <f>48500-Q71-U71-Y71-AC71</f>
        <v>5000</v>
      </c>
      <c r="AL71" s="29">
        <v>0</v>
      </c>
      <c r="AM71" s="29">
        <f t="shared" ref="AM71:AN72" si="308">AI71+AK71</f>
        <v>48500</v>
      </c>
      <c r="AN71" s="29">
        <f t="shared" si="308"/>
        <v>43000</v>
      </c>
      <c r="AO71" s="29">
        <f>48800-AK71-AG71-AC71-Y71-U71-Q71-M71-I71-G71</f>
        <v>300</v>
      </c>
      <c r="AP71" s="29">
        <v>0</v>
      </c>
      <c r="AQ71" s="29">
        <f t="shared" ref="AQ71:AR72" si="309">AM71+AO71</f>
        <v>48800</v>
      </c>
      <c r="AR71" s="29">
        <f t="shared" si="309"/>
        <v>43000</v>
      </c>
      <c r="AS71" s="29">
        <v>0</v>
      </c>
      <c r="AT71" s="29">
        <v>0</v>
      </c>
      <c r="AU71" s="29">
        <f t="shared" ref="AU71:AV72" si="310">AQ71+AS71</f>
        <v>48800</v>
      </c>
      <c r="AV71" s="29">
        <f t="shared" si="310"/>
        <v>43000</v>
      </c>
      <c r="AW71" s="29">
        <v>10000</v>
      </c>
      <c r="AX71" s="29">
        <v>10000</v>
      </c>
      <c r="AY71" s="29">
        <f>AZ71</f>
        <v>45000</v>
      </c>
      <c r="AZ71" s="29">
        <v>45000</v>
      </c>
      <c r="BA71" s="55">
        <f t="shared" si="285"/>
        <v>-0.23469387755102045</v>
      </c>
      <c r="BB71" s="55">
        <f t="shared" si="285"/>
        <v>-0.15094339622641506</v>
      </c>
      <c r="BC71" s="29">
        <v>0</v>
      </c>
      <c r="BD71" s="29">
        <v>0</v>
      </c>
      <c r="BE71" s="29">
        <v>0</v>
      </c>
      <c r="BF71" s="29">
        <v>0</v>
      </c>
      <c r="BG71" s="29">
        <f t="shared" ref="BG71:BH72" si="311">BC71+BE71</f>
        <v>0</v>
      </c>
      <c r="BH71" s="29">
        <f t="shared" si="311"/>
        <v>0</v>
      </c>
      <c r="BI71" s="55">
        <f t="shared" si="287"/>
        <v>1</v>
      </c>
      <c r="BJ71" s="55">
        <f t="shared" si="287"/>
        <v>1</v>
      </c>
      <c r="BK71" s="29">
        <v>0</v>
      </c>
      <c r="BL71" s="29">
        <v>0</v>
      </c>
      <c r="BM71" s="29">
        <f t="shared" ref="BM71:BN72" si="312">BG71+BK71</f>
        <v>0</v>
      </c>
      <c r="BN71" s="29">
        <f t="shared" si="312"/>
        <v>0</v>
      </c>
      <c r="BO71" s="55">
        <f t="shared" si="288"/>
        <v>1</v>
      </c>
      <c r="BP71" s="55">
        <f t="shared" si="288"/>
        <v>1</v>
      </c>
      <c r="BQ71" s="29"/>
      <c r="BR71" s="29"/>
      <c r="BS71" s="29">
        <f t="shared" ref="BS71:BT72" si="313">BM71+BQ71</f>
        <v>0</v>
      </c>
      <c r="BT71" s="29">
        <f t="shared" si="313"/>
        <v>0</v>
      </c>
      <c r="BU71" s="55">
        <f t="shared" si="289"/>
        <v>-1</v>
      </c>
      <c r="BV71" s="55">
        <f t="shared" si="289"/>
        <v>-1</v>
      </c>
      <c r="BW71" s="29"/>
      <c r="BX71" s="29"/>
      <c r="BY71" s="29">
        <f t="shared" ref="BY71:BZ72" si="314">BS71+BW71</f>
        <v>0</v>
      </c>
      <c r="BZ71" s="29">
        <f t="shared" si="314"/>
        <v>0</v>
      </c>
      <c r="CA71" s="55">
        <f t="shared" si="290"/>
        <v>-1</v>
      </c>
      <c r="CB71" s="55">
        <f t="shared" si="290"/>
        <v>-1</v>
      </c>
      <c r="CC71" s="29"/>
      <c r="CD71" s="29"/>
      <c r="CE71" s="29">
        <f t="shared" ref="CE71:CF72" si="315">BY71+CC71</f>
        <v>0</v>
      </c>
      <c r="CF71" s="29">
        <f t="shared" si="315"/>
        <v>0</v>
      </c>
      <c r="CG71" s="55">
        <f t="shared" si="291"/>
        <v>-1</v>
      </c>
      <c r="CH71" s="55">
        <f t="shared" si="291"/>
        <v>-1</v>
      </c>
      <c r="CI71" s="29"/>
      <c r="CJ71" s="29"/>
      <c r="CK71" s="29">
        <f t="shared" ref="CK71:CL72" si="316">CE71+CI71</f>
        <v>0</v>
      </c>
      <c r="CL71" s="29">
        <f t="shared" si="316"/>
        <v>0</v>
      </c>
      <c r="CM71" s="55">
        <f t="shared" si="292"/>
        <v>-1</v>
      </c>
      <c r="CN71" s="55">
        <f t="shared" si="292"/>
        <v>-1</v>
      </c>
      <c r="CO71" s="29"/>
      <c r="CP71" s="29"/>
      <c r="CQ71" s="29">
        <f t="shared" ref="CQ71:CR72" si="317">CK71+CO71</f>
        <v>0</v>
      </c>
      <c r="CR71" s="29">
        <f t="shared" si="317"/>
        <v>0</v>
      </c>
      <c r="CS71" s="55">
        <f t="shared" si="293"/>
        <v>-1</v>
      </c>
      <c r="CT71" s="55">
        <f t="shared" si="293"/>
        <v>-1</v>
      </c>
      <c r="CU71" s="29"/>
      <c r="CV71" s="29"/>
      <c r="CW71" s="29">
        <f t="shared" ref="CW71:CX72" si="318">CQ71+CU71</f>
        <v>0</v>
      </c>
      <c r="CX71" s="29">
        <f t="shared" si="318"/>
        <v>0</v>
      </c>
      <c r="CY71" s="55">
        <f t="shared" si="294"/>
        <v>-1</v>
      </c>
      <c r="CZ71" s="55">
        <f t="shared" si="294"/>
        <v>-1</v>
      </c>
      <c r="DA71" s="29"/>
      <c r="DB71" s="29"/>
      <c r="DC71" s="29">
        <f t="shared" ref="DC71:DD72" si="319">CW71+DA71</f>
        <v>0</v>
      </c>
      <c r="DD71" s="29">
        <f t="shared" si="319"/>
        <v>0</v>
      </c>
      <c r="DE71" s="55">
        <f t="shared" si="295"/>
        <v>-1</v>
      </c>
      <c r="DF71" s="55">
        <f t="shared" si="295"/>
        <v>-1</v>
      </c>
      <c r="DG71" s="29"/>
      <c r="DH71" s="29"/>
      <c r="DI71" s="29">
        <f t="shared" ref="DI71:DJ72" si="320">DC71+DG71</f>
        <v>0</v>
      </c>
      <c r="DJ71" s="29">
        <f t="shared" si="320"/>
        <v>0</v>
      </c>
      <c r="DK71" s="55">
        <f t="shared" si="296"/>
        <v>-1</v>
      </c>
      <c r="DL71" s="55">
        <f t="shared" si="296"/>
        <v>-1</v>
      </c>
      <c r="DM71" s="29"/>
      <c r="DN71" s="29"/>
      <c r="DO71" s="29"/>
      <c r="DP71" s="29"/>
      <c r="DQ71" s="29">
        <v>59650</v>
      </c>
      <c r="DR71" s="29">
        <v>45000</v>
      </c>
      <c r="DS71" s="55">
        <f>IF($AY$71=0,1,DQ71/$AY$71-1)</f>
        <v>0.3255555555555556</v>
      </c>
      <c r="DT71" s="55">
        <f>IF($AZ$71=0,1,DR71/$AZ$71-1)</f>
        <v>0</v>
      </c>
      <c r="DU71" s="55">
        <f>IF($E$71=0,1,DQ71/$E$71-1)</f>
        <v>1.4455782312925214E-2</v>
      </c>
      <c r="DV71" s="55">
        <f>IF($E$71=0,1,DR71/$E$71-1)</f>
        <v>-0.23469387755102045</v>
      </c>
      <c r="DW71" s="25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</row>
    <row r="72" spans="1:268" s="64" customFormat="1" ht="18" customHeight="1">
      <c r="A72" s="401" t="s">
        <v>56</v>
      </c>
      <c r="B72" s="402"/>
      <c r="C72" s="29">
        <f>'[1]прогноз '!B69</f>
        <v>8019</v>
      </c>
      <c r="D72" s="29">
        <f>'[1]прогноз '!C69</f>
        <v>8019.2</v>
      </c>
      <c r="E72" s="29">
        <v>11050</v>
      </c>
      <c r="F72" s="29">
        <f>H72+J72+N72+R72+V72+Z72+AD72+AH72+AL72+AP72+AT72+AX72</f>
        <v>10000</v>
      </c>
      <c r="G72" s="29">
        <v>0</v>
      </c>
      <c r="H72" s="29">
        <v>0</v>
      </c>
      <c r="I72" s="29">
        <v>350</v>
      </c>
      <c r="J72" s="29">
        <v>0</v>
      </c>
      <c r="K72" s="29">
        <f t="shared" si="301"/>
        <v>350</v>
      </c>
      <c r="L72" s="29">
        <f t="shared" si="301"/>
        <v>0</v>
      </c>
      <c r="M72" s="29">
        <v>0</v>
      </c>
      <c r="N72" s="29">
        <v>0</v>
      </c>
      <c r="O72" s="29">
        <f t="shared" si="302"/>
        <v>350</v>
      </c>
      <c r="P72" s="29">
        <f t="shared" si="302"/>
        <v>0</v>
      </c>
      <c r="Q72" s="29">
        <v>500</v>
      </c>
      <c r="R72" s="29">
        <v>0</v>
      </c>
      <c r="S72" s="29">
        <f t="shared" si="303"/>
        <v>850</v>
      </c>
      <c r="T72" s="29">
        <f t="shared" si="303"/>
        <v>0</v>
      </c>
      <c r="U72" s="29">
        <v>200</v>
      </c>
      <c r="V72" s="29">
        <v>0</v>
      </c>
      <c r="W72" s="29">
        <f t="shared" si="304"/>
        <v>1050</v>
      </c>
      <c r="X72" s="29">
        <f t="shared" si="304"/>
        <v>0</v>
      </c>
      <c r="Y72" s="29">
        <v>0</v>
      </c>
      <c r="Z72" s="29">
        <v>0</v>
      </c>
      <c r="AA72" s="29">
        <f t="shared" si="305"/>
        <v>1050</v>
      </c>
      <c r="AB72" s="29">
        <f t="shared" si="305"/>
        <v>0</v>
      </c>
      <c r="AC72" s="29">
        <v>10000</v>
      </c>
      <c r="AD72" s="29">
        <v>10000</v>
      </c>
      <c r="AE72" s="29">
        <f t="shared" si="306"/>
        <v>11050</v>
      </c>
      <c r="AF72" s="29">
        <f t="shared" si="306"/>
        <v>10000</v>
      </c>
      <c r="AG72" s="29">
        <f>11050-G72-I72-M72-Q72-U72-Y72-AC72</f>
        <v>0</v>
      </c>
      <c r="AH72" s="29">
        <f>10000-AD72</f>
        <v>0</v>
      </c>
      <c r="AI72" s="29">
        <f t="shared" si="307"/>
        <v>11050</v>
      </c>
      <c r="AJ72" s="29">
        <f t="shared" si="307"/>
        <v>10000</v>
      </c>
      <c r="AK72" s="29">
        <v>0</v>
      </c>
      <c r="AL72" s="29">
        <v>0</v>
      </c>
      <c r="AM72" s="29">
        <f t="shared" si="308"/>
        <v>11050</v>
      </c>
      <c r="AN72" s="29">
        <f t="shared" si="308"/>
        <v>10000</v>
      </c>
      <c r="AO72" s="29">
        <v>0</v>
      </c>
      <c r="AP72" s="29">
        <v>0</v>
      </c>
      <c r="AQ72" s="29">
        <f t="shared" si="309"/>
        <v>11050</v>
      </c>
      <c r="AR72" s="29">
        <f t="shared" si="309"/>
        <v>10000</v>
      </c>
      <c r="AS72" s="29">
        <v>0</v>
      </c>
      <c r="AT72" s="29">
        <v>0</v>
      </c>
      <c r="AU72" s="29">
        <f t="shared" si="310"/>
        <v>11050</v>
      </c>
      <c r="AV72" s="29">
        <f t="shared" si="310"/>
        <v>10000</v>
      </c>
      <c r="AW72" s="29">
        <v>0</v>
      </c>
      <c r="AX72" s="29">
        <v>0</v>
      </c>
      <c r="AY72" s="29">
        <f>AZ72</f>
        <v>48500</v>
      </c>
      <c r="AZ72" s="29">
        <v>48500</v>
      </c>
      <c r="BA72" s="55">
        <f t="shared" si="285"/>
        <v>3.3891402714932131</v>
      </c>
      <c r="BB72" s="55">
        <f t="shared" si="285"/>
        <v>3.8499999999999996</v>
      </c>
      <c r="BC72" s="29">
        <v>1000</v>
      </c>
      <c r="BD72" s="29">
        <v>1000</v>
      </c>
      <c r="BE72" s="29">
        <v>1000</v>
      </c>
      <c r="BF72" s="29">
        <v>1000</v>
      </c>
      <c r="BG72" s="29">
        <f t="shared" si="311"/>
        <v>2000</v>
      </c>
      <c r="BH72" s="29">
        <f t="shared" si="311"/>
        <v>2000</v>
      </c>
      <c r="BI72" s="55">
        <f t="shared" si="287"/>
        <v>4.7142857142857144</v>
      </c>
      <c r="BJ72" s="55">
        <f t="shared" si="287"/>
        <v>1</v>
      </c>
      <c r="BK72" s="29">
        <v>1000</v>
      </c>
      <c r="BL72" s="29">
        <v>1000</v>
      </c>
      <c r="BM72" s="29">
        <f t="shared" si="312"/>
        <v>3000</v>
      </c>
      <c r="BN72" s="29">
        <f t="shared" si="312"/>
        <v>3000</v>
      </c>
      <c r="BO72" s="55">
        <f t="shared" si="288"/>
        <v>7.5714285714285712</v>
      </c>
      <c r="BP72" s="55">
        <f t="shared" si="288"/>
        <v>1</v>
      </c>
      <c r="BQ72" s="29"/>
      <c r="BR72" s="29"/>
      <c r="BS72" s="29">
        <f t="shared" si="313"/>
        <v>3000</v>
      </c>
      <c r="BT72" s="29">
        <f t="shared" si="313"/>
        <v>3000</v>
      </c>
      <c r="BU72" s="55">
        <f t="shared" si="289"/>
        <v>2.5294117647058822</v>
      </c>
      <c r="BV72" s="55">
        <f t="shared" si="289"/>
        <v>1</v>
      </c>
      <c r="BW72" s="29"/>
      <c r="BX72" s="29"/>
      <c r="BY72" s="29">
        <f t="shared" si="314"/>
        <v>3000</v>
      </c>
      <c r="BZ72" s="29">
        <f t="shared" si="314"/>
        <v>3000</v>
      </c>
      <c r="CA72" s="55">
        <f t="shared" si="290"/>
        <v>1.8571428571428572</v>
      </c>
      <c r="CB72" s="55">
        <f t="shared" si="290"/>
        <v>1</v>
      </c>
      <c r="CC72" s="29"/>
      <c r="CD72" s="29"/>
      <c r="CE72" s="29">
        <f t="shared" si="315"/>
        <v>3000</v>
      </c>
      <c r="CF72" s="29">
        <f t="shared" si="315"/>
        <v>3000</v>
      </c>
      <c r="CG72" s="55">
        <f t="shared" si="291"/>
        <v>1.8571428571428572</v>
      </c>
      <c r="CH72" s="55">
        <f t="shared" si="291"/>
        <v>1</v>
      </c>
      <c r="CI72" s="29"/>
      <c r="CJ72" s="29"/>
      <c r="CK72" s="29">
        <f t="shared" si="316"/>
        <v>3000</v>
      </c>
      <c r="CL72" s="29">
        <f t="shared" si="316"/>
        <v>3000</v>
      </c>
      <c r="CM72" s="55">
        <f t="shared" si="292"/>
        <v>-0.72850678733031682</v>
      </c>
      <c r="CN72" s="55">
        <f t="shared" si="292"/>
        <v>-0.7</v>
      </c>
      <c r="CO72" s="29"/>
      <c r="CP72" s="29"/>
      <c r="CQ72" s="29">
        <f t="shared" si="317"/>
        <v>3000</v>
      </c>
      <c r="CR72" s="29">
        <f t="shared" si="317"/>
        <v>3000</v>
      </c>
      <c r="CS72" s="55">
        <f t="shared" si="293"/>
        <v>-0.72850678733031682</v>
      </c>
      <c r="CT72" s="55">
        <f t="shared" si="293"/>
        <v>-0.7</v>
      </c>
      <c r="CU72" s="29"/>
      <c r="CV72" s="29"/>
      <c r="CW72" s="29">
        <f t="shared" si="318"/>
        <v>3000</v>
      </c>
      <c r="CX72" s="29">
        <f t="shared" si="318"/>
        <v>3000</v>
      </c>
      <c r="CY72" s="55">
        <f t="shared" si="294"/>
        <v>-0.72850678733031682</v>
      </c>
      <c r="CZ72" s="55">
        <f t="shared" si="294"/>
        <v>-0.7</v>
      </c>
      <c r="DA72" s="29"/>
      <c r="DB72" s="29"/>
      <c r="DC72" s="29">
        <f t="shared" si="319"/>
        <v>3000</v>
      </c>
      <c r="DD72" s="29">
        <f t="shared" si="319"/>
        <v>3000</v>
      </c>
      <c r="DE72" s="55">
        <f t="shared" si="295"/>
        <v>-0.72850678733031682</v>
      </c>
      <c r="DF72" s="55">
        <f t="shared" si="295"/>
        <v>-0.7</v>
      </c>
      <c r="DG72" s="29"/>
      <c r="DH72" s="29"/>
      <c r="DI72" s="29">
        <f t="shared" si="320"/>
        <v>3000</v>
      </c>
      <c r="DJ72" s="29">
        <f t="shared" si="320"/>
        <v>3000</v>
      </c>
      <c r="DK72" s="55">
        <f t="shared" si="296"/>
        <v>-0.72850678733031682</v>
      </c>
      <c r="DL72" s="55">
        <f t="shared" si="296"/>
        <v>-0.7</v>
      </c>
      <c r="DM72" s="29"/>
      <c r="DN72" s="29"/>
      <c r="DO72" s="29"/>
      <c r="DP72" s="29"/>
      <c r="DQ72" s="29">
        <v>53100</v>
      </c>
      <c r="DR72" s="29">
        <v>48500</v>
      </c>
      <c r="DS72" s="55">
        <f>IF($AY$72=0,1,DQ72/$AY$72-1)</f>
        <v>9.4845360824742375E-2</v>
      </c>
      <c r="DT72" s="55">
        <f>IF($AZ$72=0,1,DR72/$AZ$72-1)</f>
        <v>0</v>
      </c>
      <c r="DU72" s="55">
        <f>IF($E$72=0,1,DQ72/$E$72-1)</f>
        <v>3.8054298642533935</v>
      </c>
      <c r="DV72" s="55">
        <f>IF($E$72=0,1,DR72/$E$72-1)</f>
        <v>3.3891402714932131</v>
      </c>
      <c r="DW72" s="25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</row>
    <row r="73" spans="1:268" s="75" customFormat="1" ht="18" customHeight="1">
      <c r="A73" s="399" t="s">
        <v>58</v>
      </c>
      <c r="B73" s="400"/>
      <c r="C73" s="96">
        <f t="shared" ref="C73:AZ73" si="321">C74-C75</f>
        <v>2650</v>
      </c>
      <c r="D73" s="96">
        <f t="shared" si="321"/>
        <v>2650</v>
      </c>
      <c r="E73" s="96">
        <f t="shared" si="321"/>
        <v>-353</v>
      </c>
      <c r="F73" s="96">
        <f t="shared" si="321"/>
        <v>-1373</v>
      </c>
      <c r="G73" s="96">
        <f t="shared" si="321"/>
        <v>0</v>
      </c>
      <c r="H73" s="96">
        <f t="shared" si="321"/>
        <v>400</v>
      </c>
      <c r="I73" s="96">
        <f t="shared" si="321"/>
        <v>-38</v>
      </c>
      <c r="J73" s="96">
        <f t="shared" si="321"/>
        <v>400</v>
      </c>
      <c r="K73" s="96">
        <f t="shared" si="321"/>
        <v>-38</v>
      </c>
      <c r="L73" s="96">
        <f t="shared" si="321"/>
        <v>800</v>
      </c>
      <c r="M73" s="96">
        <f t="shared" si="321"/>
        <v>-38</v>
      </c>
      <c r="N73" s="96">
        <f t="shared" si="321"/>
        <v>400</v>
      </c>
      <c r="O73" s="96">
        <f t="shared" si="321"/>
        <v>-76</v>
      </c>
      <c r="P73" s="96">
        <f t="shared" si="321"/>
        <v>1200</v>
      </c>
      <c r="Q73" s="96">
        <f t="shared" si="321"/>
        <v>0</v>
      </c>
      <c r="R73" s="96">
        <f t="shared" si="321"/>
        <v>400</v>
      </c>
      <c r="S73" s="96">
        <f t="shared" si="321"/>
        <v>-76</v>
      </c>
      <c r="T73" s="96">
        <f t="shared" si="321"/>
        <v>1600</v>
      </c>
      <c r="U73" s="96">
        <f t="shared" si="321"/>
        <v>-76</v>
      </c>
      <c r="V73" s="96">
        <f t="shared" si="321"/>
        <v>0</v>
      </c>
      <c r="W73" s="96">
        <f t="shared" si="321"/>
        <v>-152</v>
      </c>
      <c r="X73" s="96">
        <f t="shared" si="321"/>
        <v>1600</v>
      </c>
      <c r="Y73" s="96">
        <f t="shared" si="321"/>
        <v>0</v>
      </c>
      <c r="Z73" s="96">
        <f t="shared" si="321"/>
        <v>0</v>
      </c>
      <c r="AA73" s="96">
        <f t="shared" si="321"/>
        <v>-152</v>
      </c>
      <c r="AB73" s="96">
        <f t="shared" si="321"/>
        <v>1600</v>
      </c>
      <c r="AC73" s="96">
        <f t="shared" si="321"/>
        <v>0</v>
      </c>
      <c r="AD73" s="96">
        <f t="shared" si="321"/>
        <v>0</v>
      </c>
      <c r="AE73" s="96">
        <f t="shared" si="321"/>
        <v>-152</v>
      </c>
      <c r="AF73" s="96">
        <f t="shared" si="321"/>
        <v>1600</v>
      </c>
      <c r="AG73" s="96">
        <f t="shared" si="321"/>
        <v>0</v>
      </c>
      <c r="AH73" s="96">
        <f t="shared" si="321"/>
        <v>0</v>
      </c>
      <c r="AI73" s="96">
        <f t="shared" si="321"/>
        <v>-152</v>
      </c>
      <c r="AJ73" s="96">
        <f t="shared" si="321"/>
        <v>1600</v>
      </c>
      <c r="AK73" s="96">
        <f t="shared" si="321"/>
        <v>0</v>
      </c>
      <c r="AL73" s="96">
        <f t="shared" si="321"/>
        <v>27</v>
      </c>
      <c r="AM73" s="96">
        <f t="shared" si="321"/>
        <v>-152</v>
      </c>
      <c r="AN73" s="96">
        <f t="shared" si="321"/>
        <v>1627</v>
      </c>
      <c r="AO73" s="96">
        <f t="shared" si="321"/>
        <v>-190</v>
      </c>
      <c r="AP73" s="96">
        <f t="shared" si="321"/>
        <v>0</v>
      </c>
      <c r="AQ73" s="96">
        <f t="shared" si="321"/>
        <v>-342</v>
      </c>
      <c r="AR73" s="96">
        <f t="shared" si="321"/>
        <v>1627</v>
      </c>
      <c r="AS73" s="96">
        <f t="shared" si="321"/>
        <v>-38</v>
      </c>
      <c r="AT73" s="96">
        <f t="shared" si="321"/>
        <v>0</v>
      </c>
      <c r="AU73" s="96">
        <f t="shared" si="321"/>
        <v>-380</v>
      </c>
      <c r="AV73" s="96">
        <f t="shared" si="321"/>
        <v>1627</v>
      </c>
      <c r="AW73" s="96">
        <f t="shared" si="321"/>
        <v>0</v>
      </c>
      <c r="AX73" s="96">
        <f t="shared" si="321"/>
        <v>0</v>
      </c>
      <c r="AY73" s="96">
        <f t="shared" si="321"/>
        <v>-228</v>
      </c>
      <c r="AZ73" s="96">
        <f t="shared" si="321"/>
        <v>0</v>
      </c>
      <c r="BA73" s="54">
        <f t="shared" si="285"/>
        <v>-0.3541076487252125</v>
      </c>
      <c r="BB73" s="54">
        <f t="shared" si="285"/>
        <v>-1</v>
      </c>
      <c r="BC73" s="96">
        <f t="shared" ref="BC73:DP73" si="322">BC74-BC75</f>
        <v>-38</v>
      </c>
      <c r="BD73" s="96">
        <f t="shared" si="322"/>
        <v>0</v>
      </c>
      <c r="BE73" s="96">
        <f t="shared" si="322"/>
        <v>-76</v>
      </c>
      <c r="BF73" s="96">
        <f t="shared" si="322"/>
        <v>0</v>
      </c>
      <c r="BG73" s="96">
        <f t="shared" si="322"/>
        <v>-114</v>
      </c>
      <c r="BH73" s="96">
        <f t="shared" si="322"/>
        <v>0</v>
      </c>
      <c r="BI73" s="54">
        <f t="shared" si="287"/>
        <v>2</v>
      </c>
      <c r="BJ73" s="54">
        <f t="shared" si="287"/>
        <v>-1</v>
      </c>
      <c r="BK73" s="96">
        <f t="shared" si="322"/>
        <v>-76</v>
      </c>
      <c r="BL73" s="96">
        <f t="shared" si="322"/>
        <v>0</v>
      </c>
      <c r="BM73" s="96">
        <f t="shared" si="322"/>
        <v>-190</v>
      </c>
      <c r="BN73" s="96">
        <f t="shared" si="322"/>
        <v>0</v>
      </c>
      <c r="BO73" s="54">
        <f t="shared" si="288"/>
        <v>1.5</v>
      </c>
      <c r="BP73" s="54">
        <f t="shared" si="288"/>
        <v>-1</v>
      </c>
      <c r="BQ73" s="96">
        <f t="shared" si="322"/>
        <v>0</v>
      </c>
      <c r="BR73" s="96">
        <f t="shared" si="322"/>
        <v>0</v>
      </c>
      <c r="BS73" s="96">
        <f t="shared" si="322"/>
        <v>-190</v>
      </c>
      <c r="BT73" s="96">
        <f t="shared" si="322"/>
        <v>0</v>
      </c>
      <c r="BU73" s="54">
        <f t="shared" si="289"/>
        <v>1.5</v>
      </c>
      <c r="BV73" s="54">
        <f t="shared" si="289"/>
        <v>-1</v>
      </c>
      <c r="BW73" s="96">
        <f t="shared" si="322"/>
        <v>0</v>
      </c>
      <c r="BX73" s="96">
        <f t="shared" si="322"/>
        <v>0</v>
      </c>
      <c r="BY73" s="96">
        <f t="shared" si="322"/>
        <v>-190</v>
      </c>
      <c r="BZ73" s="96">
        <f t="shared" si="322"/>
        <v>0</v>
      </c>
      <c r="CA73" s="54">
        <f t="shared" si="290"/>
        <v>0.25</v>
      </c>
      <c r="CB73" s="54">
        <f t="shared" si="290"/>
        <v>-1</v>
      </c>
      <c r="CC73" s="96">
        <f t="shared" si="322"/>
        <v>0</v>
      </c>
      <c r="CD73" s="96">
        <f t="shared" si="322"/>
        <v>0</v>
      </c>
      <c r="CE73" s="96">
        <f t="shared" si="322"/>
        <v>-190</v>
      </c>
      <c r="CF73" s="96">
        <f t="shared" si="322"/>
        <v>0</v>
      </c>
      <c r="CG73" s="54">
        <f t="shared" si="291"/>
        <v>0.25</v>
      </c>
      <c r="CH73" s="54">
        <f t="shared" si="291"/>
        <v>-1</v>
      </c>
      <c r="CI73" s="96">
        <f t="shared" si="322"/>
        <v>0</v>
      </c>
      <c r="CJ73" s="96">
        <f t="shared" si="322"/>
        <v>0</v>
      </c>
      <c r="CK73" s="96">
        <f t="shared" si="322"/>
        <v>-190</v>
      </c>
      <c r="CL73" s="96">
        <f t="shared" si="322"/>
        <v>0</v>
      </c>
      <c r="CM73" s="54">
        <f t="shared" si="292"/>
        <v>0.25</v>
      </c>
      <c r="CN73" s="54">
        <f t="shared" si="292"/>
        <v>-1</v>
      </c>
      <c r="CO73" s="96">
        <f t="shared" si="322"/>
        <v>0</v>
      </c>
      <c r="CP73" s="96">
        <f t="shared" si="322"/>
        <v>0</v>
      </c>
      <c r="CQ73" s="96">
        <f t="shared" si="322"/>
        <v>-190</v>
      </c>
      <c r="CR73" s="96">
        <f t="shared" si="322"/>
        <v>0</v>
      </c>
      <c r="CS73" s="54">
        <f t="shared" si="293"/>
        <v>0.25</v>
      </c>
      <c r="CT73" s="54">
        <f t="shared" si="293"/>
        <v>-1</v>
      </c>
      <c r="CU73" s="96">
        <f t="shared" si="322"/>
        <v>0</v>
      </c>
      <c r="CV73" s="96">
        <f t="shared" si="322"/>
        <v>0</v>
      </c>
      <c r="CW73" s="96">
        <f t="shared" si="322"/>
        <v>-190</v>
      </c>
      <c r="CX73" s="96">
        <f t="shared" si="322"/>
        <v>0</v>
      </c>
      <c r="CY73" s="54">
        <f t="shared" si="294"/>
        <v>0.25</v>
      </c>
      <c r="CZ73" s="54">
        <f t="shared" si="294"/>
        <v>-1</v>
      </c>
      <c r="DA73" s="96">
        <f t="shared" si="322"/>
        <v>0</v>
      </c>
      <c r="DB73" s="96">
        <f t="shared" si="322"/>
        <v>0</v>
      </c>
      <c r="DC73" s="96">
        <f t="shared" si="322"/>
        <v>-190</v>
      </c>
      <c r="DD73" s="96">
        <f t="shared" si="322"/>
        <v>0</v>
      </c>
      <c r="DE73" s="54">
        <f t="shared" si="295"/>
        <v>-0.44444444444444442</v>
      </c>
      <c r="DF73" s="54">
        <f t="shared" si="295"/>
        <v>-1</v>
      </c>
      <c r="DG73" s="96">
        <f t="shared" si="322"/>
        <v>0</v>
      </c>
      <c r="DH73" s="96">
        <f t="shared" si="322"/>
        <v>0</v>
      </c>
      <c r="DI73" s="96">
        <f t="shared" si="322"/>
        <v>-190</v>
      </c>
      <c r="DJ73" s="96">
        <f t="shared" si="322"/>
        <v>0</v>
      </c>
      <c r="DK73" s="54">
        <f t="shared" si="296"/>
        <v>-0.5</v>
      </c>
      <c r="DL73" s="54">
        <f t="shared" si="296"/>
        <v>-1</v>
      </c>
      <c r="DM73" s="96">
        <f t="shared" si="322"/>
        <v>0</v>
      </c>
      <c r="DN73" s="96">
        <f t="shared" si="322"/>
        <v>0</v>
      </c>
      <c r="DO73" s="96">
        <f t="shared" si="322"/>
        <v>0</v>
      </c>
      <c r="DP73" s="96">
        <f t="shared" si="322"/>
        <v>0</v>
      </c>
      <c r="DQ73" s="96">
        <f t="shared" ref="DQ73:DR73" si="323">DQ74-DQ75</f>
        <v>0</v>
      </c>
      <c r="DR73" s="96">
        <f t="shared" si="323"/>
        <v>0</v>
      </c>
      <c r="DS73" s="54">
        <f>IF($AY$73=0,1,DQ73/$AY$73-1)</f>
        <v>-1</v>
      </c>
      <c r="DT73" s="54">
        <f>IF($AZ$73=0,1,DR73/$AZ$73-1)</f>
        <v>1</v>
      </c>
      <c r="DU73" s="54">
        <f>IF($E$73=0,1,DQ73/$E$73-1)</f>
        <v>-1</v>
      </c>
      <c r="DV73" s="54">
        <f>IF($E$73=0,1,DR73/$E$73-1)</f>
        <v>-1</v>
      </c>
      <c r="DW73" s="28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74"/>
      <c r="HZ73" s="74"/>
      <c r="IA73" s="74"/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  <c r="IM73" s="74"/>
      <c r="IN73" s="74"/>
      <c r="IO73" s="74"/>
      <c r="IP73" s="74"/>
      <c r="IQ73" s="74"/>
      <c r="IR73" s="74"/>
      <c r="IS73" s="74"/>
      <c r="IT73" s="74"/>
      <c r="IU73" s="74"/>
      <c r="IV73" s="74"/>
      <c r="IW73" s="74"/>
      <c r="IX73" s="74"/>
      <c r="IY73" s="74"/>
      <c r="IZ73" s="74"/>
      <c r="JA73" s="74"/>
      <c r="JB73" s="74"/>
      <c r="JC73" s="74"/>
      <c r="JD73" s="74"/>
      <c r="JE73" s="74"/>
      <c r="JF73" s="74"/>
      <c r="JG73" s="74"/>
      <c r="JH73" s="74"/>
    </row>
    <row r="74" spans="1:268" s="66" customFormat="1" ht="18" customHeight="1">
      <c r="A74" s="401" t="s">
        <v>59</v>
      </c>
      <c r="B74" s="402"/>
      <c r="C74" s="29">
        <f>'[1]прогноз '!B71</f>
        <v>2650</v>
      </c>
      <c r="D74" s="29">
        <f>'[1]прогноз '!C71</f>
        <v>2650</v>
      </c>
      <c r="E74" s="29">
        <v>27</v>
      </c>
      <c r="F74" s="29">
        <f>H74+J74+N74+R74+V74+Z74+AD74+AH74+AL74+AP74+AT74+AX74</f>
        <v>1627</v>
      </c>
      <c r="G74" s="29">
        <v>0</v>
      </c>
      <c r="H74" s="29">
        <v>400</v>
      </c>
      <c r="I74" s="29">
        <v>0</v>
      </c>
      <c r="J74" s="29">
        <v>400</v>
      </c>
      <c r="K74" s="29">
        <f t="shared" ref="K74:L75" si="324">G74+I74</f>
        <v>0</v>
      </c>
      <c r="L74" s="29">
        <f t="shared" si="324"/>
        <v>800</v>
      </c>
      <c r="M74" s="29">
        <v>0</v>
      </c>
      <c r="N74" s="29">
        <v>400</v>
      </c>
      <c r="O74" s="29">
        <f t="shared" ref="O74:P75" si="325">K74+M74</f>
        <v>0</v>
      </c>
      <c r="P74" s="29">
        <f t="shared" si="325"/>
        <v>1200</v>
      </c>
      <c r="Q74" s="29">
        <v>0</v>
      </c>
      <c r="R74" s="29">
        <v>400</v>
      </c>
      <c r="S74" s="29">
        <f t="shared" ref="S74:T75" si="326">O74+Q74</f>
        <v>0</v>
      </c>
      <c r="T74" s="29">
        <f t="shared" si="326"/>
        <v>1600</v>
      </c>
      <c r="U74" s="29">
        <v>0</v>
      </c>
      <c r="V74" s="29">
        <v>0</v>
      </c>
      <c r="W74" s="29">
        <f t="shared" ref="W74:X75" si="327">S74+U74</f>
        <v>0</v>
      </c>
      <c r="X74" s="29">
        <f t="shared" si="327"/>
        <v>1600</v>
      </c>
      <c r="Y74" s="29">
        <v>0</v>
      </c>
      <c r="Z74" s="29">
        <v>0</v>
      </c>
      <c r="AA74" s="29">
        <f t="shared" ref="AA74:AB75" si="328">W74+Y74</f>
        <v>0</v>
      </c>
      <c r="AB74" s="29">
        <f t="shared" si="328"/>
        <v>1600</v>
      </c>
      <c r="AC74" s="29">
        <v>0</v>
      </c>
      <c r="AD74" s="29">
        <v>0</v>
      </c>
      <c r="AE74" s="29">
        <f t="shared" ref="AE74:AF75" si="329">AA74+AC74</f>
        <v>0</v>
      </c>
      <c r="AF74" s="29">
        <f t="shared" si="329"/>
        <v>1600</v>
      </c>
      <c r="AG74" s="29">
        <v>0</v>
      </c>
      <c r="AH74" s="29">
        <v>0</v>
      </c>
      <c r="AI74" s="29">
        <f t="shared" ref="AI74:AJ75" si="330">AE74+AG74</f>
        <v>0</v>
      </c>
      <c r="AJ74" s="29">
        <f t="shared" si="330"/>
        <v>1600</v>
      </c>
      <c r="AK74" s="29">
        <v>0</v>
      </c>
      <c r="AL74" s="29">
        <v>27</v>
      </c>
      <c r="AM74" s="29">
        <f t="shared" ref="AM74:AN75" si="331">AI74+AK74</f>
        <v>0</v>
      </c>
      <c r="AN74" s="29">
        <f t="shared" si="331"/>
        <v>1627</v>
      </c>
      <c r="AO74" s="29">
        <v>0</v>
      </c>
      <c r="AP74" s="29">
        <v>0</v>
      </c>
      <c r="AQ74" s="29">
        <f t="shared" ref="AQ74:AR75" si="332">AM74+AO74</f>
        <v>0</v>
      </c>
      <c r="AR74" s="29">
        <f t="shared" si="332"/>
        <v>1627</v>
      </c>
      <c r="AS74" s="29">
        <v>0</v>
      </c>
      <c r="AT74" s="29">
        <v>0</v>
      </c>
      <c r="AU74" s="29">
        <f t="shared" ref="AU74:AV75" si="333">AQ74+AS74</f>
        <v>0</v>
      </c>
      <c r="AV74" s="29">
        <f t="shared" si="333"/>
        <v>1627</v>
      </c>
      <c r="AW74" s="29">
        <v>0</v>
      </c>
      <c r="AX74" s="29">
        <v>0</v>
      </c>
      <c r="AY74" s="29">
        <v>0</v>
      </c>
      <c r="AZ74" s="29">
        <v>5000</v>
      </c>
      <c r="BA74" s="55">
        <f t="shared" si="285"/>
        <v>-1</v>
      </c>
      <c r="BB74" s="55">
        <f t="shared" si="285"/>
        <v>2.0731407498463428</v>
      </c>
      <c r="BC74" s="29">
        <v>0</v>
      </c>
      <c r="BD74" s="29">
        <v>0</v>
      </c>
      <c r="BE74" s="29">
        <v>0</v>
      </c>
      <c r="BF74" s="29">
        <v>0</v>
      </c>
      <c r="BG74" s="29">
        <f t="shared" ref="BG74:BH75" si="334">BC74+BE74</f>
        <v>0</v>
      </c>
      <c r="BH74" s="29">
        <f t="shared" si="334"/>
        <v>0</v>
      </c>
      <c r="BI74" s="55">
        <f t="shared" si="287"/>
        <v>1</v>
      </c>
      <c r="BJ74" s="55">
        <f t="shared" si="287"/>
        <v>-1</v>
      </c>
      <c r="BK74" s="29">
        <v>0</v>
      </c>
      <c r="BL74" s="29">
        <v>0</v>
      </c>
      <c r="BM74" s="29">
        <f t="shared" ref="BM74:BN75" si="335">BG74+BK74</f>
        <v>0</v>
      </c>
      <c r="BN74" s="29">
        <f t="shared" si="335"/>
        <v>0</v>
      </c>
      <c r="BO74" s="55">
        <f t="shared" si="288"/>
        <v>1</v>
      </c>
      <c r="BP74" s="55">
        <f t="shared" si="288"/>
        <v>-1</v>
      </c>
      <c r="BQ74" s="29"/>
      <c r="BR74" s="29"/>
      <c r="BS74" s="29">
        <f t="shared" ref="BS74:BT75" si="336">BM74+BQ74</f>
        <v>0</v>
      </c>
      <c r="BT74" s="29">
        <f t="shared" si="336"/>
        <v>0</v>
      </c>
      <c r="BU74" s="55">
        <f t="shared" si="289"/>
        <v>1</v>
      </c>
      <c r="BV74" s="55">
        <f t="shared" si="289"/>
        <v>-1</v>
      </c>
      <c r="BW74" s="29"/>
      <c r="BX74" s="29"/>
      <c r="BY74" s="29">
        <f t="shared" ref="BY74:BZ75" si="337">BS74+BW74</f>
        <v>0</v>
      </c>
      <c r="BZ74" s="29">
        <f t="shared" si="337"/>
        <v>0</v>
      </c>
      <c r="CA74" s="55">
        <f t="shared" si="290"/>
        <v>1</v>
      </c>
      <c r="CB74" s="55">
        <f t="shared" si="290"/>
        <v>-1</v>
      </c>
      <c r="CC74" s="29"/>
      <c r="CD74" s="29"/>
      <c r="CE74" s="29">
        <f t="shared" ref="CE74:CF75" si="338">BY74+CC74</f>
        <v>0</v>
      </c>
      <c r="CF74" s="29">
        <f t="shared" si="338"/>
        <v>0</v>
      </c>
      <c r="CG74" s="55">
        <f t="shared" si="291"/>
        <v>1</v>
      </c>
      <c r="CH74" s="55">
        <f t="shared" si="291"/>
        <v>-1</v>
      </c>
      <c r="CI74" s="29"/>
      <c r="CJ74" s="29"/>
      <c r="CK74" s="29">
        <f t="shared" ref="CK74:CL75" si="339">CE74+CI74</f>
        <v>0</v>
      </c>
      <c r="CL74" s="29">
        <f t="shared" si="339"/>
        <v>0</v>
      </c>
      <c r="CM74" s="55">
        <f t="shared" si="292"/>
        <v>1</v>
      </c>
      <c r="CN74" s="55">
        <f t="shared" si="292"/>
        <v>-1</v>
      </c>
      <c r="CO74" s="29"/>
      <c r="CP74" s="29"/>
      <c r="CQ74" s="29">
        <f t="shared" ref="CQ74:CR75" si="340">CK74+CO74</f>
        <v>0</v>
      </c>
      <c r="CR74" s="29">
        <f t="shared" si="340"/>
        <v>0</v>
      </c>
      <c r="CS74" s="55">
        <f t="shared" si="293"/>
        <v>1</v>
      </c>
      <c r="CT74" s="55">
        <f t="shared" si="293"/>
        <v>-1</v>
      </c>
      <c r="CU74" s="29"/>
      <c r="CV74" s="29"/>
      <c r="CW74" s="29">
        <f t="shared" ref="CW74:CX75" si="341">CQ74+CU74</f>
        <v>0</v>
      </c>
      <c r="CX74" s="29">
        <f t="shared" si="341"/>
        <v>0</v>
      </c>
      <c r="CY74" s="55">
        <f t="shared" si="294"/>
        <v>1</v>
      </c>
      <c r="CZ74" s="55">
        <f t="shared" si="294"/>
        <v>-1</v>
      </c>
      <c r="DA74" s="29"/>
      <c r="DB74" s="29"/>
      <c r="DC74" s="29">
        <f t="shared" ref="DC74:DD75" si="342">CW74+DA74</f>
        <v>0</v>
      </c>
      <c r="DD74" s="29">
        <f t="shared" si="342"/>
        <v>0</v>
      </c>
      <c r="DE74" s="55">
        <f t="shared" si="295"/>
        <v>1</v>
      </c>
      <c r="DF74" s="55">
        <f t="shared" si="295"/>
        <v>-1</v>
      </c>
      <c r="DG74" s="29"/>
      <c r="DH74" s="29"/>
      <c r="DI74" s="29">
        <f t="shared" ref="DI74:DJ75" si="343">DC74+DG74</f>
        <v>0</v>
      </c>
      <c r="DJ74" s="29">
        <f t="shared" si="343"/>
        <v>0</v>
      </c>
      <c r="DK74" s="55">
        <f t="shared" si="296"/>
        <v>1</v>
      </c>
      <c r="DL74" s="55">
        <f t="shared" si="296"/>
        <v>-1</v>
      </c>
      <c r="DM74" s="29"/>
      <c r="DN74" s="29"/>
      <c r="DO74" s="29"/>
      <c r="DP74" s="29"/>
      <c r="DQ74" s="29"/>
      <c r="DR74" s="29">
        <v>5000</v>
      </c>
      <c r="DS74" s="55">
        <f>IF($AY$74=0,1,DQ74/$AY$74-1)</f>
        <v>1</v>
      </c>
      <c r="DT74" s="55">
        <f>IF($AZ$74=0,1,DR74/$AZ$74-1)</f>
        <v>0</v>
      </c>
      <c r="DU74" s="55">
        <f>IF($E$74=0,1,DQ74/$E$74-1)</f>
        <v>-1</v>
      </c>
      <c r="DV74" s="55">
        <f>IF($E$74=0,1,DR74/$E$74-1)</f>
        <v>184.18518518518519</v>
      </c>
      <c r="DW74" s="2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  <c r="IW74" s="65"/>
      <c r="IX74" s="65"/>
      <c r="IY74" s="65"/>
      <c r="IZ74" s="65"/>
      <c r="JA74" s="65"/>
      <c r="JB74" s="65"/>
      <c r="JC74" s="65"/>
      <c r="JD74" s="65"/>
      <c r="JE74" s="65"/>
      <c r="JF74" s="65"/>
      <c r="JG74" s="65"/>
      <c r="JH74" s="65"/>
    </row>
    <row r="75" spans="1:268" s="66" customFormat="1" ht="18" customHeight="1">
      <c r="A75" s="401" t="s">
        <v>60</v>
      </c>
      <c r="B75" s="402"/>
      <c r="C75" s="29">
        <f>'[1]прогноз '!B72</f>
        <v>0</v>
      </c>
      <c r="D75" s="29">
        <f>'[1]прогноз '!C72</f>
        <v>0</v>
      </c>
      <c r="E75" s="29">
        <v>380</v>
      </c>
      <c r="F75" s="29">
        <v>3000</v>
      </c>
      <c r="G75" s="29">
        <v>0</v>
      </c>
      <c r="H75" s="29">
        <v>0</v>
      </c>
      <c r="I75" s="29">
        <v>38</v>
      </c>
      <c r="J75" s="29">
        <v>0</v>
      </c>
      <c r="K75" s="29">
        <f t="shared" si="324"/>
        <v>38</v>
      </c>
      <c r="L75" s="29">
        <f t="shared" si="324"/>
        <v>0</v>
      </c>
      <c r="M75" s="29">
        <v>38</v>
      </c>
      <c r="N75" s="29">
        <v>0</v>
      </c>
      <c r="O75" s="29">
        <f t="shared" si="325"/>
        <v>76</v>
      </c>
      <c r="P75" s="29">
        <f t="shared" si="325"/>
        <v>0</v>
      </c>
      <c r="Q75" s="29">
        <v>0</v>
      </c>
      <c r="R75" s="29">
        <v>0</v>
      </c>
      <c r="S75" s="29">
        <f t="shared" si="326"/>
        <v>76</v>
      </c>
      <c r="T75" s="29">
        <f t="shared" si="326"/>
        <v>0</v>
      </c>
      <c r="U75" s="29">
        <v>76</v>
      </c>
      <c r="V75" s="29">
        <v>0</v>
      </c>
      <c r="W75" s="29">
        <f t="shared" si="327"/>
        <v>152</v>
      </c>
      <c r="X75" s="29">
        <f t="shared" si="327"/>
        <v>0</v>
      </c>
      <c r="Y75" s="29">
        <v>0</v>
      </c>
      <c r="Z75" s="29">
        <v>0</v>
      </c>
      <c r="AA75" s="29">
        <f t="shared" si="328"/>
        <v>152</v>
      </c>
      <c r="AB75" s="29">
        <f t="shared" si="328"/>
        <v>0</v>
      </c>
      <c r="AC75" s="29">
        <v>0</v>
      </c>
      <c r="AD75" s="29">
        <v>0</v>
      </c>
      <c r="AE75" s="29">
        <f t="shared" si="329"/>
        <v>152</v>
      </c>
      <c r="AF75" s="29">
        <f t="shared" si="329"/>
        <v>0</v>
      </c>
      <c r="AG75" s="29">
        <v>0</v>
      </c>
      <c r="AH75" s="29">
        <v>0</v>
      </c>
      <c r="AI75" s="29">
        <f t="shared" si="330"/>
        <v>152</v>
      </c>
      <c r="AJ75" s="29">
        <f t="shared" si="330"/>
        <v>0</v>
      </c>
      <c r="AK75" s="29">
        <v>0</v>
      </c>
      <c r="AL75" s="29">
        <v>0</v>
      </c>
      <c r="AM75" s="29">
        <f t="shared" si="331"/>
        <v>152</v>
      </c>
      <c r="AN75" s="29">
        <f t="shared" si="331"/>
        <v>0</v>
      </c>
      <c r="AO75" s="29">
        <v>190</v>
      </c>
      <c r="AP75" s="29">
        <v>0</v>
      </c>
      <c r="AQ75" s="29">
        <f t="shared" si="332"/>
        <v>342</v>
      </c>
      <c r="AR75" s="29">
        <f t="shared" si="332"/>
        <v>0</v>
      </c>
      <c r="AS75" s="29">
        <v>38</v>
      </c>
      <c r="AT75" s="29">
        <v>0</v>
      </c>
      <c r="AU75" s="29">
        <f t="shared" si="333"/>
        <v>380</v>
      </c>
      <c r="AV75" s="29">
        <f t="shared" si="333"/>
        <v>0</v>
      </c>
      <c r="AW75" s="29">
        <v>0</v>
      </c>
      <c r="AX75" s="29">
        <v>0</v>
      </c>
      <c r="AY75" s="29">
        <v>228</v>
      </c>
      <c r="AZ75" s="29">
        <v>5000</v>
      </c>
      <c r="BA75" s="55">
        <f t="shared" si="285"/>
        <v>-0.4</v>
      </c>
      <c r="BB75" s="55">
        <f t="shared" si="285"/>
        <v>0.66666666666666674</v>
      </c>
      <c r="BC75" s="29">
        <v>38</v>
      </c>
      <c r="BD75" s="29">
        <v>0</v>
      </c>
      <c r="BE75" s="29">
        <v>76</v>
      </c>
      <c r="BF75" s="29">
        <v>0</v>
      </c>
      <c r="BG75" s="29">
        <f t="shared" si="334"/>
        <v>114</v>
      </c>
      <c r="BH75" s="29">
        <f t="shared" si="334"/>
        <v>0</v>
      </c>
      <c r="BI75" s="55">
        <f t="shared" si="287"/>
        <v>2</v>
      </c>
      <c r="BJ75" s="55">
        <f t="shared" si="287"/>
        <v>1</v>
      </c>
      <c r="BK75" s="29">
        <v>76</v>
      </c>
      <c r="BL75" s="29">
        <v>0</v>
      </c>
      <c r="BM75" s="29">
        <f t="shared" si="335"/>
        <v>190</v>
      </c>
      <c r="BN75" s="29">
        <f t="shared" si="335"/>
        <v>0</v>
      </c>
      <c r="BO75" s="55">
        <f t="shared" si="288"/>
        <v>1.5</v>
      </c>
      <c r="BP75" s="55">
        <f t="shared" si="288"/>
        <v>1</v>
      </c>
      <c r="BQ75" s="29"/>
      <c r="BR75" s="29"/>
      <c r="BS75" s="29">
        <f t="shared" si="336"/>
        <v>190</v>
      </c>
      <c r="BT75" s="29">
        <f t="shared" si="336"/>
        <v>0</v>
      </c>
      <c r="BU75" s="55">
        <f t="shared" si="289"/>
        <v>1.5</v>
      </c>
      <c r="BV75" s="55">
        <f t="shared" si="289"/>
        <v>1</v>
      </c>
      <c r="BW75" s="29"/>
      <c r="BX75" s="29"/>
      <c r="BY75" s="29">
        <f t="shared" si="337"/>
        <v>190</v>
      </c>
      <c r="BZ75" s="29">
        <f t="shared" si="337"/>
        <v>0</v>
      </c>
      <c r="CA75" s="55">
        <f t="shared" si="290"/>
        <v>0.25</v>
      </c>
      <c r="CB75" s="55">
        <f t="shared" si="290"/>
        <v>1</v>
      </c>
      <c r="CC75" s="29"/>
      <c r="CD75" s="29"/>
      <c r="CE75" s="29">
        <f t="shared" si="338"/>
        <v>190</v>
      </c>
      <c r="CF75" s="29">
        <f t="shared" si="338"/>
        <v>0</v>
      </c>
      <c r="CG75" s="55">
        <f t="shared" si="291"/>
        <v>0.25</v>
      </c>
      <c r="CH75" s="55">
        <f t="shared" si="291"/>
        <v>1</v>
      </c>
      <c r="CI75" s="29"/>
      <c r="CJ75" s="29"/>
      <c r="CK75" s="29">
        <f t="shared" si="339"/>
        <v>190</v>
      </c>
      <c r="CL75" s="29">
        <f t="shared" si="339"/>
        <v>0</v>
      </c>
      <c r="CM75" s="55">
        <f t="shared" si="292"/>
        <v>0.25</v>
      </c>
      <c r="CN75" s="55">
        <f t="shared" si="292"/>
        <v>1</v>
      </c>
      <c r="CO75" s="29"/>
      <c r="CP75" s="29"/>
      <c r="CQ75" s="29">
        <f t="shared" si="340"/>
        <v>190</v>
      </c>
      <c r="CR75" s="29">
        <f t="shared" si="340"/>
        <v>0</v>
      </c>
      <c r="CS75" s="55">
        <f t="shared" si="293"/>
        <v>0.25</v>
      </c>
      <c r="CT75" s="55">
        <f t="shared" si="293"/>
        <v>1</v>
      </c>
      <c r="CU75" s="29"/>
      <c r="CV75" s="29"/>
      <c r="CW75" s="29">
        <f t="shared" si="341"/>
        <v>190</v>
      </c>
      <c r="CX75" s="29">
        <f t="shared" si="341"/>
        <v>0</v>
      </c>
      <c r="CY75" s="55">
        <f t="shared" si="294"/>
        <v>0.25</v>
      </c>
      <c r="CZ75" s="55">
        <f t="shared" si="294"/>
        <v>1</v>
      </c>
      <c r="DA75" s="29"/>
      <c r="DB75" s="29"/>
      <c r="DC75" s="29">
        <f t="shared" si="342"/>
        <v>190</v>
      </c>
      <c r="DD75" s="29">
        <f t="shared" si="342"/>
        <v>0</v>
      </c>
      <c r="DE75" s="55">
        <f t="shared" si="295"/>
        <v>-0.44444444444444442</v>
      </c>
      <c r="DF75" s="55">
        <f t="shared" si="295"/>
        <v>1</v>
      </c>
      <c r="DG75" s="29"/>
      <c r="DH75" s="29"/>
      <c r="DI75" s="29">
        <f t="shared" si="343"/>
        <v>190</v>
      </c>
      <c r="DJ75" s="29">
        <f t="shared" si="343"/>
        <v>0</v>
      </c>
      <c r="DK75" s="55">
        <f t="shared" si="296"/>
        <v>-0.5</v>
      </c>
      <c r="DL75" s="55">
        <f t="shared" si="296"/>
        <v>1</v>
      </c>
      <c r="DM75" s="29"/>
      <c r="DN75" s="29"/>
      <c r="DO75" s="29"/>
      <c r="DP75" s="29"/>
      <c r="DQ75" s="29"/>
      <c r="DR75" s="29">
        <v>5000</v>
      </c>
      <c r="DS75" s="55">
        <f>IF($AY$75=0,1,DQ75/$AY$75-1)</f>
        <v>-1</v>
      </c>
      <c r="DT75" s="55">
        <f>IF($AZ$75=0,1,DR75/$AZ$75-1)</f>
        <v>0</v>
      </c>
      <c r="DU75" s="55">
        <f>IF($E$75=0,1,DQ75/$E$75-1)</f>
        <v>-1</v>
      </c>
      <c r="DV75" s="55">
        <f>IF($E$75=0,1,DR75/$E$75-1)</f>
        <v>12.157894736842104</v>
      </c>
      <c r="DW75" s="2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  <c r="IW75" s="65"/>
      <c r="IX75" s="65"/>
      <c r="IY75" s="65"/>
      <c r="IZ75" s="65"/>
      <c r="JA75" s="65"/>
      <c r="JB75" s="65"/>
      <c r="JC75" s="65"/>
      <c r="JD75" s="65"/>
      <c r="JE75" s="65"/>
      <c r="JF75" s="65"/>
      <c r="JG75" s="65"/>
      <c r="JH75" s="65"/>
    </row>
    <row r="76" spans="1:268" s="66" customFormat="1" ht="18" customHeight="1">
      <c r="A76" s="399" t="s">
        <v>61</v>
      </c>
      <c r="B76" s="400"/>
      <c r="C76" s="96">
        <f t="shared" ref="C76:AH76" si="344">(C75+C72+C69+C36)-(C8+C68+C71+C74)</f>
        <v>-567947.80000000016</v>
      </c>
      <c r="D76" s="96">
        <f t="shared" si="344"/>
        <v>-67196.650000000023</v>
      </c>
      <c r="E76" s="96">
        <f t="shared" si="344"/>
        <v>-205623.69999999995</v>
      </c>
      <c r="F76" s="96">
        <f t="shared" si="344"/>
        <v>-74501.300000000163</v>
      </c>
      <c r="G76" s="96">
        <f t="shared" si="344"/>
        <v>-7283</v>
      </c>
      <c r="H76" s="96">
        <f t="shared" si="344"/>
        <v>-7487.2999999999956</v>
      </c>
      <c r="I76" s="96">
        <f t="shared" si="344"/>
        <v>-21091.199999999997</v>
      </c>
      <c r="J76" s="96">
        <f t="shared" si="344"/>
        <v>-19071.69999999999</v>
      </c>
      <c r="K76" s="96">
        <f t="shared" si="344"/>
        <v>-28374.199999999983</v>
      </c>
      <c r="L76" s="96">
        <f t="shared" si="344"/>
        <v>-26559</v>
      </c>
      <c r="M76" s="96">
        <f t="shared" si="344"/>
        <v>569.60000000000582</v>
      </c>
      <c r="N76" s="96">
        <f t="shared" si="344"/>
        <v>899.20000000001164</v>
      </c>
      <c r="O76" s="96">
        <f t="shared" si="344"/>
        <v>-27804.599999999977</v>
      </c>
      <c r="P76" s="96">
        <f t="shared" si="344"/>
        <v>-25659.799999999988</v>
      </c>
      <c r="Q76" s="96">
        <f t="shared" si="344"/>
        <v>-15689</v>
      </c>
      <c r="R76" s="96">
        <f t="shared" si="344"/>
        <v>-19195.010000000002</v>
      </c>
      <c r="S76" s="96">
        <f t="shared" si="344"/>
        <v>-43493.600000000064</v>
      </c>
      <c r="T76" s="96">
        <f t="shared" si="344"/>
        <v>-44854.810000000027</v>
      </c>
      <c r="U76" s="96">
        <f t="shared" si="344"/>
        <v>-11653.600000000013</v>
      </c>
      <c r="V76" s="96">
        <f t="shared" si="344"/>
        <v>-5413.5999999999913</v>
      </c>
      <c r="W76" s="96">
        <f t="shared" si="344"/>
        <v>-55147.20000000007</v>
      </c>
      <c r="X76" s="96">
        <f t="shared" si="344"/>
        <v>-50268.410000000033</v>
      </c>
      <c r="Y76" s="96">
        <f t="shared" si="344"/>
        <v>-22388.89999999998</v>
      </c>
      <c r="Z76" s="96">
        <f t="shared" si="344"/>
        <v>-14824</v>
      </c>
      <c r="AA76" s="96">
        <f t="shared" si="344"/>
        <v>-77536.099999999977</v>
      </c>
      <c r="AB76" s="96">
        <f t="shared" si="344"/>
        <v>-65092.410000000033</v>
      </c>
      <c r="AC76" s="96">
        <f t="shared" si="344"/>
        <v>2639.5999999999913</v>
      </c>
      <c r="AD76" s="96">
        <f t="shared" si="344"/>
        <v>4105.6999999999825</v>
      </c>
      <c r="AE76" s="96">
        <f t="shared" si="344"/>
        <v>-74896.500000000116</v>
      </c>
      <c r="AF76" s="96">
        <f t="shared" si="344"/>
        <v>-60986.710000000021</v>
      </c>
      <c r="AG76" s="96">
        <f t="shared" si="344"/>
        <v>2711.1999999999825</v>
      </c>
      <c r="AH76" s="96">
        <f t="shared" si="344"/>
        <v>5152.7100000000064</v>
      </c>
      <c r="AI76" s="96">
        <f t="shared" ref="AI76:AZ76" si="345">(AI75+AI72+AI69+AI36)-(AI8+AI68+AI71+AI74)</f>
        <v>-72185.300000000105</v>
      </c>
      <c r="AJ76" s="96">
        <f t="shared" si="345"/>
        <v>-55833.999999999942</v>
      </c>
      <c r="AK76" s="96">
        <f t="shared" si="345"/>
        <v>-10901.099999999969</v>
      </c>
      <c r="AL76" s="96">
        <f t="shared" si="345"/>
        <v>-6873.2000000000189</v>
      </c>
      <c r="AM76" s="96">
        <f t="shared" si="345"/>
        <v>-83086.40000000014</v>
      </c>
      <c r="AN76" s="96">
        <f t="shared" si="345"/>
        <v>-62707.20000000007</v>
      </c>
      <c r="AO76" s="96">
        <f t="shared" si="345"/>
        <v>-8244.0000000000291</v>
      </c>
      <c r="AP76" s="96">
        <f t="shared" si="345"/>
        <v>-3935.3000000000466</v>
      </c>
      <c r="AQ76" s="96">
        <f t="shared" si="345"/>
        <v>-91330.40000000014</v>
      </c>
      <c r="AR76" s="96">
        <f t="shared" si="345"/>
        <v>-66642.5</v>
      </c>
      <c r="AS76" s="96">
        <f t="shared" si="345"/>
        <v>-38796.300000000003</v>
      </c>
      <c r="AT76" s="96">
        <f t="shared" si="345"/>
        <v>4.1000000000058208</v>
      </c>
      <c r="AU76" s="96">
        <f t="shared" si="345"/>
        <v>-130126.69999999995</v>
      </c>
      <c r="AV76" s="96">
        <f t="shared" si="345"/>
        <v>-66638.400000000023</v>
      </c>
      <c r="AW76" s="96">
        <f t="shared" si="345"/>
        <v>-65151</v>
      </c>
      <c r="AX76" s="96">
        <f t="shared" si="345"/>
        <v>-10862.899999999994</v>
      </c>
      <c r="AY76" s="96">
        <f t="shared" si="345"/>
        <v>-190494.40000000002</v>
      </c>
      <c r="AZ76" s="96">
        <f t="shared" si="345"/>
        <v>-93657.400000000023</v>
      </c>
      <c r="BA76" s="54">
        <f t="shared" si="285"/>
        <v>-7.3577608028646213E-2</v>
      </c>
      <c r="BB76" s="54">
        <f t="shared" si="285"/>
        <v>0.25712437232638652</v>
      </c>
      <c r="BC76" s="96">
        <f t="shared" ref="BC76:BH76" si="346">(BC75+BC72+BC69+BC36)-(BC8+BC68+BC71+BC74)</f>
        <v>-8548.5999999999985</v>
      </c>
      <c r="BD76" s="96">
        <f t="shared" si="346"/>
        <v>-3229.1999999999971</v>
      </c>
      <c r="BE76" s="96">
        <f t="shared" si="346"/>
        <v>-6640.0999999999985</v>
      </c>
      <c r="BF76" s="96">
        <f t="shared" si="346"/>
        <v>276</v>
      </c>
      <c r="BG76" s="96">
        <f t="shared" si="346"/>
        <v>-15188.699999999997</v>
      </c>
      <c r="BH76" s="96">
        <f t="shared" si="346"/>
        <v>-2953.1999999999971</v>
      </c>
      <c r="BI76" s="54">
        <f t="shared" si="287"/>
        <v>-0.46470032635281322</v>
      </c>
      <c r="BJ76" s="54">
        <f t="shared" si="287"/>
        <v>-0.88880605444482108</v>
      </c>
      <c r="BK76" s="96">
        <f>(BK75+BK72+BK69+BK36)-(BK8+BK68+BK71+BK74)</f>
        <v>-39827.899999999994</v>
      </c>
      <c r="BL76" s="96">
        <f>(BL75+BL72+BL69+BL36)-(BL8+BL68+BL71+BL74)</f>
        <v>-5762.8000000000029</v>
      </c>
      <c r="BM76" s="96">
        <f>(BM75+BM72+BM69+BM36)-(BM8+BM68+BM71+BM74)</f>
        <v>-55016.600000000006</v>
      </c>
      <c r="BN76" s="96">
        <f>(BN75+BN72+BN69+BN36)-(BN8+BN68+BN71+BN74)</f>
        <v>-8716.0000000000291</v>
      </c>
      <c r="BO76" s="54">
        <f t="shared" si="288"/>
        <v>0.97868697985225661</v>
      </c>
      <c r="BP76" s="54">
        <f t="shared" si="288"/>
        <v>-0.66032471024715567</v>
      </c>
      <c r="BQ76" s="96">
        <f>(BQ75+BQ72+BQ69+BQ36)-(BQ8+BQ68+BQ71+BQ74)</f>
        <v>0</v>
      </c>
      <c r="BR76" s="96">
        <f>(BR75+BR72+BR69+BR36)-(BR8+BR68+BR71+BR74)</f>
        <v>0</v>
      </c>
      <c r="BS76" s="96">
        <f>(BS75+BS72+BS69+BS36)-(BS8+BS68+BS71+BS74)</f>
        <v>-55016.600000000006</v>
      </c>
      <c r="BT76" s="96">
        <f>(BT75+BT72+BT69+BT36)-(BT8+BT68+BT71+BT74)</f>
        <v>-8716.0000000000291</v>
      </c>
      <c r="BU76" s="54">
        <f t="shared" si="289"/>
        <v>0.26493553074475162</v>
      </c>
      <c r="BV76" s="54">
        <f t="shared" si="289"/>
        <v>-0.80568416185465896</v>
      </c>
      <c r="BW76" s="96">
        <f>(BW75+BW72+BW69+BW36)-(BW8+BW68+BW71+BW74)</f>
        <v>0</v>
      </c>
      <c r="BX76" s="96">
        <f>(BX75+BX72+BX69+BX36)-(BX8+BX68+BX71+BX74)</f>
        <v>0</v>
      </c>
      <c r="BY76" s="96">
        <f>(BY75+BY72+BY69+BY36)-(BY8+BY68+BY71+BY74)</f>
        <v>-55016.600000000006</v>
      </c>
      <c r="BZ76" s="96">
        <f>(BZ75+BZ72+BZ69+BZ36)-(BZ8+BZ68+BZ71+BZ74)</f>
        <v>-8716.0000000000291</v>
      </c>
      <c r="CA76" s="54">
        <f t="shared" si="290"/>
        <v>-2.3682072707238433E-3</v>
      </c>
      <c r="CB76" s="54">
        <f t="shared" si="290"/>
        <v>-0.82661078796802956</v>
      </c>
      <c r="CC76" s="96">
        <f>(CC75+CC72+CC69+CC36)-(CC8+CC68+CC71+CC74)</f>
        <v>0</v>
      </c>
      <c r="CD76" s="96">
        <f>(CD75+CD72+CD69+CD36)-(CD8+CD68+CD71+CD74)</f>
        <v>0</v>
      </c>
      <c r="CE76" s="96">
        <f>(CE75+CE72+CE69+CE36)-(CE8+CE68+CE71+CE74)</f>
        <v>-55016.600000000006</v>
      </c>
      <c r="CF76" s="96">
        <f>(CF75+CF72+CF69+CF36)-(CF8+CF68+CF71+CF74)</f>
        <v>-8716.0000000000291</v>
      </c>
      <c r="CG76" s="54">
        <f t="shared" si="291"/>
        <v>-0.29043890523253013</v>
      </c>
      <c r="CH76" s="54">
        <f t="shared" si="291"/>
        <v>-0.86609805966624953</v>
      </c>
      <c r="CI76" s="96">
        <f>(CI75+CI72+CI69+CI36)-(CI8+CI68+CI71+CI74)</f>
        <v>0</v>
      </c>
      <c r="CJ76" s="96">
        <f>(CJ75+CJ72+CJ69+CJ36)-(CJ8+CJ68+CJ71+CJ74)</f>
        <v>0</v>
      </c>
      <c r="CK76" s="96">
        <f>(CK75+CK72+CK69+CK36)-(CK8+CK68+CK71+CK74)</f>
        <v>-55016.600000000006</v>
      </c>
      <c r="CL76" s="96">
        <f>(CL75+CL72+CL69+CL36)-(CL8+CL68+CL71+CL74)</f>
        <v>-8716.0000000000291</v>
      </c>
      <c r="CM76" s="54">
        <f t="shared" si="292"/>
        <v>-0.26543162898132866</v>
      </c>
      <c r="CN76" s="54">
        <f t="shared" si="292"/>
        <v>-0.85708361707001368</v>
      </c>
      <c r="CO76" s="96">
        <f>(CO75+CO72+CO69+CO36)-(CO8+CO68+CO71+CO74)</f>
        <v>0</v>
      </c>
      <c r="CP76" s="96">
        <f>(CP75+CP72+CP69+CP36)-(CP8+CP68+CP71+CP74)</f>
        <v>0</v>
      </c>
      <c r="CQ76" s="96">
        <f>(CQ75+CQ72+CQ69+CQ36)-(CQ8+CQ68+CQ71+CQ74)</f>
        <v>-55016.600000000006</v>
      </c>
      <c r="CR76" s="96">
        <f>(CR75+CR72+CR69+CR36)-(CR8+CR68+CR71+CR74)</f>
        <v>-8716.0000000000291</v>
      </c>
      <c r="CS76" s="54">
        <f t="shared" si="293"/>
        <v>-0.23784205371453848</v>
      </c>
      <c r="CT76" s="54">
        <f t="shared" si="293"/>
        <v>-0.84389440126087978</v>
      </c>
      <c r="CU76" s="96">
        <f>(CU75+CU72+CU69+CU36)-(CU8+CU68+CU71+CU74)</f>
        <v>0</v>
      </c>
      <c r="CV76" s="96">
        <f>(CV75+CV72+CV69+CV36)-(CV8+CV68+CV71+CV74)</f>
        <v>0</v>
      </c>
      <c r="CW76" s="96">
        <f>(CW75+CW72+CW69+CW36)-(CW8+CW68+CW71+CW74)</f>
        <v>-55016.600000000006</v>
      </c>
      <c r="CX76" s="96">
        <f>(CX75+CX72+CX69+CX36)-(CX8+CX68+CX71+CX74)</f>
        <v>-8716.0000000000291</v>
      </c>
      <c r="CY76" s="54">
        <f t="shared" si="294"/>
        <v>-0.3378386835872067</v>
      </c>
      <c r="CZ76" s="54">
        <f t="shared" si="294"/>
        <v>-0.86100479689732567</v>
      </c>
      <c r="DA76" s="96">
        <f>(DA75+DA72+DA69+DA36)-(DA8+DA68+DA71+DA74)</f>
        <v>0</v>
      </c>
      <c r="DB76" s="96">
        <f>(DB75+DB72+DB69+DB36)-(DB8+DB68+DB71+DB74)</f>
        <v>0</v>
      </c>
      <c r="DC76" s="96">
        <f>(DC75+DC72+DC69+DC36)-(DC8+DC68+DC71+DC74)</f>
        <v>-55016.600000000006</v>
      </c>
      <c r="DD76" s="96">
        <f>(DD75+DD72+DD69+DD36)-(DD8+DD68+DD71+DD74)</f>
        <v>-8716.0000000000291</v>
      </c>
      <c r="DE76" s="54">
        <f t="shared" si="295"/>
        <v>-0.3976091202929154</v>
      </c>
      <c r="DF76" s="54">
        <f t="shared" si="295"/>
        <v>-0.86921258956371639</v>
      </c>
      <c r="DG76" s="96">
        <f>(DG75+DG72+DG69+DG36)-(DG8+DG68+DG71+DG74)</f>
        <v>0</v>
      </c>
      <c r="DH76" s="96">
        <f>(DH75+DH72+DH69+DH36)-(DH8+DH68+DH71+DH74)</f>
        <v>0</v>
      </c>
      <c r="DI76" s="96">
        <f>(DI75+DI72+DI69+DI36)-(DI8+DI68+DI71+DI74)</f>
        <v>-55016.600000000006</v>
      </c>
      <c r="DJ76" s="96">
        <f>(DJ75+DJ72+DJ69+DJ36)-(DJ8+DJ68+DJ71+DJ74)</f>
        <v>-8716.0000000000291</v>
      </c>
      <c r="DK76" s="54">
        <f t="shared" si="296"/>
        <v>-0.57720744474423746</v>
      </c>
      <c r="DL76" s="54">
        <f t="shared" si="296"/>
        <v>-0.86920454272611547</v>
      </c>
      <c r="DM76" s="96">
        <f>(DM75+DM72+DM69+DM36)-(DM8+DM68+DM71+DM74)</f>
        <v>0</v>
      </c>
      <c r="DN76" s="96">
        <f>(DN75+DN72+DN69+DN36)-(DN8+DN68+DN71+DN74)</f>
        <v>0</v>
      </c>
      <c r="DO76" s="96">
        <f t="shared" ref="DO76:DR76" si="347">(DO75+DO72+DO69+DO36)-(DO8+DO68+DO71+DO74)</f>
        <v>0</v>
      </c>
      <c r="DP76" s="96">
        <f t="shared" si="347"/>
        <v>0</v>
      </c>
      <c r="DQ76" s="96">
        <f t="shared" si="347"/>
        <v>-138957.90000000002</v>
      </c>
      <c r="DR76" s="96">
        <f t="shared" si="347"/>
        <v>-34077.400000000023</v>
      </c>
      <c r="DS76" s="54">
        <f>IF($AY$76=0,1,DQ76/$AY$76-1)</f>
        <v>-0.27054076130321936</v>
      </c>
      <c r="DT76" s="54">
        <f>IF($AZ$76=0,1,DR76/$AZ$76-1)</f>
        <v>-0.63614834492522732</v>
      </c>
      <c r="DU76" s="54">
        <f>IF($E$76=0,1,DQ76/$E$76-1)</f>
        <v>-0.32421262724092581</v>
      </c>
      <c r="DV76" s="54">
        <f>IF($E$76=0,1,DR76/$E$76-1)</f>
        <v>-0.83427299479583317</v>
      </c>
      <c r="DW76" s="28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  <c r="IW76" s="65"/>
      <c r="IX76" s="65"/>
      <c r="IY76" s="65"/>
      <c r="IZ76" s="65"/>
      <c r="JA76" s="65"/>
      <c r="JB76" s="65"/>
      <c r="JC76" s="65"/>
      <c r="JD76" s="65"/>
      <c r="JE76" s="65"/>
      <c r="JF76" s="65"/>
      <c r="JG76" s="65"/>
      <c r="JH76" s="65"/>
    </row>
    <row r="77" spans="1:268" s="72" customFormat="1" ht="51" customHeight="1">
      <c r="A77" s="403" t="s">
        <v>62</v>
      </c>
      <c r="B77" s="404"/>
      <c r="C77" s="17" t="s">
        <v>51</v>
      </c>
      <c r="D77" s="17" t="s">
        <v>51</v>
      </c>
      <c r="E77" s="17" t="s">
        <v>51</v>
      </c>
      <c r="F77" s="17" t="s">
        <v>51</v>
      </c>
      <c r="G77" s="17" t="s">
        <v>51</v>
      </c>
      <c r="H77" s="17" t="s">
        <v>51</v>
      </c>
      <c r="I77" s="17" t="s">
        <v>51</v>
      </c>
      <c r="J77" s="17" t="s">
        <v>51</v>
      </c>
      <c r="K77" s="17" t="s">
        <v>51</v>
      </c>
      <c r="L77" s="17" t="s">
        <v>51</v>
      </c>
      <c r="M77" s="17" t="s">
        <v>51</v>
      </c>
      <c r="N77" s="17" t="s">
        <v>51</v>
      </c>
      <c r="O77" s="17" t="s">
        <v>51</v>
      </c>
      <c r="P77" s="17" t="s">
        <v>51</v>
      </c>
      <c r="Q77" s="17" t="s">
        <v>51</v>
      </c>
      <c r="R77" s="17" t="s">
        <v>51</v>
      </c>
      <c r="S77" s="17" t="s">
        <v>51</v>
      </c>
      <c r="T77" s="17" t="s">
        <v>51</v>
      </c>
      <c r="U77" s="17" t="s">
        <v>51</v>
      </c>
      <c r="V77" s="17" t="s">
        <v>51</v>
      </c>
      <c r="W77" s="17" t="s">
        <v>51</v>
      </c>
      <c r="X77" s="17" t="s">
        <v>51</v>
      </c>
      <c r="Y77" s="17" t="s">
        <v>51</v>
      </c>
      <c r="Z77" s="17" t="s">
        <v>51</v>
      </c>
      <c r="AA77" s="17" t="s">
        <v>51</v>
      </c>
      <c r="AB77" s="17" t="s">
        <v>51</v>
      </c>
      <c r="AC77" s="17" t="s">
        <v>51</v>
      </c>
      <c r="AD77" s="17" t="s">
        <v>51</v>
      </c>
      <c r="AE77" s="17" t="s">
        <v>51</v>
      </c>
      <c r="AF77" s="17" t="s">
        <v>51</v>
      </c>
      <c r="AG77" s="17" t="s">
        <v>51</v>
      </c>
      <c r="AH77" s="17" t="s">
        <v>51</v>
      </c>
      <c r="AI77" s="17" t="s">
        <v>51</v>
      </c>
      <c r="AJ77" s="17" t="s">
        <v>51</v>
      </c>
      <c r="AK77" s="17" t="s">
        <v>51</v>
      </c>
      <c r="AL77" s="17" t="s">
        <v>51</v>
      </c>
      <c r="AM77" s="17" t="s">
        <v>51</v>
      </c>
      <c r="AN77" s="17" t="s">
        <v>51</v>
      </c>
      <c r="AO77" s="17" t="s">
        <v>51</v>
      </c>
      <c r="AP77" s="17" t="s">
        <v>51</v>
      </c>
      <c r="AQ77" s="17" t="s">
        <v>51</v>
      </c>
      <c r="AR77" s="17" t="s">
        <v>51</v>
      </c>
      <c r="AS77" s="17" t="s">
        <v>51</v>
      </c>
      <c r="AT77" s="17" t="s">
        <v>51</v>
      </c>
      <c r="AU77" s="17" t="s">
        <v>51</v>
      </c>
      <c r="AV77" s="17" t="s">
        <v>51</v>
      </c>
      <c r="AW77" s="17" t="s">
        <v>51</v>
      </c>
      <c r="AX77" s="17" t="s">
        <v>51</v>
      </c>
      <c r="AY77" s="17" t="s">
        <v>51</v>
      </c>
      <c r="AZ77" s="17" t="s">
        <v>51</v>
      </c>
      <c r="BA77" s="17" t="s">
        <v>51</v>
      </c>
      <c r="BB77" s="17" t="s">
        <v>51</v>
      </c>
      <c r="BC77" s="17" t="s">
        <v>51</v>
      </c>
      <c r="BD77" s="17" t="s">
        <v>51</v>
      </c>
      <c r="BE77" s="17" t="s">
        <v>51</v>
      </c>
      <c r="BF77" s="17" t="s">
        <v>51</v>
      </c>
      <c r="BG77" s="17" t="s">
        <v>51</v>
      </c>
      <c r="BH77" s="17" t="s">
        <v>51</v>
      </c>
      <c r="BI77" s="17" t="s">
        <v>51</v>
      </c>
      <c r="BJ77" s="17" t="s">
        <v>51</v>
      </c>
      <c r="BK77" s="17" t="s">
        <v>51</v>
      </c>
      <c r="BL77" s="17" t="s">
        <v>51</v>
      </c>
      <c r="BM77" s="17" t="s">
        <v>51</v>
      </c>
      <c r="BN77" s="17" t="s">
        <v>51</v>
      </c>
      <c r="BO77" s="17" t="s">
        <v>51</v>
      </c>
      <c r="BP77" s="17" t="s">
        <v>51</v>
      </c>
      <c r="BQ77" s="17" t="s">
        <v>51</v>
      </c>
      <c r="BR77" s="17" t="s">
        <v>51</v>
      </c>
      <c r="BS77" s="17" t="s">
        <v>51</v>
      </c>
      <c r="BT77" s="17" t="s">
        <v>51</v>
      </c>
      <c r="BU77" s="17" t="s">
        <v>51</v>
      </c>
      <c r="BV77" s="17" t="s">
        <v>51</v>
      </c>
      <c r="BW77" s="17" t="s">
        <v>51</v>
      </c>
      <c r="BX77" s="17" t="s">
        <v>51</v>
      </c>
      <c r="BY77" s="17" t="s">
        <v>51</v>
      </c>
      <c r="BZ77" s="17" t="s">
        <v>51</v>
      </c>
      <c r="CA77" s="17" t="s">
        <v>51</v>
      </c>
      <c r="CB77" s="17" t="s">
        <v>51</v>
      </c>
      <c r="CC77" s="17" t="s">
        <v>51</v>
      </c>
      <c r="CD77" s="17" t="s">
        <v>51</v>
      </c>
      <c r="CE77" s="17" t="s">
        <v>51</v>
      </c>
      <c r="CF77" s="17" t="s">
        <v>51</v>
      </c>
      <c r="CG77" s="17" t="s">
        <v>51</v>
      </c>
      <c r="CH77" s="17" t="s">
        <v>51</v>
      </c>
      <c r="CI77" s="17" t="s">
        <v>51</v>
      </c>
      <c r="CJ77" s="17" t="s">
        <v>51</v>
      </c>
      <c r="CK77" s="17" t="s">
        <v>51</v>
      </c>
      <c r="CL77" s="17" t="s">
        <v>51</v>
      </c>
      <c r="CM77" s="17" t="s">
        <v>51</v>
      </c>
      <c r="CN77" s="17" t="s">
        <v>51</v>
      </c>
      <c r="CO77" s="17" t="s">
        <v>51</v>
      </c>
      <c r="CP77" s="17" t="s">
        <v>51</v>
      </c>
      <c r="CQ77" s="17" t="s">
        <v>51</v>
      </c>
      <c r="CR77" s="17" t="s">
        <v>51</v>
      </c>
      <c r="CS77" s="17" t="s">
        <v>51</v>
      </c>
      <c r="CT77" s="17" t="s">
        <v>51</v>
      </c>
      <c r="CU77" s="17" t="s">
        <v>51</v>
      </c>
      <c r="CV77" s="17" t="s">
        <v>51</v>
      </c>
      <c r="CW77" s="17" t="s">
        <v>51</v>
      </c>
      <c r="CX77" s="17" t="s">
        <v>51</v>
      </c>
      <c r="CY77" s="17" t="s">
        <v>51</v>
      </c>
      <c r="CZ77" s="17" t="s">
        <v>51</v>
      </c>
      <c r="DA77" s="17" t="s">
        <v>51</v>
      </c>
      <c r="DB77" s="17" t="s">
        <v>51</v>
      </c>
      <c r="DC77" s="17" t="s">
        <v>51</v>
      </c>
      <c r="DD77" s="17" t="s">
        <v>51</v>
      </c>
      <c r="DE77" s="17" t="s">
        <v>51</v>
      </c>
      <c r="DF77" s="17" t="s">
        <v>51</v>
      </c>
      <c r="DG77" s="17" t="s">
        <v>51</v>
      </c>
      <c r="DH77" s="17" t="s">
        <v>51</v>
      </c>
      <c r="DI77" s="17" t="s">
        <v>51</v>
      </c>
      <c r="DJ77" s="17" t="s">
        <v>51</v>
      </c>
      <c r="DK77" s="17" t="s">
        <v>51</v>
      </c>
      <c r="DL77" s="17" t="s">
        <v>51</v>
      </c>
      <c r="DM77" s="17" t="s">
        <v>51</v>
      </c>
      <c r="DN77" s="17" t="s">
        <v>51</v>
      </c>
      <c r="DO77" s="17">
        <f t="shared" ref="DO77:DP77" si="348">DO63+DO66</f>
        <v>0</v>
      </c>
      <c r="DP77" s="17">
        <f t="shared" si="348"/>
        <v>0</v>
      </c>
      <c r="DQ77" s="17" t="s">
        <v>51</v>
      </c>
      <c r="DR77" s="32" t="s">
        <v>51</v>
      </c>
      <c r="DS77" s="17" t="s">
        <v>51</v>
      </c>
      <c r="DT77" s="17" t="s">
        <v>51</v>
      </c>
      <c r="DU77" s="17" t="s">
        <v>51</v>
      </c>
      <c r="DV77" s="17" t="s">
        <v>51</v>
      </c>
      <c r="DW77" s="37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  <c r="IT77" s="71"/>
      <c r="IU77" s="71"/>
      <c r="IV77" s="71"/>
      <c r="IW77" s="71"/>
      <c r="IX77" s="71"/>
      <c r="IY77" s="71"/>
      <c r="IZ77" s="71"/>
      <c r="JA77" s="71"/>
      <c r="JB77" s="71"/>
      <c r="JC77" s="71"/>
      <c r="JD77" s="71"/>
      <c r="JE77" s="71"/>
      <c r="JF77" s="71"/>
      <c r="JG77" s="71"/>
      <c r="JH77" s="71"/>
    </row>
    <row r="78" spans="1:268" s="66" customFormat="1" ht="30" customHeight="1">
      <c r="A78" s="405" t="s">
        <v>63</v>
      </c>
      <c r="B78" s="406"/>
      <c r="C78" s="80"/>
      <c r="D78" s="80"/>
      <c r="E78" s="80"/>
      <c r="F78" s="80"/>
      <c r="G78" s="80"/>
      <c r="H78" s="80"/>
      <c r="I78" s="80"/>
      <c r="J78" s="80"/>
      <c r="K78" s="93"/>
      <c r="L78" s="93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96"/>
      <c r="BC78" s="80"/>
      <c r="BD78" s="80"/>
      <c r="BE78" s="80"/>
      <c r="BF78" s="80"/>
      <c r="BG78" s="93"/>
      <c r="BH78" s="93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96"/>
      <c r="DR78" s="96"/>
      <c r="DS78" s="80"/>
      <c r="DT78" s="80"/>
      <c r="DU78" s="80"/>
      <c r="DV78" s="80"/>
      <c r="DW78" s="28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  <c r="IW78" s="65"/>
      <c r="IX78" s="65"/>
      <c r="IY78" s="65"/>
      <c r="IZ78" s="65"/>
      <c r="JA78" s="65"/>
      <c r="JB78" s="65"/>
      <c r="JC78" s="65"/>
      <c r="JD78" s="65"/>
      <c r="JE78" s="65"/>
      <c r="JF78" s="65"/>
      <c r="JG78" s="65"/>
      <c r="JH78" s="65"/>
    </row>
    <row r="79" spans="1:268" s="82" customFormat="1" ht="19.5" customHeight="1">
      <c r="A79" s="286" t="s">
        <v>136</v>
      </c>
      <c r="B79" s="287"/>
      <c r="C79" s="92"/>
      <c r="D79" s="92"/>
      <c r="E79" s="92"/>
      <c r="F79" s="92"/>
      <c r="G79" s="92"/>
      <c r="H79" s="92"/>
      <c r="I79" s="92"/>
      <c r="J79" s="92"/>
      <c r="L79" s="94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81"/>
      <c r="BB79" s="17"/>
      <c r="BC79" s="81"/>
      <c r="BD79" s="81"/>
      <c r="BE79" s="81"/>
      <c r="BF79" s="81"/>
      <c r="BH79" s="94"/>
      <c r="BI79" s="81"/>
      <c r="BJ79" s="81"/>
      <c r="BK79" s="81"/>
      <c r="BL79" s="81"/>
      <c r="BM79" s="92"/>
      <c r="BN79" s="92"/>
      <c r="BO79" s="81"/>
      <c r="BP79" s="81"/>
      <c r="BQ79" s="92"/>
      <c r="BR79" s="92"/>
      <c r="BS79" s="92"/>
      <c r="BT79" s="92"/>
      <c r="BU79" s="81"/>
      <c r="BV79" s="81"/>
      <c r="BW79" s="92"/>
      <c r="BX79" s="92"/>
      <c r="BY79" s="92"/>
      <c r="BZ79" s="92"/>
      <c r="CA79" s="81"/>
      <c r="CB79" s="81"/>
      <c r="CC79" s="92"/>
      <c r="CD79" s="92"/>
      <c r="CE79" s="92"/>
      <c r="CF79" s="92"/>
      <c r="CG79" s="81"/>
      <c r="CH79" s="81"/>
      <c r="CI79" s="92"/>
      <c r="CJ79" s="92"/>
      <c r="CK79" s="92"/>
      <c r="CL79" s="92"/>
      <c r="CM79" s="81"/>
      <c r="CN79" s="81"/>
      <c r="CO79" s="92"/>
      <c r="CP79" s="92"/>
      <c r="CQ79" s="92"/>
      <c r="CR79" s="92"/>
      <c r="CS79" s="81"/>
      <c r="CT79" s="81"/>
      <c r="CU79" s="92"/>
      <c r="CV79" s="92"/>
      <c r="CW79" s="92"/>
      <c r="CX79" s="92"/>
      <c r="CY79" s="81"/>
      <c r="CZ79" s="81"/>
      <c r="DA79" s="92"/>
      <c r="DB79" s="92"/>
      <c r="DC79" s="92"/>
      <c r="DD79" s="92"/>
      <c r="DE79" s="81"/>
      <c r="DF79" s="81"/>
      <c r="DG79" s="92"/>
      <c r="DH79" s="92"/>
      <c r="DI79" s="92"/>
      <c r="DJ79" s="92"/>
      <c r="DK79" s="81"/>
      <c r="DL79" s="81"/>
      <c r="DM79" s="92"/>
      <c r="DN79" s="92"/>
      <c r="DO79" s="81"/>
      <c r="DP79" s="81"/>
      <c r="DQ79" s="17"/>
      <c r="DR79" s="17"/>
      <c r="DS79" s="81"/>
      <c r="DT79" s="81"/>
      <c r="DU79" s="81"/>
      <c r="DV79" s="81"/>
      <c r="DW79" s="37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</row>
    <row r="80" spans="1:268" s="104" customFormat="1" ht="18" customHeight="1">
      <c r="A80" s="397" t="s">
        <v>64</v>
      </c>
      <c r="B80" s="398"/>
      <c r="C80" s="29">
        <f>C81+C82+C83+C84+C85+C86</f>
        <v>0</v>
      </c>
      <c r="D80" s="29">
        <f t="shared" ref="D80:AZ80" si="349">D81+D82+D83+D84+D85+D86</f>
        <v>0</v>
      </c>
      <c r="E80" s="29">
        <f t="shared" si="349"/>
        <v>8790.9000000000015</v>
      </c>
      <c r="F80" s="29">
        <f t="shared" si="349"/>
        <v>2192.3000000000002</v>
      </c>
      <c r="G80" s="29">
        <f t="shared" si="349"/>
        <v>770.1</v>
      </c>
      <c r="H80" s="29">
        <f t="shared" si="349"/>
        <v>192.1</v>
      </c>
      <c r="I80" s="29">
        <f t="shared" si="349"/>
        <v>270.60000000000002</v>
      </c>
      <c r="J80" s="29">
        <f t="shared" si="349"/>
        <v>67.5</v>
      </c>
      <c r="K80" s="29">
        <f t="shared" si="349"/>
        <v>1040.7</v>
      </c>
      <c r="L80" s="29">
        <f t="shared" si="349"/>
        <v>259.60000000000002</v>
      </c>
      <c r="M80" s="29">
        <f t="shared" si="349"/>
        <v>1399.2</v>
      </c>
      <c r="N80" s="29">
        <f t="shared" si="349"/>
        <v>349</v>
      </c>
      <c r="O80" s="29">
        <f t="shared" si="349"/>
        <v>2439.9</v>
      </c>
      <c r="P80" s="29">
        <f t="shared" si="349"/>
        <v>608.6</v>
      </c>
      <c r="Q80" s="29">
        <f t="shared" si="349"/>
        <v>579.70000000000005</v>
      </c>
      <c r="R80" s="29">
        <f t="shared" si="349"/>
        <v>144.6</v>
      </c>
      <c r="S80" s="29">
        <f t="shared" si="349"/>
        <v>3019.6000000000004</v>
      </c>
      <c r="T80" s="29">
        <f t="shared" si="349"/>
        <v>753.2</v>
      </c>
      <c r="U80" s="29">
        <f t="shared" si="349"/>
        <v>813.6</v>
      </c>
      <c r="V80" s="29">
        <f t="shared" si="349"/>
        <v>202.9</v>
      </c>
      <c r="W80" s="29">
        <f t="shared" si="349"/>
        <v>3833.2000000000003</v>
      </c>
      <c r="X80" s="29">
        <f t="shared" si="349"/>
        <v>956.1</v>
      </c>
      <c r="Y80" s="29">
        <f t="shared" si="349"/>
        <v>16425.900000000001</v>
      </c>
      <c r="Z80" s="29">
        <f t="shared" si="349"/>
        <v>16106.2</v>
      </c>
      <c r="AA80" s="29">
        <f t="shared" si="349"/>
        <v>20259.099999999999</v>
      </c>
      <c r="AB80" s="29">
        <f t="shared" si="349"/>
        <v>17062.3</v>
      </c>
      <c r="AC80" s="29">
        <f t="shared" si="349"/>
        <v>978.3</v>
      </c>
      <c r="AD80" s="29">
        <f t="shared" si="349"/>
        <v>244</v>
      </c>
      <c r="AE80" s="29">
        <f t="shared" si="349"/>
        <v>21237.4</v>
      </c>
      <c r="AF80" s="29">
        <f t="shared" si="349"/>
        <v>17306.3</v>
      </c>
      <c r="AG80" s="29">
        <f t="shared" si="349"/>
        <v>756.30000000000007</v>
      </c>
      <c r="AH80" s="29">
        <f t="shared" si="349"/>
        <v>188.6</v>
      </c>
      <c r="AI80" s="29">
        <f t="shared" si="349"/>
        <v>21993.7</v>
      </c>
      <c r="AJ80" s="29">
        <f t="shared" si="349"/>
        <v>17494.900000000001</v>
      </c>
      <c r="AK80" s="29">
        <f t="shared" si="349"/>
        <v>623</v>
      </c>
      <c r="AL80" s="29">
        <f t="shared" si="349"/>
        <v>155.4</v>
      </c>
      <c r="AM80" s="29">
        <f t="shared" si="349"/>
        <v>22616.7</v>
      </c>
      <c r="AN80" s="29">
        <f t="shared" si="349"/>
        <v>17650.3</v>
      </c>
      <c r="AO80" s="29">
        <f t="shared" si="349"/>
        <v>841.3</v>
      </c>
      <c r="AP80" s="29">
        <f t="shared" si="349"/>
        <v>209.8</v>
      </c>
      <c r="AQ80" s="29">
        <f t="shared" si="349"/>
        <v>23458</v>
      </c>
      <c r="AR80" s="29">
        <f t="shared" si="349"/>
        <v>17860.099999999999</v>
      </c>
      <c r="AS80" s="29">
        <f t="shared" si="349"/>
        <v>478.8</v>
      </c>
      <c r="AT80" s="29">
        <f t="shared" si="349"/>
        <v>119.4</v>
      </c>
      <c r="AU80" s="29">
        <f t="shared" si="349"/>
        <v>23936.800000000003</v>
      </c>
      <c r="AV80" s="29">
        <f t="shared" si="349"/>
        <v>17979.5</v>
      </c>
      <c r="AW80" s="29">
        <f t="shared" si="349"/>
        <v>4853.1000000000004</v>
      </c>
      <c r="AX80" s="29">
        <f t="shared" si="349"/>
        <v>4212.8</v>
      </c>
      <c r="AY80" s="29">
        <f t="shared" si="349"/>
        <v>9159.2999999999993</v>
      </c>
      <c r="AZ80" s="29">
        <f t="shared" si="349"/>
        <v>2284.5</v>
      </c>
      <c r="BA80" s="55">
        <f t="shared" ref="BA80:BB95" si="350">IF(E80=0,1,AY80/E80-1)</f>
        <v>4.1906971982390573E-2</v>
      </c>
      <c r="BB80" s="55">
        <f t="shared" si="350"/>
        <v>4.2056287916799606E-2</v>
      </c>
      <c r="BC80" s="29">
        <f t="shared" ref="BC80:BH80" si="351">BC81+BC82+BC83+BC84+BC85+BC86</f>
        <v>676.9</v>
      </c>
      <c r="BD80" s="29">
        <f t="shared" si="351"/>
        <v>163.4</v>
      </c>
      <c r="BE80" s="29">
        <f t="shared" si="351"/>
        <v>2.1</v>
      </c>
      <c r="BF80" s="29">
        <f t="shared" si="351"/>
        <v>0.5</v>
      </c>
      <c r="BG80" s="29">
        <f t="shared" si="351"/>
        <v>679</v>
      </c>
      <c r="BH80" s="29">
        <f t="shared" si="351"/>
        <v>163.9</v>
      </c>
      <c r="BI80" s="55">
        <f t="shared" ref="BI80:BJ96" si="352">IF(K80=0,1,BG80/K80-1)</f>
        <v>-0.34755453060440089</v>
      </c>
      <c r="BJ80" s="55">
        <f t="shared" si="352"/>
        <v>-0.36864406779661019</v>
      </c>
      <c r="BK80" s="29">
        <f t="shared" ref="BK80:BN80" si="353">BK81+BK82+BK83+BK84+BK85+BK86</f>
        <v>170.30000000000007</v>
      </c>
      <c r="BL80" s="29">
        <f t="shared" si="353"/>
        <v>368.4</v>
      </c>
      <c r="BM80" s="29">
        <f t="shared" si="353"/>
        <v>849.30000000000007</v>
      </c>
      <c r="BN80" s="29">
        <f t="shared" si="353"/>
        <v>532.29999999999995</v>
      </c>
      <c r="BO80" s="55">
        <f t="shared" ref="BO80:BP96" si="354">IF(O80=0,1,BM80/O80-1)</f>
        <v>-0.65191196360506576</v>
      </c>
      <c r="BP80" s="55">
        <f t="shared" si="354"/>
        <v>-0.12536970095300703</v>
      </c>
      <c r="BQ80" s="29">
        <f t="shared" ref="BQ80:BT80" si="355">BQ81+BQ82+BQ83+BQ84+BQ85+BQ86</f>
        <v>0</v>
      </c>
      <c r="BR80" s="29">
        <f t="shared" si="355"/>
        <v>0</v>
      </c>
      <c r="BS80" s="29">
        <f t="shared" si="355"/>
        <v>849.30000000000007</v>
      </c>
      <c r="BT80" s="29">
        <f t="shared" si="355"/>
        <v>532.29999999999995</v>
      </c>
      <c r="BU80" s="55">
        <f t="shared" ref="BU80:BV96" si="356">IF(S80=0,1,BS80/S80-1)</f>
        <v>-0.71873758113657438</v>
      </c>
      <c r="BV80" s="55">
        <f t="shared" si="356"/>
        <v>-0.29328199681359546</v>
      </c>
      <c r="BW80" s="29">
        <f t="shared" ref="BW80:BZ80" si="357">BW81+BW82+BW83+BW84+BW85+BW86</f>
        <v>0</v>
      </c>
      <c r="BX80" s="29">
        <f t="shared" si="357"/>
        <v>0</v>
      </c>
      <c r="BY80" s="29">
        <f t="shared" si="357"/>
        <v>849.30000000000007</v>
      </c>
      <c r="BZ80" s="29">
        <f t="shared" si="357"/>
        <v>532.29999999999995</v>
      </c>
      <c r="CA80" s="55">
        <f t="shared" ref="CA80:CB96" si="358">IF(W80=0,1,BY80/W80-1)</f>
        <v>-0.7784357716790149</v>
      </c>
      <c r="CB80" s="55">
        <f t="shared" si="358"/>
        <v>-0.44325907331869052</v>
      </c>
      <c r="CC80" s="29">
        <f t="shared" ref="CC80:CF80" si="359">CC81+CC82+CC83+CC84+CC85+CC86</f>
        <v>0</v>
      </c>
      <c r="CD80" s="29">
        <f t="shared" si="359"/>
        <v>0</v>
      </c>
      <c r="CE80" s="29">
        <f t="shared" si="359"/>
        <v>849.30000000000007</v>
      </c>
      <c r="CF80" s="29">
        <f t="shared" si="359"/>
        <v>532.29999999999995</v>
      </c>
      <c r="CG80" s="55">
        <f t="shared" ref="CG80:CH96" si="360">IF(AA80=0,1,CE80/AA80-1)</f>
        <v>-0.95807809823733536</v>
      </c>
      <c r="CH80" s="55">
        <f t="shared" si="360"/>
        <v>-0.96880256471870729</v>
      </c>
      <c r="CI80" s="29">
        <f t="shared" ref="CI80:CL80" si="361">CI81+CI82+CI83+CI84+CI85+CI86</f>
        <v>0</v>
      </c>
      <c r="CJ80" s="29">
        <f t="shared" si="361"/>
        <v>0</v>
      </c>
      <c r="CK80" s="29">
        <f t="shared" si="361"/>
        <v>849.30000000000007</v>
      </c>
      <c r="CL80" s="29">
        <f t="shared" si="361"/>
        <v>532.29999999999995</v>
      </c>
      <c r="CM80" s="55">
        <f t="shared" ref="CM80:CN96" si="362">IF(AE80=0,1,CK80/AE80-1)</f>
        <v>-0.96000922900166685</v>
      </c>
      <c r="CN80" s="55">
        <f t="shared" si="362"/>
        <v>-0.96924241461201988</v>
      </c>
      <c r="CO80" s="29">
        <f t="shared" ref="CO80:CR80" si="363">CO81+CO82+CO83+CO84+CO85+CO86</f>
        <v>0</v>
      </c>
      <c r="CP80" s="29">
        <f t="shared" si="363"/>
        <v>0</v>
      </c>
      <c r="CQ80" s="29">
        <f t="shared" si="363"/>
        <v>849.30000000000007</v>
      </c>
      <c r="CR80" s="29">
        <f t="shared" si="363"/>
        <v>532.29999999999995</v>
      </c>
      <c r="CS80" s="55">
        <f t="shared" ref="CS80:CT96" si="364">IF(AI80=0,1,CQ80/AI80-1)</f>
        <v>-0.96138439644079898</v>
      </c>
      <c r="CT80" s="55">
        <f t="shared" si="364"/>
        <v>-0.9695739901342677</v>
      </c>
      <c r="CU80" s="29">
        <f t="shared" ref="CU80:CX80" si="365">CU81+CU82+CU83+CU84+CU85+CU86</f>
        <v>0</v>
      </c>
      <c r="CV80" s="29">
        <f t="shared" si="365"/>
        <v>0</v>
      </c>
      <c r="CW80" s="29">
        <f t="shared" si="365"/>
        <v>849.30000000000007</v>
      </c>
      <c r="CX80" s="29">
        <f t="shared" si="365"/>
        <v>532.29999999999995</v>
      </c>
      <c r="CY80" s="55">
        <f t="shared" ref="CY80:CZ96" si="366">IF(AM80=0,1,CW80/AM80-1)</f>
        <v>-0.96244810250832347</v>
      </c>
      <c r="CZ80" s="55">
        <f t="shared" si="366"/>
        <v>-0.96984187237610697</v>
      </c>
      <c r="DA80" s="29">
        <f t="shared" ref="DA80:DD80" si="367">DA81+DA82+DA83+DA84+DA85+DA86</f>
        <v>0</v>
      </c>
      <c r="DB80" s="29">
        <f t="shared" si="367"/>
        <v>0</v>
      </c>
      <c r="DC80" s="29">
        <f t="shared" si="367"/>
        <v>849.30000000000007</v>
      </c>
      <c r="DD80" s="29">
        <f t="shared" si="367"/>
        <v>532.29999999999995</v>
      </c>
      <c r="DE80" s="55">
        <f t="shared" ref="DE80:DF96" si="368">IF(AQ80=0,1,DC80/AQ80-1)</f>
        <v>-0.96379486742262765</v>
      </c>
      <c r="DF80" s="55">
        <f t="shared" si="368"/>
        <v>-0.97019613551995787</v>
      </c>
      <c r="DG80" s="29">
        <f t="shared" ref="DG80:DJ80" si="369">DG81+DG82+DG83+DG84+DG85+DG86</f>
        <v>0</v>
      </c>
      <c r="DH80" s="29">
        <f t="shared" si="369"/>
        <v>0</v>
      </c>
      <c r="DI80" s="29">
        <f t="shared" si="369"/>
        <v>849.30000000000007</v>
      </c>
      <c r="DJ80" s="29">
        <f t="shared" si="369"/>
        <v>532.29999999999995</v>
      </c>
      <c r="DK80" s="55">
        <f t="shared" ref="DK80:DL96" si="370">IF(AU80=0,1,DI80/AU80-1)</f>
        <v>-0.96451906687610711</v>
      </c>
      <c r="DL80" s="55">
        <f t="shared" si="370"/>
        <v>-0.97039405990155458</v>
      </c>
      <c r="DM80" s="29">
        <f t="shared" ref="DM80:DR80" si="371">DM81+DM82+DM83+DM84+DM85+DM86</f>
        <v>0</v>
      </c>
      <c r="DN80" s="29">
        <f t="shared" si="371"/>
        <v>0</v>
      </c>
      <c r="DO80" s="29">
        <f t="shared" si="371"/>
        <v>0</v>
      </c>
      <c r="DP80" s="29">
        <f t="shared" si="371"/>
        <v>0</v>
      </c>
      <c r="DQ80" s="29">
        <f t="shared" si="371"/>
        <v>9159</v>
      </c>
      <c r="DR80" s="29">
        <f t="shared" si="371"/>
        <v>2284</v>
      </c>
      <c r="DS80" s="55">
        <f>IF($AY$80=0,1,DQ80/$AY$80-1)</f>
        <v>-3.275359470689132E-5</v>
      </c>
      <c r="DT80" s="55">
        <f>IF($AZ$80=0,1,DR80/$AZ$80-1)</f>
        <v>-2.1886627270739645E-4</v>
      </c>
      <c r="DU80" s="55">
        <f>IF($E$80=0,1,DQ80/$E$80-1)</f>
        <v>4.187284578370809E-2</v>
      </c>
      <c r="DV80" s="55">
        <f>IF($E$80=0,1,DR80/$E$80-1)</f>
        <v>-0.7401858740288253</v>
      </c>
      <c r="DW80" s="25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03"/>
      <c r="FG80" s="103"/>
      <c r="FH80" s="103"/>
      <c r="FI80" s="103"/>
      <c r="FJ80" s="103"/>
      <c r="FK80" s="103"/>
      <c r="FL80" s="103"/>
      <c r="FM80" s="103"/>
      <c r="FN80" s="103"/>
      <c r="FO80" s="103"/>
      <c r="FP80" s="103"/>
      <c r="FQ80" s="103"/>
      <c r="FR80" s="103"/>
      <c r="FS80" s="103"/>
      <c r="FT80" s="103"/>
      <c r="FU80" s="103"/>
      <c r="FV80" s="103"/>
      <c r="FW80" s="103"/>
      <c r="FX80" s="103"/>
      <c r="FY80" s="103"/>
      <c r="FZ80" s="103"/>
      <c r="GA80" s="103"/>
      <c r="GB80" s="103"/>
      <c r="GC80" s="103"/>
      <c r="GD80" s="103"/>
      <c r="GE80" s="103"/>
      <c r="GF80" s="103"/>
      <c r="GG80" s="103"/>
      <c r="GH80" s="103"/>
      <c r="GI80" s="103"/>
      <c r="GJ80" s="103"/>
      <c r="GK80" s="103"/>
      <c r="GL80" s="103"/>
      <c r="GM80" s="103"/>
      <c r="GN80" s="103"/>
      <c r="GO80" s="103"/>
      <c r="GP80" s="103"/>
      <c r="GQ80" s="103"/>
      <c r="GR80" s="103"/>
      <c r="GS80" s="103"/>
      <c r="GT80" s="103"/>
      <c r="GU80" s="103"/>
      <c r="GV80" s="103"/>
      <c r="GW80" s="103"/>
      <c r="GX80" s="103"/>
      <c r="GY80" s="103"/>
      <c r="GZ80" s="103"/>
      <c r="HA80" s="103"/>
      <c r="HB80" s="103"/>
      <c r="HC80" s="103"/>
      <c r="HD80" s="103"/>
      <c r="HE80" s="103"/>
      <c r="HF80" s="103"/>
      <c r="HG80" s="103"/>
      <c r="HH80" s="103"/>
      <c r="HI80" s="103"/>
      <c r="HJ80" s="103"/>
      <c r="HK80" s="103"/>
      <c r="HL80" s="103"/>
      <c r="HM80" s="103"/>
      <c r="HN80" s="103"/>
      <c r="HO80" s="103"/>
      <c r="HP80" s="103"/>
      <c r="HQ80" s="103"/>
      <c r="HR80" s="103"/>
      <c r="HS80" s="103"/>
      <c r="HT80" s="103"/>
      <c r="HU80" s="103"/>
      <c r="HV80" s="103"/>
      <c r="HW80" s="103"/>
      <c r="HX80" s="103"/>
      <c r="HY80" s="103"/>
      <c r="HZ80" s="103"/>
      <c r="IA80" s="103"/>
      <c r="IB80" s="103"/>
      <c r="IC80" s="103"/>
      <c r="ID80" s="103"/>
      <c r="IE80" s="103"/>
      <c r="IF80" s="103"/>
      <c r="IG80" s="103"/>
      <c r="IH80" s="103"/>
      <c r="II80" s="103"/>
      <c r="IJ80" s="103"/>
      <c r="IK80" s="103"/>
      <c r="IL80" s="103"/>
      <c r="IM80" s="103"/>
      <c r="IN80" s="103"/>
      <c r="IO80" s="103"/>
      <c r="IP80" s="103"/>
      <c r="IQ80" s="103"/>
      <c r="IR80" s="103"/>
      <c r="IS80" s="103"/>
      <c r="IT80" s="103"/>
      <c r="IU80" s="103"/>
      <c r="IV80" s="103"/>
      <c r="IW80" s="103"/>
      <c r="IX80" s="103"/>
      <c r="IY80" s="103"/>
      <c r="IZ80" s="103"/>
      <c r="JA80" s="103"/>
      <c r="JB80" s="103"/>
      <c r="JC80" s="103"/>
      <c r="JD80" s="103"/>
      <c r="JE80" s="103"/>
      <c r="JF80" s="103"/>
      <c r="JG80" s="103"/>
      <c r="JH80" s="103"/>
    </row>
    <row r="81" spans="1:268" s="106" customFormat="1" ht="18" customHeight="1">
      <c r="A81" s="292" t="s">
        <v>38</v>
      </c>
      <c r="B81" s="293"/>
      <c r="C81" s="29">
        <f>'[1]прогноз '!B79</f>
        <v>0</v>
      </c>
      <c r="D81" s="29">
        <f>'[1]прогноз '!C79</f>
        <v>0</v>
      </c>
      <c r="E81" s="29">
        <f>G81+I81+M81+Q81+U81+Y81+AC81+AG81+AK81+AO81+AS81+AW81+1</f>
        <v>8790.9000000000015</v>
      </c>
      <c r="F81" s="29">
        <f>H81+J81+N81+R81+V81+Z81+AD81+AH81+AL81+AP81+AT81+AX81</f>
        <v>2192.3000000000002</v>
      </c>
      <c r="G81" s="29">
        <f>578+H81</f>
        <v>770.1</v>
      </c>
      <c r="H81" s="29">
        <v>192.1</v>
      </c>
      <c r="I81" s="29">
        <f>203.1+J81</f>
        <v>270.60000000000002</v>
      </c>
      <c r="J81" s="29">
        <v>67.5</v>
      </c>
      <c r="K81" s="29">
        <f t="shared" ref="K81:L96" si="372">G81+I81</f>
        <v>1040.7</v>
      </c>
      <c r="L81" s="29">
        <f t="shared" si="372"/>
        <v>259.60000000000002</v>
      </c>
      <c r="M81" s="29">
        <f>1050.2+N81</f>
        <v>1399.2</v>
      </c>
      <c r="N81" s="29">
        <v>349</v>
      </c>
      <c r="O81" s="29">
        <f t="shared" ref="O81:P86" si="373">K81+M81</f>
        <v>2439.9</v>
      </c>
      <c r="P81" s="29">
        <f t="shared" si="373"/>
        <v>608.6</v>
      </c>
      <c r="Q81" s="29">
        <f>435.1+R81</f>
        <v>579.70000000000005</v>
      </c>
      <c r="R81" s="29">
        <v>144.6</v>
      </c>
      <c r="S81" s="29">
        <f t="shared" ref="S81:T96" si="374">O81+Q81</f>
        <v>3019.6000000000004</v>
      </c>
      <c r="T81" s="29">
        <f t="shared" si="374"/>
        <v>753.2</v>
      </c>
      <c r="U81" s="29">
        <f>610.7+V81</f>
        <v>813.6</v>
      </c>
      <c r="V81" s="29">
        <v>202.9</v>
      </c>
      <c r="W81" s="29">
        <f t="shared" ref="W81:X96" si="375">S81+U81</f>
        <v>3833.2000000000003</v>
      </c>
      <c r="X81" s="29">
        <f t="shared" si="375"/>
        <v>956.1</v>
      </c>
      <c r="Y81" s="29">
        <f>319.7+Z81</f>
        <v>425.9</v>
      </c>
      <c r="Z81" s="29">
        <v>106.2</v>
      </c>
      <c r="AA81" s="29">
        <f t="shared" ref="AA81:AB96" si="376">W81+Y81</f>
        <v>4259.1000000000004</v>
      </c>
      <c r="AB81" s="29">
        <f t="shared" si="376"/>
        <v>1062.3</v>
      </c>
      <c r="AC81" s="29">
        <f>734.3+AD81</f>
        <v>978.3</v>
      </c>
      <c r="AD81" s="29">
        <v>244</v>
      </c>
      <c r="AE81" s="29">
        <f t="shared" ref="AE81:AF96" si="377">AA81+AC81</f>
        <v>5237.4000000000005</v>
      </c>
      <c r="AF81" s="29">
        <f t="shared" si="377"/>
        <v>1306.3</v>
      </c>
      <c r="AG81" s="29">
        <f>567.7+AH81</f>
        <v>756.30000000000007</v>
      </c>
      <c r="AH81" s="29">
        <v>188.6</v>
      </c>
      <c r="AI81" s="29">
        <f t="shared" ref="AI81:AJ96" si="378">AE81+AG81</f>
        <v>5993.7000000000007</v>
      </c>
      <c r="AJ81" s="29">
        <f t="shared" si="378"/>
        <v>1494.8999999999999</v>
      </c>
      <c r="AK81" s="29">
        <f>467.6+AL81</f>
        <v>623</v>
      </c>
      <c r="AL81" s="29">
        <v>155.4</v>
      </c>
      <c r="AM81" s="29">
        <f t="shared" ref="AM81:AN96" si="379">AI81+AK81</f>
        <v>6616.7000000000007</v>
      </c>
      <c r="AN81" s="29">
        <f t="shared" si="379"/>
        <v>1650.3</v>
      </c>
      <c r="AO81" s="29">
        <f>631.5+AP81</f>
        <v>841.3</v>
      </c>
      <c r="AP81" s="29">
        <v>209.8</v>
      </c>
      <c r="AQ81" s="29">
        <f t="shared" ref="AQ81:AR96" si="380">AM81+AO81</f>
        <v>7458.0000000000009</v>
      </c>
      <c r="AR81" s="29">
        <f t="shared" si="380"/>
        <v>1860.1</v>
      </c>
      <c r="AS81" s="29">
        <f t="shared" ref="AS81:AZ81" si="381">AS18</f>
        <v>478.8</v>
      </c>
      <c r="AT81" s="29">
        <f t="shared" si="381"/>
        <v>119.4</v>
      </c>
      <c r="AU81" s="29">
        <f t="shared" ref="AU81:AV96" si="382">AQ81+AS81</f>
        <v>7936.8000000000011</v>
      </c>
      <c r="AV81" s="29">
        <f t="shared" si="382"/>
        <v>1979.5</v>
      </c>
      <c r="AW81" s="29">
        <f t="shared" si="381"/>
        <v>853.09999999999991</v>
      </c>
      <c r="AX81" s="29">
        <f t="shared" si="381"/>
        <v>212.8</v>
      </c>
      <c r="AY81" s="29">
        <f t="shared" si="381"/>
        <v>9159.2999999999993</v>
      </c>
      <c r="AZ81" s="29">
        <f t="shared" si="381"/>
        <v>2284.5</v>
      </c>
      <c r="BA81" s="55">
        <f t="shared" si="350"/>
        <v>4.1906971982390573E-2</v>
      </c>
      <c r="BB81" s="55">
        <f t="shared" si="350"/>
        <v>4.2056287916799606E-2</v>
      </c>
      <c r="BC81" s="29">
        <f>BC18</f>
        <v>676.9</v>
      </c>
      <c r="BD81" s="29">
        <f>BD18</f>
        <v>163.4</v>
      </c>
      <c r="BE81" s="29">
        <f t="shared" ref="BE81:BL81" si="383">BE18</f>
        <v>2.1</v>
      </c>
      <c r="BF81" s="29">
        <f t="shared" si="383"/>
        <v>0.5</v>
      </c>
      <c r="BG81" s="29">
        <f t="shared" ref="BG81:BH96" si="384">BC81+BE81</f>
        <v>679</v>
      </c>
      <c r="BH81" s="29">
        <f t="shared" si="384"/>
        <v>163.9</v>
      </c>
      <c r="BI81" s="55">
        <f t="shared" si="352"/>
        <v>-0.34755453060440089</v>
      </c>
      <c r="BJ81" s="55">
        <f t="shared" si="352"/>
        <v>-0.36864406779661019</v>
      </c>
      <c r="BK81" s="29">
        <f t="shared" si="383"/>
        <v>170.30000000000007</v>
      </c>
      <c r="BL81" s="29">
        <f t="shared" si="383"/>
        <v>368.4</v>
      </c>
      <c r="BM81" s="29">
        <f t="shared" ref="BM81:BN96" si="385">BG81+BK81</f>
        <v>849.30000000000007</v>
      </c>
      <c r="BN81" s="29">
        <f t="shared" si="385"/>
        <v>532.29999999999995</v>
      </c>
      <c r="BO81" s="55">
        <f t="shared" si="354"/>
        <v>-0.65191196360506576</v>
      </c>
      <c r="BP81" s="55">
        <f t="shared" si="354"/>
        <v>-0.12536970095300703</v>
      </c>
      <c r="BQ81" s="29"/>
      <c r="BR81" s="29"/>
      <c r="BS81" s="29">
        <f t="shared" ref="BS81:BT96" si="386">BM81+BQ81</f>
        <v>849.30000000000007</v>
      </c>
      <c r="BT81" s="29">
        <f t="shared" si="386"/>
        <v>532.29999999999995</v>
      </c>
      <c r="BU81" s="55">
        <f t="shared" si="356"/>
        <v>-0.71873758113657438</v>
      </c>
      <c r="BV81" s="55">
        <f t="shared" si="356"/>
        <v>-0.29328199681359546</v>
      </c>
      <c r="BW81" s="29"/>
      <c r="BX81" s="29"/>
      <c r="BY81" s="29">
        <f t="shared" ref="BY81:BZ96" si="387">BS81+BW81</f>
        <v>849.30000000000007</v>
      </c>
      <c r="BZ81" s="29">
        <f t="shared" si="387"/>
        <v>532.29999999999995</v>
      </c>
      <c r="CA81" s="55">
        <f t="shared" si="358"/>
        <v>-0.7784357716790149</v>
      </c>
      <c r="CB81" s="55">
        <f t="shared" si="358"/>
        <v>-0.44325907331869052</v>
      </c>
      <c r="CC81" s="29"/>
      <c r="CD81" s="29"/>
      <c r="CE81" s="29">
        <f t="shared" ref="CE81:CF96" si="388">BY81+CC81</f>
        <v>849.30000000000007</v>
      </c>
      <c r="CF81" s="29">
        <f t="shared" si="388"/>
        <v>532.29999999999995</v>
      </c>
      <c r="CG81" s="55">
        <f t="shared" si="360"/>
        <v>-0.80059167429738676</v>
      </c>
      <c r="CH81" s="55">
        <f t="shared" si="360"/>
        <v>-0.49891744328344156</v>
      </c>
      <c r="CI81" s="29"/>
      <c r="CJ81" s="29"/>
      <c r="CK81" s="29">
        <f t="shared" ref="CK81:CL96" si="389">CE81+CI81</f>
        <v>849.30000000000007</v>
      </c>
      <c r="CL81" s="29">
        <f t="shared" si="389"/>
        <v>532.29999999999995</v>
      </c>
      <c r="CM81" s="55">
        <f t="shared" si="362"/>
        <v>-0.83783938595486307</v>
      </c>
      <c r="CN81" s="55">
        <f t="shared" si="362"/>
        <v>-0.59251320523616324</v>
      </c>
      <c r="CO81" s="29"/>
      <c r="CP81" s="29"/>
      <c r="CQ81" s="29">
        <f t="shared" ref="CQ81:CR96" si="390">CK81+CO81</f>
        <v>849.30000000000007</v>
      </c>
      <c r="CR81" s="29">
        <f t="shared" si="390"/>
        <v>532.29999999999995</v>
      </c>
      <c r="CS81" s="55">
        <f t="shared" si="364"/>
        <v>-0.85830121627709088</v>
      </c>
      <c r="CT81" s="55">
        <f t="shared" si="364"/>
        <v>-0.64392267041273665</v>
      </c>
      <c r="CU81" s="29"/>
      <c r="CV81" s="29"/>
      <c r="CW81" s="29">
        <f t="shared" ref="CW81:CX96" si="391">CQ81+CU81</f>
        <v>849.30000000000007</v>
      </c>
      <c r="CX81" s="29">
        <f t="shared" si="391"/>
        <v>532.29999999999995</v>
      </c>
      <c r="CY81" s="55">
        <f t="shared" si="366"/>
        <v>-0.87164296401529462</v>
      </c>
      <c r="CZ81" s="55">
        <f t="shared" si="366"/>
        <v>-0.6774525843785979</v>
      </c>
      <c r="DA81" s="29"/>
      <c r="DB81" s="29"/>
      <c r="DC81" s="29">
        <f t="shared" ref="DC81:DD96" si="392">CW81+DA81</f>
        <v>849.30000000000007</v>
      </c>
      <c r="DD81" s="29">
        <f t="shared" si="392"/>
        <v>532.29999999999995</v>
      </c>
      <c r="DE81" s="55">
        <f t="shared" si="368"/>
        <v>-0.88612228479485111</v>
      </c>
      <c r="DF81" s="55">
        <f t="shared" si="368"/>
        <v>-0.71383258964571805</v>
      </c>
      <c r="DG81" s="29"/>
      <c r="DH81" s="29"/>
      <c r="DI81" s="29">
        <f t="shared" ref="DI81:DJ96" si="393">DC81+DG81</f>
        <v>849.30000000000007</v>
      </c>
      <c r="DJ81" s="29">
        <f t="shared" si="393"/>
        <v>532.29999999999995</v>
      </c>
      <c r="DK81" s="55">
        <f t="shared" si="370"/>
        <v>-0.89299213788932563</v>
      </c>
      <c r="DL81" s="55">
        <f t="shared" si="370"/>
        <v>-0.7310937105329629</v>
      </c>
      <c r="DM81" s="29"/>
      <c r="DN81" s="29"/>
      <c r="DO81" s="29"/>
      <c r="DP81" s="29"/>
      <c r="DQ81" s="29">
        <f>DQ18</f>
        <v>9159</v>
      </c>
      <c r="DR81" s="29">
        <f>DR18</f>
        <v>2284</v>
      </c>
      <c r="DS81" s="55">
        <f>IF($AY$81=0,1,DQ81/$AY$81-1)</f>
        <v>-3.275359470689132E-5</v>
      </c>
      <c r="DT81" s="55">
        <f>IF($AZ$81=0,1,DR81/$AZ$81-1)</f>
        <v>-2.1886627270739645E-4</v>
      </c>
      <c r="DU81" s="55">
        <f>IF($E$81=0,1,DQ81/$E$81-1)</f>
        <v>4.187284578370809E-2</v>
      </c>
      <c r="DV81" s="55">
        <f>IF($E$81=0,1,DR81/$E$81-1)</f>
        <v>-0.7401858740288253</v>
      </c>
      <c r="DW81" s="2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  <c r="EW81" s="105"/>
      <c r="EX81" s="105"/>
      <c r="EY81" s="105"/>
      <c r="EZ81" s="105"/>
      <c r="FA81" s="105"/>
      <c r="FB81" s="105"/>
      <c r="FC81" s="105"/>
      <c r="FD81" s="105"/>
      <c r="FE81" s="105"/>
      <c r="FF81" s="105"/>
      <c r="FG81" s="105"/>
      <c r="FH81" s="105"/>
      <c r="FI81" s="105"/>
      <c r="FJ81" s="105"/>
      <c r="FK81" s="105"/>
      <c r="FL81" s="105"/>
      <c r="FM81" s="105"/>
      <c r="FN81" s="105"/>
      <c r="FO81" s="105"/>
      <c r="FP81" s="105"/>
      <c r="FQ81" s="105"/>
      <c r="FR81" s="105"/>
      <c r="FS81" s="105"/>
      <c r="FT81" s="105"/>
      <c r="FU81" s="105"/>
      <c r="FV81" s="105"/>
      <c r="FW81" s="105"/>
      <c r="FX81" s="105"/>
      <c r="FY81" s="105"/>
      <c r="FZ81" s="105"/>
      <c r="GA81" s="105"/>
      <c r="GB81" s="105"/>
      <c r="GC81" s="105"/>
      <c r="GD81" s="105"/>
      <c r="GE81" s="105"/>
      <c r="GF81" s="105"/>
      <c r="GG81" s="105"/>
      <c r="GH81" s="105"/>
      <c r="GI81" s="105"/>
      <c r="GJ81" s="105"/>
      <c r="GK81" s="105"/>
      <c r="GL81" s="105"/>
      <c r="GM81" s="105"/>
      <c r="GN81" s="105"/>
      <c r="GO81" s="105"/>
      <c r="GP81" s="105"/>
      <c r="GQ81" s="105"/>
      <c r="GR81" s="105"/>
      <c r="GS81" s="105"/>
      <c r="GT81" s="105"/>
      <c r="GU81" s="105"/>
      <c r="GV81" s="105"/>
      <c r="GW81" s="105"/>
      <c r="GX81" s="105"/>
      <c r="GY81" s="105"/>
      <c r="GZ81" s="105"/>
      <c r="HA81" s="105"/>
      <c r="HB81" s="105"/>
      <c r="HC81" s="105"/>
      <c r="HD81" s="105"/>
      <c r="HE81" s="105"/>
      <c r="HF81" s="105"/>
      <c r="HG81" s="105"/>
      <c r="HH81" s="105"/>
      <c r="HI81" s="105"/>
      <c r="HJ81" s="105"/>
      <c r="HK81" s="105"/>
      <c r="HL81" s="105"/>
      <c r="HM81" s="105"/>
      <c r="HN81" s="105"/>
      <c r="HO81" s="105"/>
      <c r="HP81" s="105"/>
      <c r="HQ81" s="105"/>
      <c r="HR81" s="105"/>
      <c r="HS81" s="105"/>
      <c r="HT81" s="105"/>
      <c r="HU81" s="105"/>
      <c r="HV81" s="105"/>
      <c r="HW81" s="105"/>
      <c r="HX81" s="105"/>
      <c r="HY81" s="105"/>
      <c r="HZ81" s="105"/>
      <c r="IA81" s="105"/>
      <c r="IB81" s="105"/>
      <c r="IC81" s="105"/>
      <c r="ID81" s="105"/>
      <c r="IE81" s="105"/>
      <c r="IF81" s="105"/>
      <c r="IG81" s="105"/>
      <c r="IH81" s="105"/>
      <c r="II81" s="105"/>
      <c r="IJ81" s="105"/>
      <c r="IK81" s="105"/>
      <c r="IL81" s="105"/>
      <c r="IM81" s="105"/>
      <c r="IN81" s="105"/>
      <c r="IO81" s="105"/>
      <c r="IP81" s="105"/>
      <c r="IQ81" s="105"/>
      <c r="IR81" s="105"/>
      <c r="IS81" s="105"/>
      <c r="IT81" s="105"/>
      <c r="IU81" s="105"/>
      <c r="IV81" s="105"/>
      <c r="IW81" s="105"/>
      <c r="IX81" s="105"/>
      <c r="IY81" s="105"/>
      <c r="IZ81" s="105"/>
      <c r="JA81" s="105"/>
      <c r="JB81" s="105"/>
      <c r="JC81" s="105"/>
      <c r="JD81" s="105"/>
      <c r="JE81" s="105"/>
      <c r="JF81" s="105"/>
      <c r="JG81" s="105"/>
      <c r="JH81" s="105"/>
    </row>
    <row r="82" spans="1:268" s="106" customFormat="1" ht="18" customHeight="1">
      <c r="A82" s="292" t="s">
        <v>65</v>
      </c>
      <c r="B82" s="293"/>
      <c r="C82" s="29">
        <f>'[1]прогноз '!B80</f>
        <v>0</v>
      </c>
      <c r="D82" s="29">
        <f>'[1]прогноз '!C80</f>
        <v>0</v>
      </c>
      <c r="E82" s="29"/>
      <c r="F82" s="29"/>
      <c r="G82" s="29"/>
      <c r="H82" s="29"/>
      <c r="I82" s="29"/>
      <c r="J82" s="29"/>
      <c r="K82" s="29">
        <f t="shared" si="372"/>
        <v>0</v>
      </c>
      <c r="L82" s="29">
        <f t="shared" si="372"/>
        <v>0</v>
      </c>
      <c r="M82" s="29"/>
      <c r="N82" s="29"/>
      <c r="O82" s="29">
        <f t="shared" si="373"/>
        <v>0</v>
      </c>
      <c r="P82" s="29">
        <f t="shared" si="373"/>
        <v>0</v>
      </c>
      <c r="Q82" s="29"/>
      <c r="R82" s="29"/>
      <c r="S82" s="29">
        <f t="shared" si="374"/>
        <v>0</v>
      </c>
      <c r="T82" s="29">
        <f t="shared" si="374"/>
        <v>0</v>
      </c>
      <c r="U82" s="29"/>
      <c r="V82" s="29"/>
      <c r="W82" s="29">
        <f t="shared" si="375"/>
        <v>0</v>
      </c>
      <c r="X82" s="29">
        <f t="shared" si="375"/>
        <v>0</v>
      </c>
      <c r="Y82" s="29"/>
      <c r="Z82" s="29"/>
      <c r="AA82" s="29">
        <f t="shared" si="376"/>
        <v>0</v>
      </c>
      <c r="AB82" s="29">
        <f t="shared" si="376"/>
        <v>0</v>
      </c>
      <c r="AC82" s="29"/>
      <c r="AD82" s="29"/>
      <c r="AE82" s="29">
        <f t="shared" si="377"/>
        <v>0</v>
      </c>
      <c r="AF82" s="29">
        <f t="shared" si="377"/>
        <v>0</v>
      </c>
      <c r="AG82" s="29"/>
      <c r="AH82" s="29"/>
      <c r="AI82" s="29">
        <f t="shared" si="378"/>
        <v>0</v>
      </c>
      <c r="AJ82" s="29">
        <f t="shared" si="378"/>
        <v>0</v>
      </c>
      <c r="AK82" s="29"/>
      <c r="AL82" s="29"/>
      <c r="AM82" s="29">
        <f t="shared" si="379"/>
        <v>0</v>
      </c>
      <c r="AN82" s="29">
        <f t="shared" si="379"/>
        <v>0</v>
      </c>
      <c r="AO82" s="29"/>
      <c r="AP82" s="29"/>
      <c r="AQ82" s="29">
        <f t="shared" si="380"/>
        <v>0</v>
      </c>
      <c r="AR82" s="29">
        <f t="shared" si="380"/>
        <v>0</v>
      </c>
      <c r="AS82" s="29"/>
      <c r="AT82" s="29"/>
      <c r="AU82" s="29">
        <f t="shared" si="382"/>
        <v>0</v>
      </c>
      <c r="AV82" s="29">
        <f t="shared" si="382"/>
        <v>0</v>
      </c>
      <c r="AW82" s="29"/>
      <c r="AX82" s="29"/>
      <c r="AY82" s="29"/>
      <c r="AZ82" s="29"/>
      <c r="BA82" s="55">
        <f t="shared" si="350"/>
        <v>1</v>
      </c>
      <c r="BB82" s="55">
        <f t="shared" si="350"/>
        <v>1</v>
      </c>
      <c r="BC82" s="29"/>
      <c r="BD82" s="29"/>
      <c r="BE82" s="29"/>
      <c r="BF82" s="29"/>
      <c r="BG82" s="29">
        <f t="shared" si="384"/>
        <v>0</v>
      </c>
      <c r="BH82" s="29">
        <f t="shared" si="384"/>
        <v>0</v>
      </c>
      <c r="BI82" s="55">
        <f t="shared" si="352"/>
        <v>1</v>
      </c>
      <c r="BJ82" s="55">
        <f t="shared" si="352"/>
        <v>1</v>
      </c>
      <c r="BK82" s="29"/>
      <c r="BL82" s="29"/>
      <c r="BM82" s="29">
        <f t="shared" si="385"/>
        <v>0</v>
      </c>
      <c r="BN82" s="29">
        <f t="shared" si="385"/>
        <v>0</v>
      </c>
      <c r="BO82" s="55">
        <f t="shared" si="354"/>
        <v>1</v>
      </c>
      <c r="BP82" s="55">
        <f t="shared" si="354"/>
        <v>1</v>
      </c>
      <c r="BQ82" s="29"/>
      <c r="BR82" s="29"/>
      <c r="BS82" s="29">
        <f t="shared" si="386"/>
        <v>0</v>
      </c>
      <c r="BT82" s="29">
        <f t="shared" si="386"/>
        <v>0</v>
      </c>
      <c r="BU82" s="55">
        <f t="shared" si="356"/>
        <v>1</v>
      </c>
      <c r="BV82" s="55">
        <f t="shared" si="356"/>
        <v>1</v>
      </c>
      <c r="BW82" s="29"/>
      <c r="BX82" s="29"/>
      <c r="BY82" s="29">
        <f t="shared" si="387"/>
        <v>0</v>
      </c>
      <c r="BZ82" s="29">
        <f t="shared" si="387"/>
        <v>0</v>
      </c>
      <c r="CA82" s="55">
        <f t="shared" si="358"/>
        <v>1</v>
      </c>
      <c r="CB82" s="55">
        <f t="shared" si="358"/>
        <v>1</v>
      </c>
      <c r="CC82" s="29"/>
      <c r="CD82" s="29"/>
      <c r="CE82" s="29">
        <f t="shared" si="388"/>
        <v>0</v>
      </c>
      <c r="CF82" s="29">
        <f t="shared" si="388"/>
        <v>0</v>
      </c>
      <c r="CG82" s="55">
        <f t="shared" si="360"/>
        <v>1</v>
      </c>
      <c r="CH82" s="55">
        <f t="shared" si="360"/>
        <v>1</v>
      </c>
      <c r="CI82" s="29"/>
      <c r="CJ82" s="29"/>
      <c r="CK82" s="29">
        <f t="shared" si="389"/>
        <v>0</v>
      </c>
      <c r="CL82" s="29">
        <f t="shared" si="389"/>
        <v>0</v>
      </c>
      <c r="CM82" s="55">
        <f t="shared" si="362"/>
        <v>1</v>
      </c>
      <c r="CN82" s="55">
        <f t="shared" si="362"/>
        <v>1</v>
      </c>
      <c r="CO82" s="29"/>
      <c r="CP82" s="29"/>
      <c r="CQ82" s="29">
        <f t="shared" si="390"/>
        <v>0</v>
      </c>
      <c r="CR82" s="29">
        <f t="shared" si="390"/>
        <v>0</v>
      </c>
      <c r="CS82" s="55">
        <f t="shared" si="364"/>
        <v>1</v>
      </c>
      <c r="CT82" s="55">
        <f t="shared" si="364"/>
        <v>1</v>
      </c>
      <c r="CU82" s="29"/>
      <c r="CV82" s="29"/>
      <c r="CW82" s="29">
        <f t="shared" si="391"/>
        <v>0</v>
      </c>
      <c r="CX82" s="29">
        <f t="shared" si="391"/>
        <v>0</v>
      </c>
      <c r="CY82" s="55">
        <f t="shared" si="366"/>
        <v>1</v>
      </c>
      <c r="CZ82" s="55">
        <f t="shared" si="366"/>
        <v>1</v>
      </c>
      <c r="DA82" s="29"/>
      <c r="DB82" s="29"/>
      <c r="DC82" s="29">
        <f t="shared" si="392"/>
        <v>0</v>
      </c>
      <c r="DD82" s="29">
        <f t="shared" si="392"/>
        <v>0</v>
      </c>
      <c r="DE82" s="55">
        <f t="shared" si="368"/>
        <v>1</v>
      </c>
      <c r="DF82" s="55">
        <f t="shared" si="368"/>
        <v>1</v>
      </c>
      <c r="DG82" s="29"/>
      <c r="DH82" s="29"/>
      <c r="DI82" s="29">
        <f t="shared" si="393"/>
        <v>0</v>
      </c>
      <c r="DJ82" s="29">
        <f t="shared" si="393"/>
        <v>0</v>
      </c>
      <c r="DK82" s="55">
        <f t="shared" si="370"/>
        <v>1</v>
      </c>
      <c r="DL82" s="55">
        <f t="shared" si="370"/>
        <v>1</v>
      </c>
      <c r="DM82" s="29"/>
      <c r="DN82" s="29"/>
      <c r="DO82" s="29"/>
      <c r="DP82" s="29"/>
      <c r="DQ82" s="29">
        <v>0</v>
      </c>
      <c r="DR82" s="29">
        <v>0</v>
      </c>
      <c r="DS82" s="55">
        <f>IF($AY$82=0,1,DQ82/$AY$82-1)</f>
        <v>1</v>
      </c>
      <c r="DT82" s="55">
        <f>IF($AZ$82=0,1,DR82/$AZ$82-1)</f>
        <v>1</v>
      </c>
      <c r="DU82" s="55">
        <f>IF($E$82=0,1,DQ82/$E$82-1)</f>
        <v>1</v>
      </c>
      <c r="DV82" s="55">
        <f>IF($E$82=0,1,DR82/$E$82-1)</f>
        <v>1</v>
      </c>
      <c r="DW82" s="25"/>
      <c r="DX82" s="105"/>
      <c r="DY82" s="105"/>
      <c r="DZ82" s="105"/>
      <c r="EA82" s="105"/>
      <c r="EB82" s="105"/>
      <c r="EC82" s="105"/>
      <c r="ED82" s="105"/>
      <c r="EE82" s="105"/>
      <c r="EF82" s="105"/>
      <c r="EG82" s="105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105"/>
      <c r="ES82" s="105"/>
      <c r="ET82" s="105"/>
      <c r="EU82" s="105"/>
      <c r="EV82" s="105"/>
      <c r="EW82" s="105"/>
      <c r="EX82" s="105"/>
      <c r="EY82" s="105"/>
      <c r="EZ82" s="105"/>
      <c r="FA82" s="105"/>
      <c r="FB82" s="105"/>
      <c r="FC82" s="105"/>
      <c r="FD82" s="105"/>
      <c r="FE82" s="105"/>
      <c r="FF82" s="105"/>
      <c r="FG82" s="105"/>
      <c r="FH82" s="105"/>
      <c r="FI82" s="105"/>
      <c r="FJ82" s="105"/>
      <c r="FK82" s="105"/>
      <c r="FL82" s="105"/>
      <c r="FM82" s="105"/>
      <c r="FN82" s="105"/>
      <c r="FO82" s="105"/>
      <c r="FP82" s="105"/>
      <c r="FQ82" s="105"/>
      <c r="FR82" s="105"/>
      <c r="FS82" s="105"/>
      <c r="FT82" s="105"/>
      <c r="FU82" s="105"/>
      <c r="FV82" s="105"/>
      <c r="FW82" s="105"/>
      <c r="FX82" s="105"/>
      <c r="FY82" s="105"/>
      <c r="FZ82" s="105"/>
      <c r="GA82" s="105"/>
      <c r="GB82" s="105"/>
      <c r="GC82" s="105"/>
      <c r="GD82" s="105"/>
      <c r="GE82" s="105"/>
      <c r="GF82" s="105"/>
      <c r="GG82" s="105"/>
      <c r="GH82" s="105"/>
      <c r="GI82" s="105"/>
      <c r="GJ82" s="105"/>
      <c r="GK82" s="105"/>
      <c r="GL82" s="105"/>
      <c r="GM82" s="105"/>
      <c r="GN82" s="105"/>
      <c r="GO82" s="105"/>
      <c r="GP82" s="105"/>
      <c r="GQ82" s="105"/>
      <c r="GR82" s="105"/>
      <c r="GS82" s="105"/>
      <c r="GT82" s="105"/>
      <c r="GU82" s="105"/>
      <c r="GV82" s="105"/>
      <c r="GW82" s="105"/>
      <c r="GX82" s="105"/>
      <c r="GY82" s="105"/>
      <c r="GZ82" s="105"/>
      <c r="HA82" s="105"/>
      <c r="HB82" s="105"/>
      <c r="HC82" s="105"/>
      <c r="HD82" s="105"/>
      <c r="HE82" s="105"/>
      <c r="HF82" s="105"/>
      <c r="HG82" s="105"/>
      <c r="HH82" s="105"/>
      <c r="HI82" s="105"/>
      <c r="HJ82" s="105"/>
      <c r="HK82" s="105"/>
      <c r="HL82" s="105"/>
      <c r="HM82" s="105"/>
      <c r="HN82" s="105"/>
      <c r="HO82" s="105"/>
      <c r="HP82" s="105"/>
      <c r="HQ82" s="105"/>
      <c r="HR82" s="105"/>
      <c r="HS82" s="105"/>
      <c r="HT82" s="105"/>
      <c r="HU82" s="105"/>
      <c r="HV82" s="105"/>
      <c r="HW82" s="105"/>
      <c r="HX82" s="105"/>
      <c r="HY82" s="105"/>
      <c r="HZ82" s="105"/>
      <c r="IA82" s="105"/>
      <c r="IB82" s="105"/>
      <c r="IC82" s="105"/>
      <c r="ID82" s="105"/>
      <c r="IE82" s="105"/>
      <c r="IF82" s="105"/>
      <c r="IG82" s="105"/>
      <c r="IH82" s="105"/>
      <c r="II82" s="105"/>
      <c r="IJ82" s="105"/>
      <c r="IK82" s="105"/>
      <c r="IL82" s="105"/>
      <c r="IM82" s="105"/>
      <c r="IN82" s="105"/>
      <c r="IO82" s="105"/>
      <c r="IP82" s="105"/>
      <c r="IQ82" s="105"/>
      <c r="IR82" s="105"/>
      <c r="IS82" s="105"/>
      <c r="IT82" s="105"/>
      <c r="IU82" s="105"/>
      <c r="IV82" s="105"/>
      <c r="IW82" s="105"/>
      <c r="IX82" s="105"/>
      <c r="IY82" s="105"/>
      <c r="IZ82" s="105"/>
      <c r="JA82" s="105"/>
      <c r="JB82" s="105"/>
      <c r="JC82" s="105"/>
      <c r="JD82" s="105"/>
      <c r="JE82" s="105"/>
      <c r="JF82" s="105"/>
      <c r="JG82" s="105"/>
      <c r="JH82" s="105"/>
    </row>
    <row r="83" spans="1:268" s="106" customFormat="1" ht="18" customHeight="1">
      <c r="A83" s="292" t="s">
        <v>66</v>
      </c>
      <c r="B83" s="293"/>
      <c r="C83" s="29">
        <f>C84+C85</f>
        <v>0</v>
      </c>
      <c r="D83" s="29">
        <f t="shared" ref="D83:AZ83" si="394">D84+D85</f>
        <v>0</v>
      </c>
      <c r="E83" s="29">
        <f t="shared" si="394"/>
        <v>0</v>
      </c>
      <c r="F83" s="29">
        <f t="shared" si="394"/>
        <v>0</v>
      </c>
      <c r="G83" s="29">
        <f t="shared" si="394"/>
        <v>0</v>
      </c>
      <c r="H83" s="29">
        <f t="shared" si="394"/>
        <v>0</v>
      </c>
      <c r="I83" s="29">
        <f t="shared" si="394"/>
        <v>0</v>
      </c>
      <c r="J83" s="29">
        <f t="shared" si="394"/>
        <v>0</v>
      </c>
      <c r="K83" s="29">
        <f t="shared" si="372"/>
        <v>0</v>
      </c>
      <c r="L83" s="29">
        <f t="shared" si="372"/>
        <v>0</v>
      </c>
      <c r="M83" s="29">
        <f t="shared" si="394"/>
        <v>0</v>
      </c>
      <c r="N83" s="29">
        <f t="shared" si="394"/>
        <v>0</v>
      </c>
      <c r="O83" s="29">
        <f t="shared" si="373"/>
        <v>0</v>
      </c>
      <c r="P83" s="29">
        <f t="shared" si="373"/>
        <v>0</v>
      </c>
      <c r="Q83" s="29">
        <f t="shared" si="394"/>
        <v>0</v>
      </c>
      <c r="R83" s="29">
        <f t="shared" si="394"/>
        <v>0</v>
      </c>
      <c r="S83" s="29">
        <f t="shared" si="374"/>
        <v>0</v>
      </c>
      <c r="T83" s="29">
        <f t="shared" si="374"/>
        <v>0</v>
      </c>
      <c r="U83" s="29">
        <f t="shared" si="394"/>
        <v>0</v>
      </c>
      <c r="V83" s="29">
        <f t="shared" si="394"/>
        <v>0</v>
      </c>
      <c r="W83" s="29">
        <f t="shared" si="375"/>
        <v>0</v>
      </c>
      <c r="X83" s="29">
        <f t="shared" si="375"/>
        <v>0</v>
      </c>
      <c r="Y83" s="29">
        <f t="shared" si="394"/>
        <v>0</v>
      </c>
      <c r="Z83" s="29">
        <f t="shared" si="394"/>
        <v>0</v>
      </c>
      <c r="AA83" s="29">
        <f t="shared" si="376"/>
        <v>0</v>
      </c>
      <c r="AB83" s="29">
        <f t="shared" si="376"/>
        <v>0</v>
      </c>
      <c r="AC83" s="29">
        <f t="shared" si="394"/>
        <v>0</v>
      </c>
      <c r="AD83" s="29">
        <f t="shared" si="394"/>
        <v>0</v>
      </c>
      <c r="AE83" s="29">
        <f t="shared" si="377"/>
        <v>0</v>
      </c>
      <c r="AF83" s="29">
        <f t="shared" si="377"/>
        <v>0</v>
      </c>
      <c r="AG83" s="29">
        <f t="shared" si="394"/>
        <v>0</v>
      </c>
      <c r="AH83" s="29">
        <f t="shared" si="394"/>
        <v>0</v>
      </c>
      <c r="AI83" s="29">
        <f t="shared" si="378"/>
        <v>0</v>
      </c>
      <c r="AJ83" s="29">
        <f t="shared" si="378"/>
        <v>0</v>
      </c>
      <c r="AK83" s="29">
        <f t="shared" si="394"/>
        <v>0</v>
      </c>
      <c r="AL83" s="29">
        <f t="shared" si="394"/>
        <v>0</v>
      </c>
      <c r="AM83" s="29">
        <f t="shared" si="379"/>
        <v>0</v>
      </c>
      <c r="AN83" s="29">
        <f t="shared" si="379"/>
        <v>0</v>
      </c>
      <c r="AO83" s="29">
        <f t="shared" si="394"/>
        <v>0</v>
      </c>
      <c r="AP83" s="29">
        <f t="shared" si="394"/>
        <v>0</v>
      </c>
      <c r="AQ83" s="29">
        <f t="shared" si="380"/>
        <v>0</v>
      </c>
      <c r="AR83" s="29">
        <f t="shared" si="380"/>
        <v>0</v>
      </c>
      <c r="AS83" s="29">
        <f t="shared" si="394"/>
        <v>0</v>
      </c>
      <c r="AT83" s="29">
        <f t="shared" si="394"/>
        <v>0</v>
      </c>
      <c r="AU83" s="29">
        <f t="shared" si="382"/>
        <v>0</v>
      </c>
      <c r="AV83" s="29">
        <f t="shared" si="382"/>
        <v>0</v>
      </c>
      <c r="AW83" s="29">
        <f t="shared" si="394"/>
        <v>0</v>
      </c>
      <c r="AX83" s="29">
        <f t="shared" si="394"/>
        <v>0</v>
      </c>
      <c r="AY83" s="29">
        <f t="shared" si="394"/>
        <v>0</v>
      </c>
      <c r="AZ83" s="29">
        <f t="shared" si="394"/>
        <v>0</v>
      </c>
      <c r="BA83" s="55">
        <f t="shared" si="350"/>
        <v>1</v>
      </c>
      <c r="BB83" s="55">
        <f t="shared" si="350"/>
        <v>1</v>
      </c>
      <c r="BC83" s="29"/>
      <c r="BD83" s="29"/>
      <c r="BE83" s="29"/>
      <c r="BF83" s="29"/>
      <c r="BG83" s="29">
        <f t="shared" si="384"/>
        <v>0</v>
      </c>
      <c r="BH83" s="29">
        <f t="shared" si="384"/>
        <v>0</v>
      </c>
      <c r="BI83" s="55">
        <f t="shared" si="352"/>
        <v>1</v>
      </c>
      <c r="BJ83" s="55">
        <f t="shared" si="352"/>
        <v>1</v>
      </c>
      <c r="BK83" s="29"/>
      <c r="BL83" s="29"/>
      <c r="BM83" s="29">
        <f t="shared" si="385"/>
        <v>0</v>
      </c>
      <c r="BN83" s="29">
        <f t="shared" si="385"/>
        <v>0</v>
      </c>
      <c r="BO83" s="55">
        <f t="shared" si="354"/>
        <v>1</v>
      </c>
      <c r="BP83" s="55">
        <f t="shared" si="354"/>
        <v>1</v>
      </c>
      <c r="BQ83" s="29"/>
      <c r="BR83" s="29"/>
      <c r="BS83" s="29">
        <f t="shared" si="386"/>
        <v>0</v>
      </c>
      <c r="BT83" s="29">
        <f t="shared" si="386"/>
        <v>0</v>
      </c>
      <c r="BU83" s="55">
        <f t="shared" si="356"/>
        <v>1</v>
      </c>
      <c r="BV83" s="55">
        <f t="shared" si="356"/>
        <v>1</v>
      </c>
      <c r="BW83" s="29"/>
      <c r="BX83" s="29"/>
      <c r="BY83" s="29">
        <f t="shared" si="387"/>
        <v>0</v>
      </c>
      <c r="BZ83" s="29">
        <f t="shared" si="387"/>
        <v>0</v>
      </c>
      <c r="CA83" s="55">
        <f t="shared" si="358"/>
        <v>1</v>
      </c>
      <c r="CB83" s="55">
        <f t="shared" si="358"/>
        <v>1</v>
      </c>
      <c r="CC83" s="29"/>
      <c r="CD83" s="29"/>
      <c r="CE83" s="29">
        <f t="shared" si="388"/>
        <v>0</v>
      </c>
      <c r="CF83" s="29">
        <f t="shared" si="388"/>
        <v>0</v>
      </c>
      <c r="CG83" s="55">
        <f t="shared" si="360"/>
        <v>1</v>
      </c>
      <c r="CH83" s="55">
        <f t="shared" si="360"/>
        <v>1</v>
      </c>
      <c r="CI83" s="29"/>
      <c r="CJ83" s="29"/>
      <c r="CK83" s="29">
        <f t="shared" si="389"/>
        <v>0</v>
      </c>
      <c r="CL83" s="29">
        <f t="shared" si="389"/>
        <v>0</v>
      </c>
      <c r="CM83" s="55">
        <f t="shared" si="362"/>
        <v>1</v>
      </c>
      <c r="CN83" s="55">
        <f t="shared" si="362"/>
        <v>1</v>
      </c>
      <c r="CO83" s="29"/>
      <c r="CP83" s="29"/>
      <c r="CQ83" s="29">
        <f t="shared" si="390"/>
        <v>0</v>
      </c>
      <c r="CR83" s="29">
        <f t="shared" si="390"/>
        <v>0</v>
      </c>
      <c r="CS83" s="55">
        <f t="shared" si="364"/>
        <v>1</v>
      </c>
      <c r="CT83" s="55">
        <f t="shared" si="364"/>
        <v>1</v>
      </c>
      <c r="CU83" s="29"/>
      <c r="CV83" s="29"/>
      <c r="CW83" s="29">
        <f t="shared" si="391"/>
        <v>0</v>
      </c>
      <c r="CX83" s="29">
        <f t="shared" si="391"/>
        <v>0</v>
      </c>
      <c r="CY83" s="55">
        <f t="shared" si="366"/>
        <v>1</v>
      </c>
      <c r="CZ83" s="55">
        <f t="shared" si="366"/>
        <v>1</v>
      </c>
      <c r="DA83" s="29"/>
      <c r="DB83" s="29"/>
      <c r="DC83" s="29">
        <f t="shared" si="392"/>
        <v>0</v>
      </c>
      <c r="DD83" s="29">
        <f t="shared" si="392"/>
        <v>0</v>
      </c>
      <c r="DE83" s="55">
        <f t="shared" si="368"/>
        <v>1</v>
      </c>
      <c r="DF83" s="55">
        <f t="shared" si="368"/>
        <v>1</v>
      </c>
      <c r="DG83" s="29"/>
      <c r="DH83" s="29"/>
      <c r="DI83" s="29">
        <f t="shared" si="393"/>
        <v>0</v>
      </c>
      <c r="DJ83" s="29">
        <f t="shared" si="393"/>
        <v>0</v>
      </c>
      <c r="DK83" s="55">
        <f t="shared" si="370"/>
        <v>1</v>
      </c>
      <c r="DL83" s="55">
        <f t="shared" si="370"/>
        <v>1</v>
      </c>
      <c r="DM83" s="29"/>
      <c r="DN83" s="29"/>
      <c r="DO83" s="29"/>
      <c r="DP83" s="29"/>
      <c r="DQ83" s="29">
        <v>0</v>
      </c>
      <c r="DR83" s="29">
        <v>0</v>
      </c>
      <c r="DS83" s="55">
        <f>IF($AY$83=0,1,DQ83/$AY$83-1)</f>
        <v>1</v>
      </c>
      <c r="DT83" s="55">
        <f>IF($AZ$83=0,1,DR83/$AZ$83-1)</f>
        <v>1</v>
      </c>
      <c r="DU83" s="55">
        <f>IF($E$83=0,1,DQ83/$E$83-1)</f>
        <v>1</v>
      </c>
      <c r="DV83" s="55">
        <f>IF($E$83=0,1,DR83/$E$83-1)</f>
        <v>1</v>
      </c>
      <c r="DW83" s="25"/>
      <c r="DX83" s="105"/>
      <c r="DY83" s="105"/>
      <c r="DZ83" s="105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105"/>
      <c r="EU83" s="105"/>
      <c r="EV83" s="105"/>
      <c r="EW83" s="105"/>
      <c r="EX83" s="105"/>
      <c r="EY83" s="105"/>
      <c r="EZ83" s="105"/>
      <c r="FA83" s="105"/>
      <c r="FB83" s="105"/>
      <c r="FC83" s="105"/>
      <c r="FD83" s="105"/>
      <c r="FE83" s="105"/>
      <c r="FF83" s="105"/>
      <c r="FG83" s="105"/>
      <c r="FH83" s="105"/>
      <c r="FI83" s="105"/>
      <c r="FJ83" s="105"/>
      <c r="FK83" s="105"/>
      <c r="FL83" s="105"/>
      <c r="FM83" s="105"/>
      <c r="FN83" s="105"/>
      <c r="FO83" s="105"/>
      <c r="FP83" s="105"/>
      <c r="FQ83" s="105"/>
      <c r="FR83" s="105"/>
      <c r="FS83" s="105"/>
      <c r="FT83" s="105"/>
      <c r="FU83" s="105"/>
      <c r="FV83" s="105"/>
      <c r="FW83" s="105"/>
      <c r="FX83" s="105"/>
      <c r="FY83" s="105"/>
      <c r="FZ83" s="105"/>
      <c r="GA83" s="105"/>
      <c r="GB83" s="105"/>
      <c r="GC83" s="105"/>
      <c r="GD83" s="105"/>
      <c r="GE83" s="105"/>
      <c r="GF83" s="105"/>
      <c r="GG83" s="105"/>
      <c r="GH83" s="105"/>
      <c r="GI83" s="105"/>
      <c r="GJ83" s="105"/>
      <c r="GK83" s="105"/>
      <c r="GL83" s="105"/>
      <c r="GM83" s="105"/>
      <c r="GN83" s="105"/>
      <c r="GO83" s="105"/>
      <c r="GP83" s="105"/>
      <c r="GQ83" s="105"/>
      <c r="GR83" s="105"/>
      <c r="GS83" s="105"/>
      <c r="GT83" s="105"/>
      <c r="GU83" s="105"/>
      <c r="GV83" s="105"/>
      <c r="GW83" s="105"/>
      <c r="GX83" s="105"/>
      <c r="GY83" s="105"/>
      <c r="GZ83" s="105"/>
      <c r="HA83" s="105"/>
      <c r="HB83" s="105"/>
      <c r="HC83" s="105"/>
      <c r="HD83" s="105"/>
      <c r="HE83" s="105"/>
      <c r="HF83" s="105"/>
      <c r="HG83" s="105"/>
      <c r="HH83" s="105"/>
      <c r="HI83" s="105"/>
      <c r="HJ83" s="105"/>
      <c r="HK83" s="105"/>
      <c r="HL83" s="105"/>
      <c r="HM83" s="105"/>
      <c r="HN83" s="105"/>
      <c r="HO83" s="105"/>
      <c r="HP83" s="105"/>
      <c r="HQ83" s="105"/>
      <c r="HR83" s="105"/>
      <c r="HS83" s="105"/>
      <c r="HT83" s="105"/>
      <c r="HU83" s="105"/>
      <c r="HV83" s="105"/>
      <c r="HW83" s="105"/>
      <c r="HX83" s="105"/>
      <c r="HY83" s="105"/>
      <c r="HZ83" s="105"/>
      <c r="IA83" s="105"/>
      <c r="IB83" s="105"/>
      <c r="IC83" s="105"/>
      <c r="ID83" s="105"/>
      <c r="IE83" s="105"/>
      <c r="IF83" s="105"/>
      <c r="IG83" s="105"/>
      <c r="IH83" s="105"/>
      <c r="II83" s="105"/>
      <c r="IJ83" s="105"/>
      <c r="IK83" s="105"/>
      <c r="IL83" s="105"/>
      <c r="IM83" s="105"/>
      <c r="IN83" s="105"/>
      <c r="IO83" s="105"/>
      <c r="IP83" s="105"/>
      <c r="IQ83" s="105"/>
      <c r="IR83" s="105"/>
      <c r="IS83" s="105"/>
      <c r="IT83" s="105"/>
      <c r="IU83" s="105"/>
      <c r="IV83" s="105"/>
      <c r="IW83" s="105"/>
      <c r="IX83" s="105"/>
      <c r="IY83" s="105"/>
      <c r="IZ83" s="105"/>
      <c r="JA83" s="105"/>
      <c r="JB83" s="105"/>
      <c r="JC83" s="105"/>
      <c r="JD83" s="105"/>
      <c r="JE83" s="105"/>
      <c r="JF83" s="105"/>
      <c r="JG83" s="105"/>
      <c r="JH83" s="105"/>
    </row>
    <row r="84" spans="1:268" s="106" customFormat="1" ht="18" customHeight="1">
      <c r="A84" s="292" t="s">
        <v>67</v>
      </c>
      <c r="B84" s="293"/>
      <c r="C84" s="29">
        <f>'[1]прогноз '!B82</f>
        <v>0</v>
      </c>
      <c r="D84" s="29">
        <f>'[1]прогноз '!C82</f>
        <v>0</v>
      </c>
      <c r="E84" s="29"/>
      <c r="F84" s="29"/>
      <c r="G84" s="29"/>
      <c r="H84" s="29"/>
      <c r="I84" s="29"/>
      <c r="J84" s="29"/>
      <c r="K84" s="29">
        <f t="shared" si="372"/>
        <v>0</v>
      </c>
      <c r="L84" s="29">
        <f t="shared" si="372"/>
        <v>0</v>
      </c>
      <c r="M84" s="29"/>
      <c r="N84" s="29"/>
      <c r="O84" s="29">
        <f t="shared" si="373"/>
        <v>0</v>
      </c>
      <c r="P84" s="29">
        <f t="shared" si="373"/>
        <v>0</v>
      </c>
      <c r="Q84" s="29"/>
      <c r="R84" s="29"/>
      <c r="S84" s="29">
        <f t="shared" si="374"/>
        <v>0</v>
      </c>
      <c r="T84" s="29">
        <f t="shared" si="374"/>
        <v>0</v>
      </c>
      <c r="U84" s="29"/>
      <c r="V84" s="29"/>
      <c r="W84" s="29">
        <f t="shared" si="375"/>
        <v>0</v>
      </c>
      <c r="X84" s="29">
        <f t="shared" si="375"/>
        <v>0</v>
      </c>
      <c r="Y84" s="29"/>
      <c r="Z84" s="29"/>
      <c r="AA84" s="29">
        <f t="shared" si="376"/>
        <v>0</v>
      </c>
      <c r="AB84" s="29">
        <f t="shared" si="376"/>
        <v>0</v>
      </c>
      <c r="AC84" s="29"/>
      <c r="AD84" s="29"/>
      <c r="AE84" s="29">
        <f t="shared" si="377"/>
        <v>0</v>
      </c>
      <c r="AF84" s="29">
        <f t="shared" si="377"/>
        <v>0</v>
      </c>
      <c r="AG84" s="29"/>
      <c r="AH84" s="29"/>
      <c r="AI84" s="29">
        <f t="shared" si="378"/>
        <v>0</v>
      </c>
      <c r="AJ84" s="29">
        <f t="shared" si="378"/>
        <v>0</v>
      </c>
      <c r="AK84" s="29"/>
      <c r="AL84" s="29"/>
      <c r="AM84" s="29">
        <f t="shared" si="379"/>
        <v>0</v>
      </c>
      <c r="AN84" s="29">
        <f t="shared" si="379"/>
        <v>0</v>
      </c>
      <c r="AO84" s="29"/>
      <c r="AP84" s="29"/>
      <c r="AQ84" s="29">
        <f t="shared" si="380"/>
        <v>0</v>
      </c>
      <c r="AR84" s="29">
        <f t="shared" si="380"/>
        <v>0</v>
      </c>
      <c r="AS84" s="29"/>
      <c r="AT84" s="29"/>
      <c r="AU84" s="29">
        <f t="shared" si="382"/>
        <v>0</v>
      </c>
      <c r="AV84" s="29">
        <f t="shared" si="382"/>
        <v>0</v>
      </c>
      <c r="AW84" s="29"/>
      <c r="AX84" s="29"/>
      <c r="AY84" s="29"/>
      <c r="AZ84" s="29"/>
      <c r="BA84" s="55">
        <f t="shared" si="350"/>
        <v>1</v>
      </c>
      <c r="BB84" s="55">
        <f t="shared" si="350"/>
        <v>1</v>
      </c>
      <c r="BC84" s="29"/>
      <c r="BD84" s="29"/>
      <c r="BE84" s="29"/>
      <c r="BF84" s="29"/>
      <c r="BG84" s="29">
        <f t="shared" si="384"/>
        <v>0</v>
      </c>
      <c r="BH84" s="29">
        <f t="shared" si="384"/>
        <v>0</v>
      </c>
      <c r="BI84" s="55">
        <f t="shared" si="352"/>
        <v>1</v>
      </c>
      <c r="BJ84" s="55">
        <f t="shared" si="352"/>
        <v>1</v>
      </c>
      <c r="BK84" s="29"/>
      <c r="BL84" s="29"/>
      <c r="BM84" s="29">
        <f t="shared" si="385"/>
        <v>0</v>
      </c>
      <c r="BN84" s="29">
        <f t="shared" si="385"/>
        <v>0</v>
      </c>
      <c r="BO84" s="55">
        <f t="shared" si="354"/>
        <v>1</v>
      </c>
      <c r="BP84" s="55">
        <f t="shared" si="354"/>
        <v>1</v>
      </c>
      <c r="BQ84" s="29"/>
      <c r="BR84" s="29"/>
      <c r="BS84" s="29">
        <f t="shared" si="386"/>
        <v>0</v>
      </c>
      <c r="BT84" s="29">
        <f t="shared" si="386"/>
        <v>0</v>
      </c>
      <c r="BU84" s="55">
        <f t="shared" si="356"/>
        <v>1</v>
      </c>
      <c r="BV84" s="55">
        <f t="shared" si="356"/>
        <v>1</v>
      </c>
      <c r="BW84" s="29"/>
      <c r="BX84" s="29"/>
      <c r="BY84" s="29">
        <f t="shared" si="387"/>
        <v>0</v>
      </c>
      <c r="BZ84" s="29">
        <f t="shared" si="387"/>
        <v>0</v>
      </c>
      <c r="CA84" s="55">
        <f t="shared" si="358"/>
        <v>1</v>
      </c>
      <c r="CB84" s="55">
        <f t="shared" si="358"/>
        <v>1</v>
      </c>
      <c r="CC84" s="29"/>
      <c r="CD84" s="29"/>
      <c r="CE84" s="29">
        <f t="shared" si="388"/>
        <v>0</v>
      </c>
      <c r="CF84" s="29">
        <f t="shared" si="388"/>
        <v>0</v>
      </c>
      <c r="CG84" s="55">
        <f t="shared" si="360"/>
        <v>1</v>
      </c>
      <c r="CH84" s="55">
        <f t="shared" si="360"/>
        <v>1</v>
      </c>
      <c r="CI84" s="29"/>
      <c r="CJ84" s="29"/>
      <c r="CK84" s="29">
        <f t="shared" si="389"/>
        <v>0</v>
      </c>
      <c r="CL84" s="29">
        <f t="shared" si="389"/>
        <v>0</v>
      </c>
      <c r="CM84" s="55">
        <f t="shared" si="362"/>
        <v>1</v>
      </c>
      <c r="CN84" s="55">
        <f t="shared" si="362"/>
        <v>1</v>
      </c>
      <c r="CO84" s="29"/>
      <c r="CP84" s="29"/>
      <c r="CQ84" s="29">
        <f t="shared" si="390"/>
        <v>0</v>
      </c>
      <c r="CR84" s="29">
        <f t="shared" si="390"/>
        <v>0</v>
      </c>
      <c r="CS84" s="55">
        <f t="shared" si="364"/>
        <v>1</v>
      </c>
      <c r="CT84" s="55">
        <f t="shared" si="364"/>
        <v>1</v>
      </c>
      <c r="CU84" s="29"/>
      <c r="CV84" s="29"/>
      <c r="CW84" s="29">
        <f t="shared" si="391"/>
        <v>0</v>
      </c>
      <c r="CX84" s="29">
        <f t="shared" si="391"/>
        <v>0</v>
      </c>
      <c r="CY84" s="55">
        <f t="shared" si="366"/>
        <v>1</v>
      </c>
      <c r="CZ84" s="55">
        <f t="shared" si="366"/>
        <v>1</v>
      </c>
      <c r="DA84" s="29"/>
      <c r="DB84" s="29"/>
      <c r="DC84" s="29">
        <f t="shared" si="392"/>
        <v>0</v>
      </c>
      <c r="DD84" s="29">
        <f t="shared" si="392"/>
        <v>0</v>
      </c>
      <c r="DE84" s="55">
        <f t="shared" si="368"/>
        <v>1</v>
      </c>
      <c r="DF84" s="55">
        <f t="shared" si="368"/>
        <v>1</v>
      </c>
      <c r="DG84" s="29"/>
      <c r="DH84" s="29"/>
      <c r="DI84" s="29">
        <f t="shared" si="393"/>
        <v>0</v>
      </c>
      <c r="DJ84" s="29">
        <f t="shared" si="393"/>
        <v>0</v>
      </c>
      <c r="DK84" s="55">
        <f t="shared" si="370"/>
        <v>1</v>
      </c>
      <c r="DL84" s="55">
        <f t="shared" si="370"/>
        <v>1</v>
      </c>
      <c r="DM84" s="29"/>
      <c r="DN84" s="29"/>
      <c r="DO84" s="29"/>
      <c r="DP84" s="29"/>
      <c r="DQ84" s="29">
        <v>0</v>
      </c>
      <c r="DR84" s="29">
        <v>0</v>
      </c>
      <c r="DS84" s="55">
        <f>IF($AY$84=0,1,DQ84/$AY$84-1)</f>
        <v>1</v>
      </c>
      <c r="DT84" s="55">
        <f>IF($AZ$84=0,1,DR84/$AZ$84-1)</f>
        <v>1</v>
      </c>
      <c r="DU84" s="55">
        <f>IF($E$84=0,1,DQ84/$E$84-1)</f>
        <v>1</v>
      </c>
      <c r="DV84" s="55">
        <f>IF($E$84=0,1,DR84/$E$84-1)</f>
        <v>1</v>
      </c>
      <c r="DW84" s="25"/>
      <c r="DX84" s="105"/>
      <c r="DY84" s="105"/>
      <c r="DZ84" s="105"/>
      <c r="EA84" s="105"/>
      <c r="EB84" s="105"/>
      <c r="EC84" s="105"/>
      <c r="ED84" s="105"/>
      <c r="EE84" s="105"/>
      <c r="EF84" s="105"/>
      <c r="EG84" s="105"/>
      <c r="EH84" s="105"/>
      <c r="EI84" s="105"/>
      <c r="EJ84" s="105"/>
      <c r="EK84" s="105"/>
      <c r="EL84" s="105"/>
      <c r="EM84" s="105"/>
      <c r="EN84" s="105"/>
      <c r="EO84" s="105"/>
      <c r="EP84" s="105"/>
      <c r="EQ84" s="105"/>
      <c r="ER84" s="105"/>
      <c r="ES84" s="105"/>
      <c r="ET84" s="105"/>
      <c r="EU84" s="105"/>
      <c r="EV84" s="105"/>
      <c r="EW84" s="105"/>
      <c r="EX84" s="105"/>
      <c r="EY84" s="105"/>
      <c r="EZ84" s="105"/>
      <c r="FA84" s="105"/>
      <c r="FB84" s="105"/>
      <c r="FC84" s="105"/>
      <c r="FD84" s="105"/>
      <c r="FE84" s="105"/>
      <c r="FF84" s="105"/>
      <c r="FG84" s="105"/>
      <c r="FH84" s="105"/>
      <c r="FI84" s="105"/>
      <c r="FJ84" s="105"/>
      <c r="FK84" s="105"/>
      <c r="FL84" s="105"/>
      <c r="FM84" s="105"/>
      <c r="FN84" s="105"/>
      <c r="FO84" s="105"/>
      <c r="FP84" s="105"/>
      <c r="FQ84" s="105"/>
      <c r="FR84" s="105"/>
      <c r="FS84" s="105"/>
      <c r="FT84" s="105"/>
      <c r="FU84" s="105"/>
      <c r="FV84" s="105"/>
      <c r="FW84" s="105"/>
      <c r="FX84" s="105"/>
      <c r="FY84" s="105"/>
      <c r="FZ84" s="105"/>
      <c r="GA84" s="105"/>
      <c r="GB84" s="105"/>
      <c r="GC84" s="105"/>
      <c r="GD84" s="105"/>
      <c r="GE84" s="105"/>
      <c r="GF84" s="105"/>
      <c r="GG84" s="105"/>
      <c r="GH84" s="105"/>
      <c r="GI84" s="105"/>
      <c r="GJ84" s="105"/>
      <c r="GK84" s="105"/>
      <c r="GL84" s="105"/>
      <c r="GM84" s="105"/>
      <c r="GN84" s="105"/>
      <c r="GO84" s="105"/>
      <c r="GP84" s="105"/>
      <c r="GQ84" s="105"/>
      <c r="GR84" s="105"/>
      <c r="GS84" s="105"/>
      <c r="GT84" s="105"/>
      <c r="GU84" s="105"/>
      <c r="GV84" s="105"/>
      <c r="GW84" s="105"/>
      <c r="GX84" s="105"/>
      <c r="GY84" s="105"/>
      <c r="GZ84" s="105"/>
      <c r="HA84" s="105"/>
      <c r="HB84" s="105"/>
      <c r="HC84" s="105"/>
      <c r="HD84" s="105"/>
      <c r="HE84" s="105"/>
      <c r="HF84" s="105"/>
      <c r="HG84" s="105"/>
      <c r="HH84" s="105"/>
      <c r="HI84" s="105"/>
      <c r="HJ84" s="105"/>
      <c r="HK84" s="105"/>
      <c r="HL84" s="105"/>
      <c r="HM84" s="105"/>
      <c r="HN84" s="105"/>
      <c r="HO84" s="105"/>
      <c r="HP84" s="105"/>
      <c r="HQ84" s="105"/>
      <c r="HR84" s="105"/>
      <c r="HS84" s="105"/>
      <c r="HT84" s="105"/>
      <c r="HU84" s="105"/>
      <c r="HV84" s="105"/>
      <c r="HW84" s="105"/>
      <c r="HX84" s="105"/>
      <c r="HY84" s="105"/>
      <c r="HZ84" s="105"/>
      <c r="IA84" s="105"/>
      <c r="IB84" s="105"/>
      <c r="IC84" s="105"/>
      <c r="ID84" s="105"/>
      <c r="IE84" s="105"/>
      <c r="IF84" s="105"/>
      <c r="IG84" s="105"/>
      <c r="IH84" s="105"/>
      <c r="II84" s="105"/>
      <c r="IJ84" s="105"/>
      <c r="IK84" s="105"/>
      <c r="IL84" s="105"/>
      <c r="IM84" s="105"/>
      <c r="IN84" s="105"/>
      <c r="IO84" s="105"/>
      <c r="IP84" s="105"/>
      <c r="IQ84" s="105"/>
      <c r="IR84" s="105"/>
      <c r="IS84" s="105"/>
      <c r="IT84" s="105"/>
      <c r="IU84" s="105"/>
      <c r="IV84" s="105"/>
      <c r="IW84" s="105"/>
      <c r="IX84" s="105"/>
      <c r="IY84" s="105"/>
      <c r="IZ84" s="105"/>
      <c r="JA84" s="105"/>
      <c r="JB84" s="105"/>
      <c r="JC84" s="105"/>
      <c r="JD84" s="105"/>
      <c r="JE84" s="105"/>
      <c r="JF84" s="105"/>
      <c r="JG84" s="105"/>
      <c r="JH84" s="105"/>
    </row>
    <row r="85" spans="1:268" s="106" customFormat="1" ht="18" customHeight="1">
      <c r="A85" s="292" t="s">
        <v>34</v>
      </c>
      <c r="B85" s="293"/>
      <c r="C85" s="29">
        <f>'[1]прогноз '!B83</f>
        <v>0</v>
      </c>
      <c r="D85" s="29">
        <f>'[1]прогноз '!C83</f>
        <v>0</v>
      </c>
      <c r="E85" s="29"/>
      <c r="F85" s="29"/>
      <c r="G85" s="29"/>
      <c r="H85" s="29"/>
      <c r="I85" s="29"/>
      <c r="J85" s="29"/>
      <c r="K85" s="29">
        <f t="shared" si="372"/>
        <v>0</v>
      </c>
      <c r="L85" s="29">
        <f t="shared" si="372"/>
        <v>0</v>
      </c>
      <c r="M85" s="29"/>
      <c r="N85" s="29"/>
      <c r="O85" s="29">
        <f t="shared" si="373"/>
        <v>0</v>
      </c>
      <c r="P85" s="29">
        <f t="shared" si="373"/>
        <v>0</v>
      </c>
      <c r="Q85" s="29"/>
      <c r="R85" s="29"/>
      <c r="S85" s="29">
        <f t="shared" si="374"/>
        <v>0</v>
      </c>
      <c r="T85" s="29">
        <f t="shared" si="374"/>
        <v>0</v>
      </c>
      <c r="U85" s="29"/>
      <c r="V85" s="29"/>
      <c r="W85" s="29">
        <f t="shared" si="375"/>
        <v>0</v>
      </c>
      <c r="X85" s="29">
        <f t="shared" si="375"/>
        <v>0</v>
      </c>
      <c r="Y85" s="29"/>
      <c r="Z85" s="29"/>
      <c r="AA85" s="29">
        <f t="shared" si="376"/>
        <v>0</v>
      </c>
      <c r="AB85" s="29">
        <f t="shared" si="376"/>
        <v>0</v>
      </c>
      <c r="AC85" s="29"/>
      <c r="AD85" s="29"/>
      <c r="AE85" s="29">
        <f t="shared" si="377"/>
        <v>0</v>
      </c>
      <c r="AF85" s="29">
        <f t="shared" si="377"/>
        <v>0</v>
      </c>
      <c r="AG85" s="29"/>
      <c r="AH85" s="29"/>
      <c r="AI85" s="29">
        <f t="shared" si="378"/>
        <v>0</v>
      </c>
      <c r="AJ85" s="29">
        <f t="shared" si="378"/>
        <v>0</v>
      </c>
      <c r="AK85" s="29"/>
      <c r="AL85" s="29"/>
      <c r="AM85" s="29">
        <f t="shared" si="379"/>
        <v>0</v>
      </c>
      <c r="AN85" s="29">
        <f t="shared" si="379"/>
        <v>0</v>
      </c>
      <c r="AO85" s="29"/>
      <c r="AP85" s="29"/>
      <c r="AQ85" s="29">
        <f t="shared" si="380"/>
        <v>0</v>
      </c>
      <c r="AR85" s="29">
        <f t="shared" si="380"/>
        <v>0</v>
      </c>
      <c r="AS85" s="29"/>
      <c r="AT85" s="29"/>
      <c r="AU85" s="29">
        <f t="shared" si="382"/>
        <v>0</v>
      </c>
      <c r="AV85" s="29">
        <f t="shared" si="382"/>
        <v>0</v>
      </c>
      <c r="AW85" s="29"/>
      <c r="AX85" s="29"/>
      <c r="AY85" s="29"/>
      <c r="AZ85" s="29"/>
      <c r="BA85" s="55">
        <f t="shared" si="350"/>
        <v>1</v>
      </c>
      <c r="BB85" s="55">
        <f t="shared" si="350"/>
        <v>1</v>
      </c>
      <c r="BC85" s="29"/>
      <c r="BD85" s="29"/>
      <c r="BE85" s="29"/>
      <c r="BF85" s="29"/>
      <c r="BG85" s="29">
        <f t="shared" si="384"/>
        <v>0</v>
      </c>
      <c r="BH85" s="29">
        <f t="shared" si="384"/>
        <v>0</v>
      </c>
      <c r="BI85" s="55">
        <f t="shared" si="352"/>
        <v>1</v>
      </c>
      <c r="BJ85" s="55">
        <f t="shared" si="352"/>
        <v>1</v>
      </c>
      <c r="BK85" s="29"/>
      <c r="BL85" s="29"/>
      <c r="BM85" s="29">
        <f t="shared" si="385"/>
        <v>0</v>
      </c>
      <c r="BN85" s="29">
        <f t="shared" si="385"/>
        <v>0</v>
      </c>
      <c r="BO85" s="55">
        <f t="shared" si="354"/>
        <v>1</v>
      </c>
      <c r="BP85" s="55">
        <f t="shared" si="354"/>
        <v>1</v>
      </c>
      <c r="BQ85" s="29"/>
      <c r="BR85" s="29"/>
      <c r="BS85" s="29">
        <f t="shared" si="386"/>
        <v>0</v>
      </c>
      <c r="BT85" s="29">
        <f t="shared" si="386"/>
        <v>0</v>
      </c>
      <c r="BU85" s="55">
        <f t="shared" si="356"/>
        <v>1</v>
      </c>
      <c r="BV85" s="55">
        <f t="shared" si="356"/>
        <v>1</v>
      </c>
      <c r="BW85" s="29"/>
      <c r="BX85" s="29"/>
      <c r="BY85" s="29">
        <f t="shared" si="387"/>
        <v>0</v>
      </c>
      <c r="BZ85" s="29">
        <f t="shared" si="387"/>
        <v>0</v>
      </c>
      <c r="CA85" s="55">
        <f t="shared" si="358"/>
        <v>1</v>
      </c>
      <c r="CB85" s="55">
        <f t="shared" si="358"/>
        <v>1</v>
      </c>
      <c r="CC85" s="29"/>
      <c r="CD85" s="29"/>
      <c r="CE85" s="29">
        <f t="shared" si="388"/>
        <v>0</v>
      </c>
      <c r="CF85" s="29">
        <f t="shared" si="388"/>
        <v>0</v>
      </c>
      <c r="CG85" s="55">
        <f t="shared" si="360"/>
        <v>1</v>
      </c>
      <c r="CH85" s="55">
        <f t="shared" si="360"/>
        <v>1</v>
      </c>
      <c r="CI85" s="29"/>
      <c r="CJ85" s="29"/>
      <c r="CK85" s="29">
        <f t="shared" si="389"/>
        <v>0</v>
      </c>
      <c r="CL85" s="29">
        <f t="shared" si="389"/>
        <v>0</v>
      </c>
      <c r="CM85" s="55">
        <f t="shared" si="362"/>
        <v>1</v>
      </c>
      <c r="CN85" s="55">
        <f t="shared" si="362"/>
        <v>1</v>
      </c>
      <c r="CO85" s="29"/>
      <c r="CP85" s="29"/>
      <c r="CQ85" s="29">
        <f t="shared" si="390"/>
        <v>0</v>
      </c>
      <c r="CR85" s="29">
        <f t="shared" si="390"/>
        <v>0</v>
      </c>
      <c r="CS85" s="55">
        <f t="shared" si="364"/>
        <v>1</v>
      </c>
      <c r="CT85" s="55">
        <f t="shared" si="364"/>
        <v>1</v>
      </c>
      <c r="CU85" s="29"/>
      <c r="CV85" s="29"/>
      <c r="CW85" s="29">
        <f t="shared" si="391"/>
        <v>0</v>
      </c>
      <c r="CX85" s="29">
        <f t="shared" si="391"/>
        <v>0</v>
      </c>
      <c r="CY85" s="55">
        <f t="shared" si="366"/>
        <v>1</v>
      </c>
      <c r="CZ85" s="55">
        <f t="shared" si="366"/>
        <v>1</v>
      </c>
      <c r="DA85" s="29"/>
      <c r="DB85" s="29"/>
      <c r="DC85" s="29">
        <f t="shared" si="392"/>
        <v>0</v>
      </c>
      <c r="DD85" s="29">
        <f t="shared" si="392"/>
        <v>0</v>
      </c>
      <c r="DE85" s="55">
        <f t="shared" si="368"/>
        <v>1</v>
      </c>
      <c r="DF85" s="55">
        <f t="shared" si="368"/>
        <v>1</v>
      </c>
      <c r="DG85" s="29"/>
      <c r="DH85" s="29"/>
      <c r="DI85" s="29">
        <f t="shared" si="393"/>
        <v>0</v>
      </c>
      <c r="DJ85" s="29">
        <f t="shared" si="393"/>
        <v>0</v>
      </c>
      <c r="DK85" s="55">
        <f t="shared" si="370"/>
        <v>1</v>
      </c>
      <c r="DL85" s="55">
        <f t="shared" si="370"/>
        <v>1</v>
      </c>
      <c r="DM85" s="29"/>
      <c r="DN85" s="29"/>
      <c r="DO85" s="29"/>
      <c r="DP85" s="29"/>
      <c r="DQ85" s="29">
        <v>0</v>
      </c>
      <c r="DR85" s="29">
        <v>0</v>
      </c>
      <c r="DS85" s="55">
        <f>IF($AY$85=0,1,DQ85/$AY$85-1)</f>
        <v>1</v>
      </c>
      <c r="DT85" s="55">
        <f>IF($AZ$85=0,1,DR85/$AZ$85-1)</f>
        <v>1</v>
      </c>
      <c r="DU85" s="55">
        <f>IF($E$85=0,1,DQ85/$E$85-1)</f>
        <v>1</v>
      </c>
      <c r="DV85" s="55">
        <f>IF($E$85=0,1,DR85/$E$85-1)</f>
        <v>1</v>
      </c>
      <c r="DW85" s="25"/>
      <c r="DX85" s="105"/>
      <c r="DY85" s="105"/>
      <c r="DZ85" s="105"/>
      <c r="EA85" s="105"/>
      <c r="EB85" s="105"/>
      <c r="EC85" s="105"/>
      <c r="ED85" s="105"/>
      <c r="EE85" s="105"/>
      <c r="EF85" s="105"/>
      <c r="EG85" s="105"/>
      <c r="EH85" s="105"/>
      <c r="EI85" s="105"/>
      <c r="EJ85" s="105"/>
      <c r="EK85" s="105"/>
      <c r="EL85" s="105"/>
      <c r="EM85" s="105"/>
      <c r="EN85" s="105"/>
      <c r="EO85" s="105"/>
      <c r="EP85" s="105"/>
      <c r="EQ85" s="105"/>
      <c r="ER85" s="105"/>
      <c r="ES85" s="105"/>
      <c r="ET85" s="105"/>
      <c r="EU85" s="105"/>
      <c r="EV85" s="105"/>
      <c r="EW85" s="105"/>
      <c r="EX85" s="105"/>
      <c r="EY85" s="105"/>
      <c r="EZ85" s="105"/>
      <c r="FA85" s="105"/>
      <c r="FB85" s="105"/>
      <c r="FC85" s="105"/>
      <c r="FD85" s="105"/>
      <c r="FE85" s="105"/>
      <c r="FF85" s="105"/>
      <c r="FG85" s="105"/>
      <c r="FH85" s="105"/>
      <c r="FI85" s="105"/>
      <c r="FJ85" s="105"/>
      <c r="FK85" s="105"/>
      <c r="FL85" s="105"/>
      <c r="FM85" s="105"/>
      <c r="FN85" s="105"/>
      <c r="FO85" s="105"/>
      <c r="FP85" s="105"/>
      <c r="FQ85" s="105"/>
      <c r="FR85" s="105"/>
      <c r="FS85" s="105"/>
      <c r="FT85" s="105"/>
      <c r="FU85" s="105"/>
      <c r="FV85" s="105"/>
      <c r="FW85" s="105"/>
      <c r="FX85" s="105"/>
      <c r="FY85" s="105"/>
      <c r="FZ85" s="105"/>
      <c r="GA85" s="105"/>
      <c r="GB85" s="105"/>
      <c r="GC85" s="105"/>
      <c r="GD85" s="105"/>
      <c r="GE85" s="105"/>
      <c r="GF85" s="105"/>
      <c r="GG85" s="105"/>
      <c r="GH85" s="105"/>
      <c r="GI85" s="105"/>
      <c r="GJ85" s="105"/>
      <c r="GK85" s="105"/>
      <c r="GL85" s="105"/>
      <c r="GM85" s="105"/>
      <c r="GN85" s="105"/>
      <c r="GO85" s="105"/>
      <c r="GP85" s="105"/>
      <c r="GQ85" s="105"/>
      <c r="GR85" s="105"/>
      <c r="GS85" s="105"/>
      <c r="GT85" s="105"/>
      <c r="GU85" s="105"/>
      <c r="GV85" s="105"/>
      <c r="GW85" s="105"/>
      <c r="GX85" s="105"/>
      <c r="GY85" s="105"/>
      <c r="GZ85" s="105"/>
      <c r="HA85" s="105"/>
      <c r="HB85" s="105"/>
      <c r="HC85" s="105"/>
      <c r="HD85" s="105"/>
      <c r="HE85" s="105"/>
      <c r="HF85" s="105"/>
      <c r="HG85" s="105"/>
      <c r="HH85" s="105"/>
      <c r="HI85" s="105"/>
      <c r="HJ85" s="105"/>
      <c r="HK85" s="105"/>
      <c r="HL85" s="105"/>
      <c r="HM85" s="105"/>
      <c r="HN85" s="105"/>
      <c r="HO85" s="105"/>
      <c r="HP85" s="105"/>
      <c r="HQ85" s="105"/>
      <c r="HR85" s="105"/>
      <c r="HS85" s="105"/>
      <c r="HT85" s="105"/>
      <c r="HU85" s="105"/>
      <c r="HV85" s="105"/>
      <c r="HW85" s="105"/>
      <c r="HX85" s="105"/>
      <c r="HY85" s="105"/>
      <c r="HZ85" s="105"/>
      <c r="IA85" s="105"/>
      <c r="IB85" s="105"/>
      <c r="IC85" s="105"/>
      <c r="ID85" s="105"/>
      <c r="IE85" s="105"/>
      <c r="IF85" s="105"/>
      <c r="IG85" s="105"/>
      <c r="IH85" s="105"/>
      <c r="II85" s="105"/>
      <c r="IJ85" s="105"/>
      <c r="IK85" s="105"/>
      <c r="IL85" s="105"/>
      <c r="IM85" s="105"/>
      <c r="IN85" s="105"/>
      <c r="IO85" s="105"/>
      <c r="IP85" s="105"/>
      <c r="IQ85" s="105"/>
      <c r="IR85" s="105"/>
      <c r="IS85" s="105"/>
      <c r="IT85" s="105"/>
      <c r="IU85" s="105"/>
      <c r="IV85" s="105"/>
      <c r="IW85" s="105"/>
      <c r="IX85" s="105"/>
      <c r="IY85" s="105"/>
      <c r="IZ85" s="105"/>
      <c r="JA85" s="105"/>
      <c r="JB85" s="105"/>
      <c r="JC85" s="105"/>
      <c r="JD85" s="105"/>
      <c r="JE85" s="105"/>
      <c r="JF85" s="105"/>
      <c r="JG85" s="105"/>
      <c r="JH85" s="105"/>
    </row>
    <row r="86" spans="1:268" s="106" customFormat="1" ht="18" customHeight="1">
      <c r="A86" s="292" t="s">
        <v>114</v>
      </c>
      <c r="B86" s="293"/>
      <c r="C86" s="29">
        <f>'[1]прогноз '!B84</f>
        <v>0</v>
      </c>
      <c r="D86" s="29">
        <f>'[1]прогноз '!C84</f>
        <v>0</v>
      </c>
      <c r="E86" s="29"/>
      <c r="F86" s="29"/>
      <c r="G86" s="29">
        <v>0</v>
      </c>
      <c r="H86" s="29">
        <v>0</v>
      </c>
      <c r="I86" s="29">
        <v>0</v>
      </c>
      <c r="J86" s="29">
        <v>0</v>
      </c>
      <c r="K86" s="29">
        <f t="shared" si="372"/>
        <v>0</v>
      </c>
      <c r="L86" s="29">
        <f t="shared" si="372"/>
        <v>0</v>
      </c>
      <c r="M86" s="29">
        <v>0</v>
      </c>
      <c r="N86" s="29">
        <v>0</v>
      </c>
      <c r="O86" s="29">
        <f t="shared" si="373"/>
        <v>0</v>
      </c>
      <c r="P86" s="29">
        <f t="shared" si="373"/>
        <v>0</v>
      </c>
      <c r="Q86" s="29">
        <v>0</v>
      </c>
      <c r="R86" s="29">
        <v>0</v>
      </c>
      <c r="S86" s="29">
        <f t="shared" si="374"/>
        <v>0</v>
      </c>
      <c r="T86" s="29">
        <f t="shared" si="374"/>
        <v>0</v>
      </c>
      <c r="U86" s="29">
        <v>0</v>
      </c>
      <c r="V86" s="29">
        <v>0</v>
      </c>
      <c r="W86" s="29">
        <f t="shared" si="375"/>
        <v>0</v>
      </c>
      <c r="X86" s="29">
        <f t="shared" si="375"/>
        <v>0</v>
      </c>
      <c r="Y86" s="29">
        <v>16000</v>
      </c>
      <c r="Z86" s="29">
        <v>16000</v>
      </c>
      <c r="AA86" s="29">
        <f t="shared" si="376"/>
        <v>16000</v>
      </c>
      <c r="AB86" s="29">
        <f t="shared" si="376"/>
        <v>16000</v>
      </c>
      <c r="AC86" s="29">
        <v>0</v>
      </c>
      <c r="AD86" s="29">
        <v>0</v>
      </c>
      <c r="AE86" s="29">
        <f t="shared" si="377"/>
        <v>16000</v>
      </c>
      <c r="AF86" s="29">
        <f t="shared" si="377"/>
        <v>16000</v>
      </c>
      <c r="AG86" s="29">
        <v>0</v>
      </c>
      <c r="AH86" s="29">
        <v>0</v>
      </c>
      <c r="AI86" s="29">
        <f t="shared" si="378"/>
        <v>16000</v>
      </c>
      <c r="AJ86" s="29">
        <f t="shared" si="378"/>
        <v>16000</v>
      </c>
      <c r="AK86" s="29">
        <v>0</v>
      </c>
      <c r="AL86" s="29">
        <v>0</v>
      </c>
      <c r="AM86" s="29">
        <f t="shared" si="379"/>
        <v>16000</v>
      </c>
      <c r="AN86" s="29">
        <f t="shared" si="379"/>
        <v>16000</v>
      </c>
      <c r="AO86" s="29">
        <v>0</v>
      </c>
      <c r="AP86" s="29">
        <v>0</v>
      </c>
      <c r="AQ86" s="29">
        <f t="shared" si="380"/>
        <v>16000</v>
      </c>
      <c r="AR86" s="29">
        <f t="shared" si="380"/>
        <v>16000</v>
      </c>
      <c r="AS86" s="29">
        <v>0</v>
      </c>
      <c r="AT86" s="29">
        <v>0</v>
      </c>
      <c r="AU86" s="29">
        <f t="shared" si="382"/>
        <v>16000</v>
      </c>
      <c r="AV86" s="29">
        <f t="shared" si="382"/>
        <v>16000</v>
      </c>
      <c r="AW86" s="29">
        <v>4000</v>
      </c>
      <c r="AX86" s="29">
        <v>4000</v>
      </c>
      <c r="AY86" s="29">
        <v>0</v>
      </c>
      <c r="AZ86" s="29">
        <v>0</v>
      </c>
      <c r="BA86" s="55">
        <f t="shared" si="350"/>
        <v>1</v>
      </c>
      <c r="BB86" s="55">
        <f t="shared" si="350"/>
        <v>1</v>
      </c>
      <c r="BC86" s="29">
        <v>0</v>
      </c>
      <c r="BD86" s="29">
        <v>0</v>
      </c>
      <c r="BE86" s="29">
        <v>0</v>
      </c>
      <c r="BF86" s="29">
        <v>0</v>
      </c>
      <c r="BG86" s="29">
        <f t="shared" si="384"/>
        <v>0</v>
      </c>
      <c r="BH86" s="29">
        <f t="shared" si="384"/>
        <v>0</v>
      </c>
      <c r="BI86" s="55">
        <f t="shared" si="352"/>
        <v>1</v>
      </c>
      <c r="BJ86" s="55">
        <f t="shared" si="352"/>
        <v>1</v>
      </c>
      <c r="BK86" s="29">
        <v>0</v>
      </c>
      <c r="BL86" s="29">
        <v>0</v>
      </c>
      <c r="BM86" s="29">
        <f t="shared" si="385"/>
        <v>0</v>
      </c>
      <c r="BN86" s="29">
        <f t="shared" si="385"/>
        <v>0</v>
      </c>
      <c r="BO86" s="55">
        <f t="shared" si="354"/>
        <v>1</v>
      </c>
      <c r="BP86" s="55">
        <f t="shared" si="354"/>
        <v>1</v>
      </c>
      <c r="BQ86" s="29">
        <v>0</v>
      </c>
      <c r="BR86" s="29">
        <v>0</v>
      </c>
      <c r="BS86" s="29">
        <f t="shared" si="386"/>
        <v>0</v>
      </c>
      <c r="BT86" s="29">
        <f t="shared" si="386"/>
        <v>0</v>
      </c>
      <c r="BU86" s="55">
        <f t="shared" si="356"/>
        <v>1</v>
      </c>
      <c r="BV86" s="55">
        <f t="shared" si="356"/>
        <v>1</v>
      </c>
      <c r="BW86" s="29">
        <v>0</v>
      </c>
      <c r="BX86" s="29">
        <v>0</v>
      </c>
      <c r="BY86" s="29">
        <f t="shared" si="387"/>
        <v>0</v>
      </c>
      <c r="BZ86" s="29">
        <f t="shared" si="387"/>
        <v>0</v>
      </c>
      <c r="CA86" s="55">
        <f t="shared" si="358"/>
        <v>1</v>
      </c>
      <c r="CB86" s="55">
        <f t="shared" si="358"/>
        <v>1</v>
      </c>
      <c r="CC86" s="29">
        <v>0</v>
      </c>
      <c r="CD86" s="29">
        <v>0</v>
      </c>
      <c r="CE86" s="29">
        <f t="shared" si="388"/>
        <v>0</v>
      </c>
      <c r="CF86" s="29">
        <f t="shared" si="388"/>
        <v>0</v>
      </c>
      <c r="CG86" s="55">
        <f t="shared" si="360"/>
        <v>-1</v>
      </c>
      <c r="CH86" s="55">
        <f t="shared" si="360"/>
        <v>-1</v>
      </c>
      <c r="CI86" s="29">
        <v>0</v>
      </c>
      <c r="CJ86" s="29">
        <v>0</v>
      </c>
      <c r="CK86" s="29">
        <f t="shared" si="389"/>
        <v>0</v>
      </c>
      <c r="CL86" s="29">
        <f t="shared" si="389"/>
        <v>0</v>
      </c>
      <c r="CM86" s="55">
        <f t="shared" si="362"/>
        <v>-1</v>
      </c>
      <c r="CN86" s="55">
        <f t="shared" si="362"/>
        <v>-1</v>
      </c>
      <c r="CO86" s="29">
        <v>0</v>
      </c>
      <c r="CP86" s="29">
        <v>0</v>
      </c>
      <c r="CQ86" s="29">
        <f t="shared" si="390"/>
        <v>0</v>
      </c>
      <c r="CR86" s="29">
        <f t="shared" si="390"/>
        <v>0</v>
      </c>
      <c r="CS86" s="55">
        <f t="shared" si="364"/>
        <v>-1</v>
      </c>
      <c r="CT86" s="55">
        <f t="shared" si="364"/>
        <v>-1</v>
      </c>
      <c r="CU86" s="29">
        <v>0</v>
      </c>
      <c r="CV86" s="29">
        <v>0</v>
      </c>
      <c r="CW86" s="29">
        <f t="shared" si="391"/>
        <v>0</v>
      </c>
      <c r="CX86" s="29">
        <f t="shared" si="391"/>
        <v>0</v>
      </c>
      <c r="CY86" s="55">
        <f t="shared" si="366"/>
        <v>-1</v>
      </c>
      <c r="CZ86" s="55">
        <f t="shared" si="366"/>
        <v>-1</v>
      </c>
      <c r="DA86" s="29">
        <v>0</v>
      </c>
      <c r="DB86" s="29">
        <v>0</v>
      </c>
      <c r="DC86" s="29">
        <f t="shared" si="392"/>
        <v>0</v>
      </c>
      <c r="DD86" s="29">
        <f t="shared" si="392"/>
        <v>0</v>
      </c>
      <c r="DE86" s="55">
        <f t="shared" si="368"/>
        <v>-1</v>
      </c>
      <c r="DF86" s="55">
        <f t="shared" si="368"/>
        <v>-1</v>
      </c>
      <c r="DG86" s="29">
        <v>0</v>
      </c>
      <c r="DH86" s="29">
        <v>0</v>
      </c>
      <c r="DI86" s="29">
        <f t="shared" si="393"/>
        <v>0</v>
      </c>
      <c r="DJ86" s="29">
        <f t="shared" si="393"/>
        <v>0</v>
      </c>
      <c r="DK86" s="55">
        <f t="shared" si="370"/>
        <v>-1</v>
      </c>
      <c r="DL86" s="55">
        <f t="shared" si="370"/>
        <v>-1</v>
      </c>
      <c r="DM86" s="29"/>
      <c r="DN86" s="29"/>
      <c r="DO86" s="29"/>
      <c r="DP86" s="29"/>
      <c r="DQ86" s="29">
        <v>0</v>
      </c>
      <c r="DR86" s="29">
        <v>0</v>
      </c>
      <c r="DS86" s="55">
        <f>IF($AY$86=0,1,DQ86/$AY$86-1)</f>
        <v>1</v>
      </c>
      <c r="DT86" s="55">
        <f>IF($AZ$86=0,1,DR86/$AZ$86-1)</f>
        <v>1</v>
      </c>
      <c r="DU86" s="55">
        <f>IF($E$86=0,1,DQ86/$E$86-1)</f>
        <v>1</v>
      </c>
      <c r="DV86" s="55">
        <f>IF($E$86=0,1,DR86/$E$86-1)</f>
        <v>1</v>
      </c>
      <c r="DW86" s="2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  <c r="EW86" s="105"/>
      <c r="EX86" s="105"/>
      <c r="EY86" s="105"/>
      <c r="EZ86" s="105"/>
      <c r="FA86" s="105"/>
      <c r="FB86" s="105"/>
      <c r="FC86" s="105"/>
      <c r="FD86" s="105"/>
      <c r="FE86" s="105"/>
      <c r="FF86" s="105"/>
      <c r="FG86" s="105"/>
      <c r="FH86" s="105"/>
      <c r="FI86" s="105"/>
      <c r="FJ86" s="105"/>
      <c r="FK86" s="105"/>
      <c r="FL86" s="105"/>
      <c r="FM86" s="105"/>
      <c r="FN86" s="105"/>
      <c r="FO86" s="105"/>
      <c r="FP86" s="105"/>
      <c r="FQ86" s="105"/>
      <c r="FR86" s="105"/>
      <c r="FS86" s="105"/>
      <c r="FT86" s="105"/>
      <c r="FU86" s="105"/>
      <c r="FV86" s="105"/>
      <c r="FW86" s="105"/>
      <c r="FX86" s="105"/>
      <c r="FY86" s="105"/>
      <c r="FZ86" s="105"/>
      <c r="GA86" s="105"/>
      <c r="GB86" s="105"/>
      <c r="GC86" s="105"/>
      <c r="GD86" s="105"/>
      <c r="GE86" s="105"/>
      <c r="GF86" s="105"/>
      <c r="GG86" s="105"/>
      <c r="GH86" s="105"/>
      <c r="GI86" s="105"/>
      <c r="GJ86" s="105"/>
      <c r="GK86" s="105"/>
      <c r="GL86" s="105"/>
      <c r="GM86" s="105"/>
      <c r="GN86" s="105"/>
      <c r="GO86" s="105"/>
      <c r="GP86" s="105"/>
      <c r="GQ86" s="105"/>
      <c r="GR86" s="105"/>
      <c r="GS86" s="105"/>
      <c r="GT86" s="105"/>
      <c r="GU86" s="105"/>
      <c r="GV86" s="105"/>
      <c r="GW86" s="105"/>
      <c r="GX86" s="105"/>
      <c r="GY86" s="105"/>
      <c r="GZ86" s="105"/>
      <c r="HA86" s="105"/>
      <c r="HB86" s="105"/>
      <c r="HC86" s="105"/>
      <c r="HD86" s="105"/>
      <c r="HE86" s="105"/>
      <c r="HF86" s="105"/>
      <c r="HG86" s="105"/>
      <c r="HH86" s="105"/>
      <c r="HI86" s="105"/>
      <c r="HJ86" s="105"/>
      <c r="HK86" s="105"/>
      <c r="HL86" s="105"/>
      <c r="HM86" s="105"/>
      <c r="HN86" s="105"/>
      <c r="HO86" s="105"/>
      <c r="HP86" s="105"/>
      <c r="HQ86" s="105"/>
      <c r="HR86" s="105"/>
      <c r="HS86" s="105"/>
      <c r="HT86" s="105"/>
      <c r="HU86" s="105"/>
      <c r="HV86" s="105"/>
      <c r="HW86" s="105"/>
      <c r="HX86" s="105"/>
      <c r="HY86" s="105"/>
      <c r="HZ86" s="105"/>
      <c r="IA86" s="105"/>
      <c r="IB86" s="105"/>
      <c r="IC86" s="105"/>
      <c r="ID86" s="105"/>
      <c r="IE86" s="105"/>
      <c r="IF86" s="105"/>
      <c r="IG86" s="105"/>
      <c r="IH86" s="105"/>
      <c r="II86" s="105"/>
      <c r="IJ86" s="105"/>
      <c r="IK86" s="105"/>
      <c r="IL86" s="105"/>
      <c r="IM86" s="105"/>
      <c r="IN86" s="105"/>
      <c r="IO86" s="105"/>
      <c r="IP86" s="105"/>
      <c r="IQ86" s="105"/>
      <c r="IR86" s="105"/>
      <c r="IS86" s="105"/>
      <c r="IT86" s="105"/>
      <c r="IU86" s="105"/>
      <c r="IV86" s="105"/>
      <c r="IW86" s="105"/>
      <c r="IX86" s="105"/>
      <c r="IY86" s="105"/>
      <c r="IZ86" s="105"/>
      <c r="JA86" s="105"/>
      <c r="JB86" s="105"/>
      <c r="JC86" s="105"/>
      <c r="JD86" s="105"/>
      <c r="JE86" s="105"/>
      <c r="JF86" s="105"/>
      <c r="JG86" s="105"/>
      <c r="JH86" s="105"/>
    </row>
    <row r="87" spans="1:268" s="104" customFormat="1" ht="18" customHeight="1">
      <c r="A87" s="397" t="s">
        <v>68</v>
      </c>
      <c r="B87" s="398"/>
      <c r="C87" s="29">
        <f>C89+C90+C91+C92+C93+C94+C95+C96</f>
        <v>0</v>
      </c>
      <c r="D87" s="29">
        <f t="shared" ref="D87:AZ87" si="395">D89+D90+D91+D92+D93+D94+D95+D96</f>
        <v>0</v>
      </c>
      <c r="E87" s="29">
        <f t="shared" si="395"/>
        <v>45797.499999999993</v>
      </c>
      <c r="F87" s="29">
        <f t="shared" si="395"/>
        <v>22103.5</v>
      </c>
      <c r="G87" s="29">
        <f t="shared" si="395"/>
        <v>1089.8000000000002</v>
      </c>
      <c r="H87" s="29">
        <f t="shared" si="395"/>
        <v>0</v>
      </c>
      <c r="I87" s="29">
        <f t="shared" si="395"/>
        <v>1687</v>
      </c>
      <c r="J87" s="29">
        <f t="shared" si="395"/>
        <v>153.19999999999999</v>
      </c>
      <c r="K87" s="29">
        <f t="shared" si="372"/>
        <v>2776.8</v>
      </c>
      <c r="L87" s="29">
        <f t="shared" si="372"/>
        <v>153.19999999999999</v>
      </c>
      <c r="M87" s="29">
        <f t="shared" si="395"/>
        <v>2144.6999999999998</v>
      </c>
      <c r="N87" s="29">
        <f t="shared" si="395"/>
        <v>468</v>
      </c>
      <c r="O87" s="29">
        <f t="shared" si="395"/>
        <v>2776.8</v>
      </c>
      <c r="P87" s="29">
        <f t="shared" si="395"/>
        <v>153.19999999999999</v>
      </c>
      <c r="Q87" s="29">
        <f t="shared" si="395"/>
        <v>276.89999999999998</v>
      </c>
      <c r="R87" s="29">
        <f t="shared" si="395"/>
        <v>70.400000000000006</v>
      </c>
      <c r="S87" s="29">
        <f t="shared" si="374"/>
        <v>3053.7000000000003</v>
      </c>
      <c r="T87" s="29">
        <f t="shared" si="374"/>
        <v>223.6</v>
      </c>
      <c r="U87" s="29">
        <f t="shared" si="395"/>
        <v>556.4</v>
      </c>
      <c r="V87" s="29">
        <f t="shared" si="395"/>
        <v>130.69999999999999</v>
      </c>
      <c r="W87" s="29">
        <f t="shared" si="375"/>
        <v>3610.1000000000004</v>
      </c>
      <c r="X87" s="29">
        <f t="shared" si="375"/>
        <v>354.29999999999995</v>
      </c>
      <c r="Y87" s="29">
        <f t="shared" si="395"/>
        <v>21358.7</v>
      </c>
      <c r="Z87" s="29">
        <f t="shared" si="395"/>
        <v>16168.2</v>
      </c>
      <c r="AA87" s="29">
        <f t="shared" si="376"/>
        <v>24968.800000000003</v>
      </c>
      <c r="AB87" s="29">
        <f t="shared" si="376"/>
        <v>16522.5</v>
      </c>
      <c r="AC87" s="29">
        <f t="shared" si="395"/>
        <v>3981.8999999999996</v>
      </c>
      <c r="AD87" s="29">
        <f t="shared" si="395"/>
        <v>0</v>
      </c>
      <c r="AE87" s="29">
        <f t="shared" si="377"/>
        <v>28950.700000000004</v>
      </c>
      <c r="AF87" s="29">
        <f t="shared" si="377"/>
        <v>16522.5</v>
      </c>
      <c r="AG87" s="29">
        <f t="shared" si="395"/>
        <v>2865.1</v>
      </c>
      <c r="AH87" s="29">
        <f t="shared" si="395"/>
        <v>536.4</v>
      </c>
      <c r="AI87" s="29">
        <f t="shared" si="378"/>
        <v>31815.800000000003</v>
      </c>
      <c r="AJ87" s="29">
        <f t="shared" si="378"/>
        <v>17058.900000000001</v>
      </c>
      <c r="AK87" s="29">
        <f t="shared" si="395"/>
        <v>1341.6999999999998</v>
      </c>
      <c r="AL87" s="29">
        <f t="shared" si="395"/>
        <v>150.30000000000001</v>
      </c>
      <c r="AM87" s="29">
        <f t="shared" si="379"/>
        <v>33157.5</v>
      </c>
      <c r="AN87" s="29">
        <f t="shared" si="379"/>
        <v>17209.2</v>
      </c>
      <c r="AO87" s="29">
        <f t="shared" si="395"/>
        <v>1396.8</v>
      </c>
      <c r="AP87" s="29">
        <f t="shared" si="395"/>
        <v>166.7</v>
      </c>
      <c r="AQ87" s="29">
        <f t="shared" si="380"/>
        <v>34554.300000000003</v>
      </c>
      <c r="AR87" s="29">
        <f t="shared" si="380"/>
        <v>17375.900000000001</v>
      </c>
      <c r="AS87" s="29">
        <f t="shared" si="395"/>
        <v>2625.7</v>
      </c>
      <c r="AT87" s="29">
        <f t="shared" si="395"/>
        <v>0</v>
      </c>
      <c r="AU87" s="29">
        <f t="shared" si="382"/>
        <v>37180</v>
      </c>
      <c r="AV87" s="29">
        <f t="shared" si="382"/>
        <v>17375.900000000001</v>
      </c>
      <c r="AW87" s="29">
        <f t="shared" si="395"/>
        <v>6472.7999999999993</v>
      </c>
      <c r="AX87" s="29">
        <f t="shared" si="395"/>
        <v>4259.6000000000004</v>
      </c>
      <c r="AY87" s="29">
        <f t="shared" si="395"/>
        <v>0</v>
      </c>
      <c r="AZ87" s="29">
        <f t="shared" si="395"/>
        <v>2284.5</v>
      </c>
      <c r="BA87" s="55">
        <f t="shared" si="350"/>
        <v>-1</v>
      </c>
      <c r="BB87" s="55">
        <f t="shared" si="350"/>
        <v>-0.89664532766303984</v>
      </c>
      <c r="BC87" s="29">
        <f t="shared" ref="BC87:DP87" si="396">BC89+BC90+BC91+BC92+BC93+BC94+BC95+BC96</f>
        <v>0</v>
      </c>
      <c r="BD87" s="29">
        <f t="shared" si="396"/>
        <v>0</v>
      </c>
      <c r="BE87" s="29">
        <f t="shared" si="396"/>
        <v>0</v>
      </c>
      <c r="BF87" s="29">
        <f t="shared" si="396"/>
        <v>316.60000000000002</v>
      </c>
      <c r="BG87" s="29">
        <f t="shared" si="384"/>
        <v>0</v>
      </c>
      <c r="BH87" s="29">
        <f t="shared" si="384"/>
        <v>316.60000000000002</v>
      </c>
      <c r="BI87" s="55">
        <f t="shared" si="352"/>
        <v>-1</v>
      </c>
      <c r="BJ87" s="55">
        <f t="shared" si="352"/>
        <v>1.0665796344647522</v>
      </c>
      <c r="BK87" s="29">
        <f t="shared" si="396"/>
        <v>0</v>
      </c>
      <c r="BL87" s="29">
        <f t="shared" si="396"/>
        <v>368.4</v>
      </c>
      <c r="BM87" s="29">
        <f t="shared" si="385"/>
        <v>0</v>
      </c>
      <c r="BN87" s="29">
        <f t="shared" si="385"/>
        <v>685</v>
      </c>
      <c r="BO87" s="55">
        <f t="shared" si="354"/>
        <v>-1</v>
      </c>
      <c r="BP87" s="55">
        <f t="shared" si="354"/>
        <v>3.4712793733681462</v>
      </c>
      <c r="BQ87" s="29">
        <f t="shared" si="396"/>
        <v>0</v>
      </c>
      <c r="BR87" s="29">
        <f t="shared" si="396"/>
        <v>0</v>
      </c>
      <c r="BS87" s="29">
        <f t="shared" si="386"/>
        <v>0</v>
      </c>
      <c r="BT87" s="29">
        <f t="shared" si="386"/>
        <v>685</v>
      </c>
      <c r="BU87" s="55">
        <f t="shared" si="356"/>
        <v>-1</v>
      </c>
      <c r="BV87" s="55">
        <f t="shared" si="356"/>
        <v>2.06350626118068</v>
      </c>
      <c r="BW87" s="29">
        <f t="shared" si="396"/>
        <v>0</v>
      </c>
      <c r="BX87" s="29">
        <f t="shared" si="396"/>
        <v>0</v>
      </c>
      <c r="BY87" s="29">
        <f t="shared" si="387"/>
        <v>0</v>
      </c>
      <c r="BZ87" s="29">
        <f t="shared" si="387"/>
        <v>685</v>
      </c>
      <c r="CA87" s="55">
        <f t="shared" si="358"/>
        <v>-1</v>
      </c>
      <c r="CB87" s="55">
        <f t="shared" si="358"/>
        <v>0.9333897826700539</v>
      </c>
      <c r="CC87" s="29">
        <f t="shared" si="396"/>
        <v>0</v>
      </c>
      <c r="CD87" s="29">
        <f t="shared" si="396"/>
        <v>0</v>
      </c>
      <c r="CE87" s="29">
        <f t="shared" si="388"/>
        <v>0</v>
      </c>
      <c r="CF87" s="29">
        <f t="shared" si="388"/>
        <v>685</v>
      </c>
      <c r="CG87" s="55">
        <f t="shared" si="360"/>
        <v>-1</v>
      </c>
      <c r="CH87" s="55">
        <f t="shared" si="360"/>
        <v>-0.9585413829626267</v>
      </c>
      <c r="CI87" s="29">
        <f t="shared" si="396"/>
        <v>0</v>
      </c>
      <c r="CJ87" s="29">
        <f t="shared" si="396"/>
        <v>0</v>
      </c>
      <c r="CK87" s="29">
        <f t="shared" si="389"/>
        <v>0</v>
      </c>
      <c r="CL87" s="29">
        <f t="shared" si="389"/>
        <v>685</v>
      </c>
      <c r="CM87" s="55">
        <f t="shared" si="362"/>
        <v>-1</v>
      </c>
      <c r="CN87" s="55">
        <f t="shared" si="362"/>
        <v>-0.9585413829626267</v>
      </c>
      <c r="CO87" s="29">
        <f t="shared" si="396"/>
        <v>0</v>
      </c>
      <c r="CP87" s="29">
        <f t="shared" si="396"/>
        <v>0</v>
      </c>
      <c r="CQ87" s="29">
        <f t="shared" si="390"/>
        <v>0</v>
      </c>
      <c r="CR87" s="29">
        <f t="shared" si="390"/>
        <v>685</v>
      </c>
      <c r="CS87" s="55">
        <f t="shared" si="364"/>
        <v>-1</v>
      </c>
      <c r="CT87" s="55">
        <f t="shared" si="364"/>
        <v>-0.95984500759134528</v>
      </c>
      <c r="CU87" s="29">
        <f t="shared" si="396"/>
        <v>0</v>
      </c>
      <c r="CV87" s="29">
        <f t="shared" si="396"/>
        <v>0</v>
      </c>
      <c r="CW87" s="29">
        <f t="shared" si="391"/>
        <v>0</v>
      </c>
      <c r="CX87" s="29">
        <f t="shared" si="391"/>
        <v>685</v>
      </c>
      <c r="CY87" s="55">
        <f t="shared" si="366"/>
        <v>-1</v>
      </c>
      <c r="CZ87" s="55">
        <f t="shared" si="366"/>
        <v>-0.96019570927178488</v>
      </c>
      <c r="DA87" s="29">
        <f t="shared" si="396"/>
        <v>0</v>
      </c>
      <c r="DB87" s="29">
        <f t="shared" si="396"/>
        <v>0</v>
      </c>
      <c r="DC87" s="29">
        <f t="shared" si="392"/>
        <v>0</v>
      </c>
      <c r="DD87" s="29">
        <f t="shared" si="392"/>
        <v>685</v>
      </c>
      <c r="DE87" s="55">
        <f t="shared" si="368"/>
        <v>-1</v>
      </c>
      <c r="DF87" s="55">
        <f t="shared" si="368"/>
        <v>-0.96057758159289586</v>
      </c>
      <c r="DG87" s="29">
        <f t="shared" si="396"/>
        <v>0</v>
      </c>
      <c r="DH87" s="29">
        <f t="shared" si="396"/>
        <v>0</v>
      </c>
      <c r="DI87" s="29">
        <f t="shared" si="393"/>
        <v>0</v>
      </c>
      <c r="DJ87" s="29">
        <f t="shared" si="393"/>
        <v>685</v>
      </c>
      <c r="DK87" s="55">
        <f t="shared" si="370"/>
        <v>-1</v>
      </c>
      <c r="DL87" s="55">
        <f t="shared" si="370"/>
        <v>-0.96057758159289586</v>
      </c>
      <c r="DM87" s="29">
        <f t="shared" si="396"/>
        <v>0</v>
      </c>
      <c r="DN87" s="29">
        <f t="shared" si="396"/>
        <v>0</v>
      </c>
      <c r="DO87" s="29">
        <f t="shared" si="396"/>
        <v>0</v>
      </c>
      <c r="DP87" s="29">
        <f t="shared" si="396"/>
        <v>0</v>
      </c>
      <c r="DQ87" s="29">
        <f t="shared" ref="DQ87:DR87" si="397">DQ89+DQ90+DQ91+DQ92+DQ93+DQ94+DQ95+DQ96</f>
        <v>0</v>
      </c>
      <c r="DR87" s="29">
        <f t="shared" si="397"/>
        <v>2284.5</v>
      </c>
      <c r="DS87" s="55">
        <f>IF($AY$87=0,1,DQ87/$AY$87-1)</f>
        <v>1</v>
      </c>
      <c r="DT87" s="55">
        <f>IF($AZ$87=0,1,DR87/$AZ$87-1)</f>
        <v>0</v>
      </c>
      <c r="DU87" s="55">
        <f>IF($E$87=0,1,DQ87/$E$87-1)</f>
        <v>-1</v>
      </c>
      <c r="DV87" s="55">
        <f>IF($E$87=0,1,DR87/$E$87-1)</f>
        <v>-0.95011736448496098</v>
      </c>
      <c r="DW87" s="25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3"/>
      <c r="FG87" s="103"/>
      <c r="FH87" s="103"/>
      <c r="FI87" s="103"/>
      <c r="FJ87" s="103"/>
      <c r="FK87" s="103"/>
      <c r="FL87" s="103"/>
      <c r="FM87" s="103"/>
      <c r="FN87" s="103"/>
      <c r="FO87" s="103"/>
      <c r="FP87" s="103"/>
      <c r="FQ87" s="103"/>
      <c r="FR87" s="103"/>
      <c r="FS87" s="103"/>
      <c r="FT87" s="103"/>
      <c r="FU87" s="103"/>
      <c r="FV87" s="103"/>
      <c r="FW87" s="103"/>
      <c r="FX87" s="103"/>
      <c r="FY87" s="103"/>
      <c r="FZ87" s="103"/>
      <c r="GA87" s="103"/>
      <c r="GB87" s="103"/>
      <c r="GC87" s="103"/>
      <c r="GD87" s="103"/>
      <c r="GE87" s="103"/>
      <c r="GF87" s="103"/>
      <c r="GG87" s="103"/>
      <c r="GH87" s="103"/>
      <c r="GI87" s="103"/>
      <c r="GJ87" s="103"/>
      <c r="GK87" s="103"/>
      <c r="GL87" s="103"/>
      <c r="GM87" s="103"/>
      <c r="GN87" s="103"/>
      <c r="GO87" s="103"/>
      <c r="GP87" s="103"/>
      <c r="GQ87" s="103"/>
      <c r="GR87" s="103"/>
      <c r="GS87" s="103"/>
      <c r="GT87" s="103"/>
      <c r="GU87" s="103"/>
      <c r="GV87" s="103"/>
      <c r="GW87" s="103"/>
      <c r="GX87" s="103"/>
      <c r="GY87" s="103"/>
      <c r="GZ87" s="103"/>
      <c r="HA87" s="103"/>
      <c r="HB87" s="103"/>
      <c r="HC87" s="103"/>
      <c r="HD87" s="103"/>
      <c r="HE87" s="103"/>
      <c r="HF87" s="103"/>
      <c r="HG87" s="103"/>
      <c r="HH87" s="103"/>
      <c r="HI87" s="103"/>
      <c r="HJ87" s="103"/>
      <c r="HK87" s="103"/>
      <c r="HL87" s="103"/>
      <c r="HM87" s="103"/>
      <c r="HN87" s="103"/>
      <c r="HO87" s="103"/>
      <c r="HP87" s="103"/>
      <c r="HQ87" s="103"/>
      <c r="HR87" s="103"/>
      <c r="HS87" s="103"/>
      <c r="HT87" s="103"/>
      <c r="HU87" s="103"/>
      <c r="HV87" s="103"/>
      <c r="HW87" s="103"/>
      <c r="HX87" s="103"/>
      <c r="HY87" s="103"/>
      <c r="HZ87" s="103"/>
      <c r="IA87" s="103"/>
      <c r="IB87" s="103"/>
      <c r="IC87" s="103"/>
      <c r="ID87" s="103"/>
      <c r="IE87" s="103"/>
      <c r="IF87" s="103"/>
      <c r="IG87" s="103"/>
      <c r="IH87" s="103"/>
      <c r="II87" s="103"/>
      <c r="IJ87" s="103"/>
      <c r="IK87" s="103"/>
      <c r="IL87" s="103"/>
      <c r="IM87" s="103"/>
      <c r="IN87" s="103"/>
      <c r="IO87" s="103"/>
      <c r="IP87" s="103"/>
      <c r="IQ87" s="103"/>
      <c r="IR87" s="103"/>
      <c r="IS87" s="103"/>
      <c r="IT87" s="103"/>
      <c r="IU87" s="103"/>
      <c r="IV87" s="103"/>
      <c r="IW87" s="103"/>
      <c r="IX87" s="103"/>
      <c r="IY87" s="103"/>
      <c r="IZ87" s="103"/>
      <c r="JA87" s="103"/>
      <c r="JB87" s="103"/>
      <c r="JC87" s="103"/>
      <c r="JD87" s="103"/>
      <c r="JE87" s="103"/>
      <c r="JF87" s="103"/>
      <c r="JG87" s="103"/>
      <c r="JH87" s="103"/>
    </row>
    <row r="88" spans="1:268" s="104" customFormat="1" ht="19.5" customHeight="1">
      <c r="A88" s="292" t="s">
        <v>140</v>
      </c>
      <c r="B88" s="293"/>
      <c r="C88" s="29"/>
      <c r="D88" s="29"/>
      <c r="E88" s="29"/>
      <c r="F88" s="29"/>
      <c r="G88" s="29"/>
      <c r="H88" s="29"/>
      <c r="I88" s="29"/>
      <c r="J88" s="29"/>
      <c r="K88" s="29">
        <f t="shared" si="372"/>
        <v>0</v>
      </c>
      <c r="L88" s="29">
        <f t="shared" si="372"/>
        <v>0</v>
      </c>
      <c r="M88" s="29"/>
      <c r="N88" s="29"/>
      <c r="O88" s="29"/>
      <c r="P88" s="29"/>
      <c r="Q88" s="29"/>
      <c r="R88" s="29"/>
      <c r="S88" s="29">
        <f t="shared" si="374"/>
        <v>0</v>
      </c>
      <c r="T88" s="29">
        <f t="shared" si="374"/>
        <v>0</v>
      </c>
      <c r="U88" s="29"/>
      <c r="V88" s="29"/>
      <c r="W88" s="29">
        <f t="shared" si="375"/>
        <v>0</v>
      </c>
      <c r="X88" s="29">
        <f t="shared" si="375"/>
        <v>0</v>
      </c>
      <c r="Y88" s="29"/>
      <c r="Z88" s="29"/>
      <c r="AA88" s="29">
        <f t="shared" si="376"/>
        <v>0</v>
      </c>
      <c r="AB88" s="29">
        <f t="shared" si="376"/>
        <v>0</v>
      </c>
      <c r="AC88" s="29"/>
      <c r="AD88" s="29"/>
      <c r="AE88" s="29">
        <f t="shared" si="377"/>
        <v>0</v>
      </c>
      <c r="AF88" s="29">
        <f t="shared" si="377"/>
        <v>0</v>
      </c>
      <c r="AG88" s="29"/>
      <c r="AH88" s="29"/>
      <c r="AI88" s="29">
        <f t="shared" si="378"/>
        <v>0</v>
      </c>
      <c r="AJ88" s="29">
        <f t="shared" si="378"/>
        <v>0</v>
      </c>
      <c r="AK88" s="29"/>
      <c r="AL88" s="29"/>
      <c r="AM88" s="29">
        <f t="shared" si="379"/>
        <v>0</v>
      </c>
      <c r="AN88" s="29">
        <f t="shared" si="379"/>
        <v>0</v>
      </c>
      <c r="AO88" s="29"/>
      <c r="AP88" s="29"/>
      <c r="AQ88" s="29">
        <f t="shared" si="380"/>
        <v>0</v>
      </c>
      <c r="AR88" s="29">
        <f t="shared" si="380"/>
        <v>0</v>
      </c>
      <c r="AS88" s="29"/>
      <c r="AT88" s="29"/>
      <c r="AU88" s="29">
        <f t="shared" si="382"/>
        <v>0</v>
      </c>
      <c r="AV88" s="29">
        <f t="shared" si="382"/>
        <v>0</v>
      </c>
      <c r="AW88" s="29"/>
      <c r="AX88" s="29"/>
      <c r="AY88" s="29"/>
      <c r="AZ88" s="29"/>
      <c r="BA88" s="55">
        <f t="shared" si="350"/>
        <v>1</v>
      </c>
      <c r="BB88" s="55">
        <f t="shared" si="350"/>
        <v>1</v>
      </c>
      <c r="BC88" s="29"/>
      <c r="BD88" s="29"/>
      <c r="BE88" s="29"/>
      <c r="BF88" s="29"/>
      <c r="BG88" s="29">
        <f t="shared" si="384"/>
        <v>0</v>
      </c>
      <c r="BH88" s="29">
        <f t="shared" si="384"/>
        <v>0</v>
      </c>
      <c r="BI88" s="55">
        <f t="shared" si="352"/>
        <v>1</v>
      </c>
      <c r="BJ88" s="55">
        <f t="shared" si="352"/>
        <v>1</v>
      </c>
      <c r="BK88" s="29"/>
      <c r="BL88" s="29"/>
      <c r="BM88" s="29">
        <f t="shared" si="385"/>
        <v>0</v>
      </c>
      <c r="BN88" s="29">
        <f t="shared" si="385"/>
        <v>0</v>
      </c>
      <c r="BO88" s="55">
        <f t="shared" si="354"/>
        <v>1</v>
      </c>
      <c r="BP88" s="55">
        <f t="shared" si="354"/>
        <v>1</v>
      </c>
      <c r="BQ88" s="29"/>
      <c r="BR88" s="29"/>
      <c r="BS88" s="29">
        <f t="shared" si="386"/>
        <v>0</v>
      </c>
      <c r="BT88" s="29">
        <f t="shared" si="386"/>
        <v>0</v>
      </c>
      <c r="BU88" s="55">
        <f t="shared" si="356"/>
        <v>1</v>
      </c>
      <c r="BV88" s="55">
        <f t="shared" si="356"/>
        <v>1</v>
      </c>
      <c r="BW88" s="29"/>
      <c r="BX88" s="29"/>
      <c r="BY88" s="29">
        <f t="shared" si="387"/>
        <v>0</v>
      </c>
      <c r="BZ88" s="29">
        <f t="shared" si="387"/>
        <v>0</v>
      </c>
      <c r="CA88" s="55">
        <f t="shared" si="358"/>
        <v>1</v>
      </c>
      <c r="CB88" s="55">
        <f t="shared" si="358"/>
        <v>1</v>
      </c>
      <c r="CC88" s="29"/>
      <c r="CD88" s="29"/>
      <c r="CE88" s="29">
        <f t="shared" si="388"/>
        <v>0</v>
      </c>
      <c r="CF88" s="29">
        <f t="shared" si="388"/>
        <v>0</v>
      </c>
      <c r="CG88" s="55">
        <f t="shared" si="360"/>
        <v>1</v>
      </c>
      <c r="CH88" s="55">
        <f t="shared" si="360"/>
        <v>1</v>
      </c>
      <c r="CI88" s="29"/>
      <c r="CJ88" s="29"/>
      <c r="CK88" s="29">
        <f t="shared" si="389"/>
        <v>0</v>
      </c>
      <c r="CL88" s="29">
        <f t="shared" si="389"/>
        <v>0</v>
      </c>
      <c r="CM88" s="55">
        <f t="shared" si="362"/>
        <v>1</v>
      </c>
      <c r="CN88" s="55">
        <f t="shared" si="362"/>
        <v>1</v>
      </c>
      <c r="CO88" s="29"/>
      <c r="CP88" s="29"/>
      <c r="CQ88" s="29">
        <f t="shared" si="390"/>
        <v>0</v>
      </c>
      <c r="CR88" s="29">
        <f t="shared" si="390"/>
        <v>0</v>
      </c>
      <c r="CS88" s="55">
        <f t="shared" si="364"/>
        <v>1</v>
      </c>
      <c r="CT88" s="55">
        <f t="shared" si="364"/>
        <v>1</v>
      </c>
      <c r="CU88" s="29"/>
      <c r="CV88" s="29"/>
      <c r="CW88" s="29">
        <f t="shared" si="391"/>
        <v>0</v>
      </c>
      <c r="CX88" s="29">
        <f t="shared" si="391"/>
        <v>0</v>
      </c>
      <c r="CY88" s="55">
        <f t="shared" si="366"/>
        <v>1</v>
      </c>
      <c r="CZ88" s="55">
        <f t="shared" si="366"/>
        <v>1</v>
      </c>
      <c r="DA88" s="29"/>
      <c r="DB88" s="29"/>
      <c r="DC88" s="29">
        <f t="shared" si="392"/>
        <v>0</v>
      </c>
      <c r="DD88" s="29">
        <f t="shared" si="392"/>
        <v>0</v>
      </c>
      <c r="DE88" s="55">
        <f t="shared" si="368"/>
        <v>1</v>
      </c>
      <c r="DF88" s="55">
        <f t="shared" si="368"/>
        <v>1</v>
      </c>
      <c r="DG88" s="29"/>
      <c r="DH88" s="29"/>
      <c r="DI88" s="29">
        <f t="shared" si="393"/>
        <v>0</v>
      </c>
      <c r="DJ88" s="29">
        <f t="shared" si="393"/>
        <v>0</v>
      </c>
      <c r="DK88" s="55">
        <f t="shared" si="370"/>
        <v>1</v>
      </c>
      <c r="DL88" s="55">
        <f t="shared" si="370"/>
        <v>1</v>
      </c>
      <c r="DM88" s="29"/>
      <c r="DN88" s="29"/>
      <c r="DO88" s="29"/>
      <c r="DP88" s="29"/>
      <c r="DQ88" s="29"/>
      <c r="DR88" s="29"/>
      <c r="DS88" s="55">
        <f>IF($AY$88=0,1,DQ88/$AY$88-1)</f>
        <v>1</v>
      </c>
      <c r="DT88" s="55">
        <f>IF($AZ$88=0,1,DR88/$AZ$88-1)</f>
        <v>1</v>
      </c>
      <c r="DU88" s="55">
        <f>IF($E$88=0,1,DQ88/$E$88-1)</f>
        <v>1</v>
      </c>
      <c r="DV88" s="55">
        <f>IF($E$88=0,1,DR88/$E$88-1)</f>
        <v>1</v>
      </c>
      <c r="DW88" s="25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3"/>
      <c r="GE88" s="103"/>
      <c r="GF88" s="103"/>
      <c r="GG88" s="103"/>
      <c r="GH88" s="103"/>
      <c r="GI88" s="103"/>
      <c r="GJ88" s="103"/>
      <c r="GK88" s="103"/>
      <c r="GL88" s="103"/>
      <c r="GM88" s="103"/>
      <c r="GN88" s="103"/>
      <c r="GO88" s="103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103"/>
      <c r="HD88" s="103"/>
      <c r="HE88" s="103"/>
      <c r="HF88" s="103"/>
      <c r="HG88" s="103"/>
      <c r="HH88" s="103"/>
      <c r="HI88" s="103"/>
      <c r="HJ88" s="103"/>
      <c r="HK88" s="103"/>
      <c r="HL88" s="103"/>
      <c r="HM88" s="103"/>
      <c r="HN88" s="103"/>
      <c r="HO88" s="103"/>
      <c r="HP88" s="103"/>
      <c r="HQ88" s="103"/>
      <c r="HR88" s="103"/>
      <c r="HS88" s="103"/>
      <c r="HT88" s="103"/>
      <c r="HU88" s="103"/>
      <c r="HV88" s="103"/>
      <c r="HW88" s="103"/>
      <c r="HX88" s="103"/>
      <c r="HY88" s="103"/>
      <c r="HZ88" s="103"/>
      <c r="IA88" s="103"/>
      <c r="IB88" s="103"/>
      <c r="IC88" s="103"/>
      <c r="ID88" s="103"/>
      <c r="IE88" s="103"/>
      <c r="IF88" s="103"/>
      <c r="IG88" s="103"/>
      <c r="IH88" s="103"/>
      <c r="II88" s="103"/>
      <c r="IJ88" s="103"/>
      <c r="IK88" s="103"/>
      <c r="IL88" s="103"/>
      <c r="IM88" s="103"/>
      <c r="IN88" s="103"/>
      <c r="IO88" s="103"/>
      <c r="IP88" s="103"/>
      <c r="IQ88" s="103"/>
      <c r="IR88" s="103"/>
      <c r="IS88" s="103"/>
      <c r="IT88" s="103"/>
      <c r="IU88" s="103"/>
      <c r="IV88" s="103"/>
      <c r="IW88" s="103"/>
      <c r="IX88" s="103"/>
      <c r="IY88" s="103"/>
      <c r="IZ88" s="103"/>
      <c r="JA88" s="103"/>
      <c r="JB88" s="103"/>
      <c r="JC88" s="103"/>
      <c r="JD88" s="103"/>
      <c r="JE88" s="103"/>
      <c r="JF88" s="103"/>
      <c r="JG88" s="103"/>
      <c r="JH88" s="103"/>
    </row>
    <row r="89" spans="1:268" s="104" customFormat="1" ht="19.5" customHeight="1">
      <c r="A89" s="292">
        <v>243</v>
      </c>
      <c r="B89" s="293"/>
      <c r="C89" s="29"/>
      <c r="D89" s="29"/>
      <c r="E89" s="29">
        <f t="shared" ref="E89:F96" si="398">G89+I89+M89+Q89+U89+Y89+AC89+AG89+AK89+AO89+AS89+AW89</f>
        <v>88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f t="shared" si="372"/>
        <v>0</v>
      </c>
      <c r="L89" s="29">
        <f t="shared" si="372"/>
        <v>0</v>
      </c>
      <c r="M89" s="29">
        <v>0</v>
      </c>
      <c r="N89" s="29">
        <v>0</v>
      </c>
      <c r="O89" s="29">
        <f t="shared" ref="O89:P96" si="399">I89+G89</f>
        <v>0</v>
      </c>
      <c r="P89" s="29">
        <f t="shared" si="399"/>
        <v>0</v>
      </c>
      <c r="Q89" s="29">
        <v>0</v>
      </c>
      <c r="R89" s="29">
        <v>0</v>
      </c>
      <c r="S89" s="29">
        <f t="shared" si="374"/>
        <v>0</v>
      </c>
      <c r="T89" s="29">
        <f t="shared" si="374"/>
        <v>0</v>
      </c>
      <c r="U89" s="29">
        <v>0</v>
      </c>
      <c r="V89" s="29">
        <v>0</v>
      </c>
      <c r="W89" s="29">
        <f t="shared" si="375"/>
        <v>0</v>
      </c>
      <c r="X89" s="29">
        <f t="shared" si="375"/>
        <v>0</v>
      </c>
      <c r="Y89" s="29">
        <v>21.8</v>
      </c>
      <c r="Z89" s="29">
        <v>0</v>
      </c>
      <c r="AA89" s="29">
        <f t="shared" si="376"/>
        <v>21.8</v>
      </c>
      <c r="AB89" s="29">
        <f t="shared" si="376"/>
        <v>0</v>
      </c>
      <c r="AC89" s="29">
        <v>41.2</v>
      </c>
      <c r="AD89" s="29">
        <v>0</v>
      </c>
      <c r="AE89" s="29">
        <f t="shared" si="377"/>
        <v>63</v>
      </c>
      <c r="AF89" s="29">
        <f t="shared" si="377"/>
        <v>0</v>
      </c>
      <c r="AG89" s="29">
        <v>0</v>
      </c>
      <c r="AH89" s="29">
        <v>0</v>
      </c>
      <c r="AI89" s="29">
        <f t="shared" si="378"/>
        <v>63</v>
      </c>
      <c r="AJ89" s="29">
        <f t="shared" si="378"/>
        <v>0</v>
      </c>
      <c r="AK89" s="29">
        <v>0</v>
      </c>
      <c r="AL89" s="29">
        <v>0</v>
      </c>
      <c r="AM89" s="29">
        <f t="shared" si="379"/>
        <v>63</v>
      </c>
      <c r="AN89" s="29">
        <f t="shared" si="379"/>
        <v>0</v>
      </c>
      <c r="AO89" s="29">
        <v>0</v>
      </c>
      <c r="AP89" s="29">
        <v>0</v>
      </c>
      <c r="AQ89" s="29">
        <f t="shared" si="380"/>
        <v>63</v>
      </c>
      <c r="AR89" s="29">
        <f t="shared" si="380"/>
        <v>0</v>
      </c>
      <c r="AS89" s="29">
        <v>20</v>
      </c>
      <c r="AT89" s="29">
        <v>0</v>
      </c>
      <c r="AU89" s="29">
        <f t="shared" si="382"/>
        <v>83</v>
      </c>
      <c r="AV89" s="29">
        <f t="shared" si="382"/>
        <v>0</v>
      </c>
      <c r="AW89" s="29">
        <v>5</v>
      </c>
      <c r="AX89" s="29">
        <v>0</v>
      </c>
      <c r="AY89" s="29">
        <v>0</v>
      </c>
      <c r="AZ89" s="29">
        <v>0</v>
      </c>
      <c r="BA89" s="55">
        <f t="shared" si="350"/>
        <v>-1</v>
      </c>
      <c r="BB89" s="55">
        <f t="shared" si="350"/>
        <v>1</v>
      </c>
      <c r="BC89" s="29">
        <v>0</v>
      </c>
      <c r="BD89" s="29">
        <v>0</v>
      </c>
      <c r="BE89" s="29">
        <v>0</v>
      </c>
      <c r="BF89" s="29">
        <v>0</v>
      </c>
      <c r="BG89" s="29">
        <f t="shared" si="384"/>
        <v>0</v>
      </c>
      <c r="BH89" s="29">
        <f t="shared" si="384"/>
        <v>0</v>
      </c>
      <c r="BI89" s="55">
        <f t="shared" si="352"/>
        <v>1</v>
      </c>
      <c r="BJ89" s="55">
        <f t="shared" si="352"/>
        <v>1</v>
      </c>
      <c r="BK89" s="29">
        <v>0</v>
      </c>
      <c r="BL89" s="29">
        <v>0</v>
      </c>
      <c r="BM89" s="29">
        <f t="shared" si="385"/>
        <v>0</v>
      </c>
      <c r="BN89" s="29">
        <f t="shared" si="385"/>
        <v>0</v>
      </c>
      <c r="BO89" s="55">
        <f t="shared" si="354"/>
        <v>1</v>
      </c>
      <c r="BP89" s="55">
        <f t="shared" si="354"/>
        <v>1</v>
      </c>
      <c r="BQ89" s="29"/>
      <c r="BR89" s="29"/>
      <c r="BS89" s="29">
        <f t="shared" si="386"/>
        <v>0</v>
      </c>
      <c r="BT89" s="29">
        <f t="shared" si="386"/>
        <v>0</v>
      </c>
      <c r="BU89" s="55">
        <f t="shared" si="356"/>
        <v>1</v>
      </c>
      <c r="BV89" s="55">
        <f t="shared" si="356"/>
        <v>1</v>
      </c>
      <c r="BW89" s="29"/>
      <c r="BX89" s="29"/>
      <c r="BY89" s="29">
        <f t="shared" si="387"/>
        <v>0</v>
      </c>
      <c r="BZ89" s="29">
        <f t="shared" si="387"/>
        <v>0</v>
      </c>
      <c r="CA89" s="55">
        <f t="shared" si="358"/>
        <v>1</v>
      </c>
      <c r="CB89" s="55">
        <f t="shared" si="358"/>
        <v>1</v>
      </c>
      <c r="CC89" s="29"/>
      <c r="CD89" s="29"/>
      <c r="CE89" s="29">
        <f t="shared" si="388"/>
        <v>0</v>
      </c>
      <c r="CF89" s="29">
        <f t="shared" si="388"/>
        <v>0</v>
      </c>
      <c r="CG89" s="55">
        <f t="shared" si="360"/>
        <v>-1</v>
      </c>
      <c r="CH89" s="55">
        <f t="shared" si="360"/>
        <v>1</v>
      </c>
      <c r="CI89" s="29"/>
      <c r="CJ89" s="29"/>
      <c r="CK89" s="29">
        <f t="shared" si="389"/>
        <v>0</v>
      </c>
      <c r="CL89" s="29">
        <f t="shared" si="389"/>
        <v>0</v>
      </c>
      <c r="CM89" s="55">
        <f t="shared" si="362"/>
        <v>-1</v>
      </c>
      <c r="CN89" s="55">
        <f t="shared" si="362"/>
        <v>1</v>
      </c>
      <c r="CO89" s="29"/>
      <c r="CP89" s="29"/>
      <c r="CQ89" s="29">
        <f t="shared" si="390"/>
        <v>0</v>
      </c>
      <c r="CR89" s="29">
        <f t="shared" si="390"/>
        <v>0</v>
      </c>
      <c r="CS89" s="55">
        <f t="shared" si="364"/>
        <v>-1</v>
      </c>
      <c r="CT89" s="55">
        <f t="shared" si="364"/>
        <v>1</v>
      </c>
      <c r="CU89" s="29"/>
      <c r="CV89" s="29"/>
      <c r="CW89" s="29">
        <f t="shared" si="391"/>
        <v>0</v>
      </c>
      <c r="CX89" s="29">
        <f t="shared" si="391"/>
        <v>0</v>
      </c>
      <c r="CY89" s="55">
        <f t="shared" si="366"/>
        <v>-1</v>
      </c>
      <c r="CZ89" s="55">
        <f t="shared" si="366"/>
        <v>1</v>
      </c>
      <c r="DA89" s="29"/>
      <c r="DB89" s="29"/>
      <c r="DC89" s="29">
        <f t="shared" si="392"/>
        <v>0</v>
      </c>
      <c r="DD89" s="29">
        <f t="shared" si="392"/>
        <v>0</v>
      </c>
      <c r="DE89" s="55">
        <f t="shared" si="368"/>
        <v>-1</v>
      </c>
      <c r="DF89" s="55">
        <f t="shared" si="368"/>
        <v>1</v>
      </c>
      <c r="DG89" s="29"/>
      <c r="DH89" s="29"/>
      <c r="DI89" s="29">
        <f t="shared" si="393"/>
        <v>0</v>
      </c>
      <c r="DJ89" s="29">
        <f t="shared" si="393"/>
        <v>0</v>
      </c>
      <c r="DK89" s="55">
        <f t="shared" si="370"/>
        <v>-1</v>
      </c>
      <c r="DL89" s="55">
        <f t="shared" si="370"/>
        <v>1</v>
      </c>
      <c r="DM89" s="29"/>
      <c r="DN89" s="29"/>
      <c r="DO89" s="29"/>
      <c r="DP89" s="29"/>
      <c r="DQ89" s="29">
        <v>0</v>
      </c>
      <c r="DR89" s="29">
        <v>0</v>
      </c>
      <c r="DS89" s="55">
        <f>IF($AY$89=0,1,DQ89/$AY$89-1)</f>
        <v>1</v>
      </c>
      <c r="DT89" s="55">
        <f>IF($AZ$89=0,1,DR89/$AZ$89-1)</f>
        <v>1</v>
      </c>
      <c r="DU89" s="55">
        <f>IF($E$89=0,1,DQ89/$E$89-1)</f>
        <v>-1</v>
      </c>
      <c r="DV89" s="55">
        <f>IF($E$89=0,1,DR89/$E$89-1)</f>
        <v>-1</v>
      </c>
      <c r="DW89" s="25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  <c r="IY89" s="103"/>
      <c r="IZ89" s="103"/>
      <c r="JA89" s="103"/>
      <c r="JB89" s="103"/>
      <c r="JC89" s="103"/>
      <c r="JD89" s="103"/>
      <c r="JE89" s="103"/>
      <c r="JF89" s="103"/>
      <c r="JG89" s="103"/>
      <c r="JH89" s="103"/>
    </row>
    <row r="90" spans="1:268" s="106" customFormat="1" ht="18" customHeight="1">
      <c r="A90" s="292">
        <v>244</v>
      </c>
      <c r="B90" s="293"/>
      <c r="C90" s="29"/>
      <c r="D90" s="29"/>
      <c r="E90" s="29">
        <f t="shared" si="398"/>
        <v>40469.599999999999</v>
      </c>
      <c r="F90" s="29">
        <f t="shared" si="398"/>
        <v>2103.5</v>
      </c>
      <c r="G90" s="29">
        <v>372.1</v>
      </c>
      <c r="H90" s="29">
        <v>0</v>
      </c>
      <c r="I90" s="29">
        <f>673+J90</f>
        <v>826.2</v>
      </c>
      <c r="J90" s="29">
        <v>153.19999999999999</v>
      </c>
      <c r="K90" s="29">
        <f t="shared" si="372"/>
        <v>1198.3000000000002</v>
      </c>
      <c r="L90" s="29">
        <f t="shared" si="372"/>
        <v>153.19999999999999</v>
      </c>
      <c r="M90" s="29">
        <f>1597.1+N90</f>
        <v>2065.1</v>
      </c>
      <c r="N90" s="29">
        <v>468</v>
      </c>
      <c r="O90" s="29">
        <f t="shared" si="399"/>
        <v>1198.3000000000002</v>
      </c>
      <c r="P90" s="29">
        <f t="shared" si="399"/>
        <v>153.19999999999999</v>
      </c>
      <c r="Q90" s="29">
        <f>157.3+R90</f>
        <v>227.70000000000002</v>
      </c>
      <c r="R90" s="29">
        <v>70.400000000000006</v>
      </c>
      <c r="S90" s="29">
        <f t="shared" si="374"/>
        <v>1426.0000000000002</v>
      </c>
      <c r="T90" s="29">
        <f t="shared" si="374"/>
        <v>223.6</v>
      </c>
      <c r="U90" s="29">
        <f>415.2+V90</f>
        <v>545.9</v>
      </c>
      <c r="V90" s="29">
        <v>130.69999999999999</v>
      </c>
      <c r="W90" s="29">
        <f t="shared" si="375"/>
        <v>1971.9</v>
      </c>
      <c r="X90" s="29">
        <f t="shared" si="375"/>
        <v>354.29999999999995</v>
      </c>
      <c r="Y90" s="29">
        <f>21054.7+Z90</f>
        <v>21222.9</v>
      </c>
      <c r="Z90" s="29">
        <v>168.2</v>
      </c>
      <c r="AA90" s="29">
        <f t="shared" si="376"/>
        <v>23194.800000000003</v>
      </c>
      <c r="AB90" s="29">
        <f t="shared" si="376"/>
        <v>522.5</v>
      </c>
      <c r="AC90" s="29">
        <f>3861.7+AD90</f>
        <v>3861.7</v>
      </c>
      <c r="AD90" s="29">
        <v>0</v>
      </c>
      <c r="AE90" s="29">
        <f t="shared" si="377"/>
        <v>27056.500000000004</v>
      </c>
      <c r="AF90" s="29">
        <f t="shared" si="377"/>
        <v>522.5</v>
      </c>
      <c r="AG90" s="29">
        <f>2289.7+AH90</f>
        <v>2826.1</v>
      </c>
      <c r="AH90" s="29">
        <v>536.4</v>
      </c>
      <c r="AI90" s="29">
        <f t="shared" si="378"/>
        <v>29882.600000000002</v>
      </c>
      <c r="AJ90" s="29">
        <f t="shared" si="378"/>
        <v>1058.9000000000001</v>
      </c>
      <c r="AK90" s="29">
        <f>1169.8+AL90</f>
        <v>1320.1</v>
      </c>
      <c r="AL90" s="29">
        <v>150.30000000000001</v>
      </c>
      <c r="AM90" s="29">
        <f t="shared" si="379"/>
        <v>31202.7</v>
      </c>
      <c r="AN90" s="29">
        <f t="shared" si="379"/>
        <v>1209.2</v>
      </c>
      <c r="AO90" s="29">
        <f>1109.9+AP90</f>
        <v>1276.6000000000001</v>
      </c>
      <c r="AP90" s="29">
        <v>166.7</v>
      </c>
      <c r="AQ90" s="29">
        <f t="shared" si="380"/>
        <v>32479.3</v>
      </c>
      <c r="AR90" s="29">
        <f t="shared" si="380"/>
        <v>1375.9</v>
      </c>
      <c r="AS90" s="29">
        <v>165</v>
      </c>
      <c r="AT90" s="29">
        <v>0</v>
      </c>
      <c r="AU90" s="29">
        <f t="shared" si="382"/>
        <v>32644.3</v>
      </c>
      <c r="AV90" s="29">
        <f t="shared" si="382"/>
        <v>1375.9</v>
      </c>
      <c r="AW90" s="29">
        <v>5760.2</v>
      </c>
      <c r="AX90" s="29">
        <v>259.60000000000002</v>
      </c>
      <c r="AY90" s="29">
        <v>0</v>
      </c>
      <c r="AZ90" s="29">
        <v>2269.5</v>
      </c>
      <c r="BA90" s="55">
        <f t="shared" si="350"/>
        <v>-1</v>
      </c>
      <c r="BB90" s="55">
        <f t="shared" si="350"/>
        <v>7.8916092227240275E-2</v>
      </c>
      <c r="BC90" s="29"/>
      <c r="BD90" s="29">
        <v>0</v>
      </c>
      <c r="BE90" s="29"/>
      <c r="BF90" s="29">
        <v>313.60000000000002</v>
      </c>
      <c r="BG90" s="29">
        <f t="shared" si="384"/>
        <v>0</v>
      </c>
      <c r="BH90" s="29">
        <f t="shared" si="384"/>
        <v>313.60000000000002</v>
      </c>
      <c r="BI90" s="55">
        <f t="shared" si="352"/>
        <v>-1</v>
      </c>
      <c r="BJ90" s="55">
        <f t="shared" si="352"/>
        <v>1.046997389033943</v>
      </c>
      <c r="BK90" s="29">
        <v>0</v>
      </c>
      <c r="BL90" s="29">
        <f>BL81</f>
        <v>368.4</v>
      </c>
      <c r="BM90" s="29">
        <f t="shared" si="385"/>
        <v>0</v>
      </c>
      <c r="BN90" s="29">
        <f t="shared" si="385"/>
        <v>682</v>
      </c>
      <c r="BO90" s="55">
        <f t="shared" si="354"/>
        <v>-1</v>
      </c>
      <c r="BP90" s="55">
        <f t="shared" si="354"/>
        <v>3.4516971279373374</v>
      </c>
      <c r="BQ90" s="29"/>
      <c r="BR90" s="29"/>
      <c r="BS90" s="29">
        <f t="shared" si="386"/>
        <v>0</v>
      </c>
      <c r="BT90" s="29">
        <f t="shared" si="386"/>
        <v>682</v>
      </c>
      <c r="BU90" s="55">
        <f t="shared" si="356"/>
        <v>-1</v>
      </c>
      <c r="BV90" s="55">
        <f t="shared" si="356"/>
        <v>2.0500894454382825</v>
      </c>
      <c r="BW90" s="29"/>
      <c r="BX90" s="29"/>
      <c r="BY90" s="29">
        <f t="shared" si="387"/>
        <v>0</v>
      </c>
      <c r="BZ90" s="29">
        <f t="shared" si="387"/>
        <v>682</v>
      </c>
      <c r="CA90" s="55">
        <f t="shared" si="358"/>
        <v>-1</v>
      </c>
      <c r="CB90" s="55">
        <f t="shared" si="358"/>
        <v>0.92492238216200984</v>
      </c>
      <c r="CC90" s="29"/>
      <c r="CD90" s="29"/>
      <c r="CE90" s="29">
        <f t="shared" si="388"/>
        <v>0</v>
      </c>
      <c r="CF90" s="29">
        <f t="shared" si="388"/>
        <v>682</v>
      </c>
      <c r="CG90" s="55">
        <f t="shared" si="360"/>
        <v>-1</v>
      </c>
      <c r="CH90" s="55">
        <f t="shared" si="360"/>
        <v>0.3052631578947369</v>
      </c>
      <c r="CI90" s="29"/>
      <c r="CJ90" s="29"/>
      <c r="CK90" s="29">
        <f t="shared" si="389"/>
        <v>0</v>
      </c>
      <c r="CL90" s="29">
        <f t="shared" si="389"/>
        <v>682</v>
      </c>
      <c r="CM90" s="55">
        <f t="shared" si="362"/>
        <v>-1</v>
      </c>
      <c r="CN90" s="55">
        <f t="shared" si="362"/>
        <v>0.3052631578947369</v>
      </c>
      <c r="CO90" s="29"/>
      <c r="CP90" s="29"/>
      <c r="CQ90" s="29">
        <f t="shared" si="390"/>
        <v>0</v>
      </c>
      <c r="CR90" s="29">
        <f t="shared" si="390"/>
        <v>682</v>
      </c>
      <c r="CS90" s="55">
        <f t="shared" si="364"/>
        <v>-1</v>
      </c>
      <c r="CT90" s="55">
        <f t="shared" si="364"/>
        <v>-0.35593540466521867</v>
      </c>
      <c r="CU90" s="29"/>
      <c r="CV90" s="29"/>
      <c r="CW90" s="29">
        <f t="shared" si="391"/>
        <v>0</v>
      </c>
      <c r="CX90" s="29">
        <f t="shared" si="391"/>
        <v>682</v>
      </c>
      <c r="CY90" s="55">
        <f t="shared" si="366"/>
        <v>-1</v>
      </c>
      <c r="CZ90" s="55">
        <f t="shared" si="366"/>
        <v>-0.4359907376778035</v>
      </c>
      <c r="DA90" s="29"/>
      <c r="DB90" s="29"/>
      <c r="DC90" s="29">
        <f t="shared" si="392"/>
        <v>0</v>
      </c>
      <c r="DD90" s="29">
        <f t="shared" si="392"/>
        <v>682</v>
      </c>
      <c r="DE90" s="55">
        <f t="shared" si="368"/>
        <v>-1</v>
      </c>
      <c r="DF90" s="55">
        <f t="shared" si="368"/>
        <v>-0.50432444218329819</v>
      </c>
      <c r="DG90" s="29"/>
      <c r="DH90" s="29"/>
      <c r="DI90" s="29">
        <f t="shared" si="393"/>
        <v>0</v>
      </c>
      <c r="DJ90" s="29">
        <f t="shared" si="393"/>
        <v>682</v>
      </c>
      <c r="DK90" s="55">
        <f t="shared" si="370"/>
        <v>-1</v>
      </c>
      <c r="DL90" s="55">
        <f t="shared" si="370"/>
        <v>-0.50432444218329819</v>
      </c>
      <c r="DM90" s="29"/>
      <c r="DN90" s="29"/>
      <c r="DO90" s="29"/>
      <c r="DP90" s="29"/>
      <c r="DQ90" s="29">
        <v>0</v>
      </c>
      <c r="DR90" s="29">
        <v>2269.5</v>
      </c>
      <c r="DS90" s="55">
        <f>IF($AY$90=0,1,DQ90/$AY$90-1)</f>
        <v>1</v>
      </c>
      <c r="DT90" s="55">
        <f>IF($AZ$90=0,1,DR90/$AZ$90-1)</f>
        <v>0</v>
      </c>
      <c r="DU90" s="55">
        <f>IF($E$90=0,1,DQ90/$E$90-1)</f>
        <v>-1</v>
      </c>
      <c r="DV90" s="55">
        <f>IF($E$90=0,1,DR90/$E$90-1)</f>
        <v>-0.9439208689979639</v>
      </c>
      <c r="DW90" s="2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  <c r="IT90" s="105"/>
      <c r="IU90" s="105"/>
      <c r="IV90" s="105"/>
      <c r="IW90" s="105"/>
      <c r="IX90" s="105"/>
      <c r="IY90" s="105"/>
      <c r="IZ90" s="105"/>
      <c r="JA90" s="105"/>
      <c r="JB90" s="105"/>
      <c r="JC90" s="105"/>
      <c r="JD90" s="105"/>
      <c r="JE90" s="105"/>
      <c r="JF90" s="105"/>
      <c r="JG90" s="105"/>
      <c r="JH90" s="105"/>
    </row>
    <row r="91" spans="1:268" s="106" customFormat="1" ht="18" customHeight="1">
      <c r="A91" s="292">
        <v>414</v>
      </c>
      <c r="B91" s="293"/>
      <c r="C91" s="29"/>
      <c r="D91" s="29"/>
      <c r="E91" s="29">
        <f t="shared" si="398"/>
        <v>1002.7</v>
      </c>
      <c r="F91" s="29">
        <f t="shared" si="398"/>
        <v>0</v>
      </c>
      <c r="G91" s="29">
        <v>0</v>
      </c>
      <c r="H91" s="29">
        <v>0</v>
      </c>
      <c r="I91" s="29">
        <v>28.5</v>
      </c>
      <c r="J91" s="29">
        <v>0</v>
      </c>
      <c r="K91" s="29">
        <f t="shared" si="372"/>
        <v>28.5</v>
      </c>
      <c r="L91" s="29">
        <f t="shared" si="372"/>
        <v>0</v>
      </c>
      <c r="M91" s="29">
        <v>26.1</v>
      </c>
      <c r="N91" s="29">
        <v>0</v>
      </c>
      <c r="O91" s="29">
        <f t="shared" si="399"/>
        <v>28.5</v>
      </c>
      <c r="P91" s="29">
        <f t="shared" si="399"/>
        <v>0</v>
      </c>
      <c r="Q91" s="29">
        <v>39.299999999999997</v>
      </c>
      <c r="R91" s="29">
        <v>0</v>
      </c>
      <c r="S91" s="29">
        <f t="shared" si="374"/>
        <v>67.8</v>
      </c>
      <c r="T91" s="29">
        <f t="shared" si="374"/>
        <v>0</v>
      </c>
      <c r="U91" s="29">
        <v>0</v>
      </c>
      <c r="V91" s="29">
        <v>0</v>
      </c>
      <c r="W91" s="29">
        <f t="shared" si="375"/>
        <v>67.8</v>
      </c>
      <c r="X91" s="29">
        <f t="shared" si="375"/>
        <v>0</v>
      </c>
      <c r="Y91" s="29">
        <v>108.5</v>
      </c>
      <c r="Z91" s="29">
        <v>0</v>
      </c>
      <c r="AA91" s="29">
        <f t="shared" si="376"/>
        <v>176.3</v>
      </c>
      <c r="AB91" s="29">
        <f t="shared" si="376"/>
        <v>0</v>
      </c>
      <c r="AC91" s="29">
        <v>65.5</v>
      </c>
      <c r="AD91" s="29">
        <v>0</v>
      </c>
      <c r="AE91" s="29">
        <f t="shared" si="377"/>
        <v>241.8</v>
      </c>
      <c r="AF91" s="29">
        <f t="shared" si="377"/>
        <v>0</v>
      </c>
      <c r="AG91" s="29">
        <v>32.9</v>
      </c>
      <c r="AH91" s="29">
        <v>0</v>
      </c>
      <c r="AI91" s="29">
        <f t="shared" si="378"/>
        <v>274.7</v>
      </c>
      <c r="AJ91" s="29">
        <f t="shared" si="378"/>
        <v>0</v>
      </c>
      <c r="AK91" s="29">
        <v>0</v>
      </c>
      <c r="AL91" s="29">
        <v>0</v>
      </c>
      <c r="AM91" s="29">
        <f t="shared" si="379"/>
        <v>274.7</v>
      </c>
      <c r="AN91" s="29">
        <f t="shared" si="379"/>
        <v>0</v>
      </c>
      <c r="AO91" s="29">
        <v>34.1</v>
      </c>
      <c r="AP91" s="29">
        <v>0</v>
      </c>
      <c r="AQ91" s="29">
        <f t="shared" si="380"/>
        <v>308.8</v>
      </c>
      <c r="AR91" s="29">
        <f t="shared" si="380"/>
        <v>0</v>
      </c>
      <c r="AS91" s="29">
        <v>223.8</v>
      </c>
      <c r="AT91" s="29">
        <v>0</v>
      </c>
      <c r="AU91" s="29">
        <f t="shared" si="382"/>
        <v>532.6</v>
      </c>
      <c r="AV91" s="29">
        <f t="shared" si="382"/>
        <v>0</v>
      </c>
      <c r="AW91" s="29">
        <v>444</v>
      </c>
      <c r="AX91" s="29">
        <v>0</v>
      </c>
      <c r="AY91" s="29">
        <v>0</v>
      </c>
      <c r="AZ91" s="29">
        <v>15</v>
      </c>
      <c r="BA91" s="55">
        <f t="shared" si="350"/>
        <v>-1</v>
      </c>
      <c r="BB91" s="55">
        <f t="shared" si="350"/>
        <v>1</v>
      </c>
      <c r="BC91" s="29">
        <v>0</v>
      </c>
      <c r="BD91" s="29">
        <v>0</v>
      </c>
      <c r="BE91" s="29">
        <v>0</v>
      </c>
      <c r="BF91" s="29">
        <v>3</v>
      </c>
      <c r="BG91" s="29">
        <f t="shared" si="384"/>
        <v>0</v>
      </c>
      <c r="BH91" s="29">
        <f t="shared" si="384"/>
        <v>3</v>
      </c>
      <c r="BI91" s="55">
        <f t="shared" si="352"/>
        <v>-1</v>
      </c>
      <c r="BJ91" s="55">
        <f t="shared" si="352"/>
        <v>1</v>
      </c>
      <c r="BK91" s="29">
        <v>0</v>
      </c>
      <c r="BL91" s="29">
        <v>0</v>
      </c>
      <c r="BM91" s="29">
        <f t="shared" si="385"/>
        <v>0</v>
      </c>
      <c r="BN91" s="29">
        <f t="shared" si="385"/>
        <v>3</v>
      </c>
      <c r="BO91" s="55">
        <f t="shared" si="354"/>
        <v>-1</v>
      </c>
      <c r="BP91" s="55">
        <f t="shared" si="354"/>
        <v>1</v>
      </c>
      <c r="BQ91" s="29"/>
      <c r="BR91" s="29"/>
      <c r="BS91" s="29">
        <f t="shared" si="386"/>
        <v>0</v>
      </c>
      <c r="BT91" s="29">
        <f t="shared" si="386"/>
        <v>3</v>
      </c>
      <c r="BU91" s="55">
        <f t="shared" si="356"/>
        <v>-1</v>
      </c>
      <c r="BV91" s="55">
        <f t="shared" si="356"/>
        <v>1</v>
      </c>
      <c r="BW91" s="29"/>
      <c r="BX91" s="29"/>
      <c r="BY91" s="29">
        <f t="shared" si="387"/>
        <v>0</v>
      </c>
      <c r="BZ91" s="29">
        <f t="shared" si="387"/>
        <v>3</v>
      </c>
      <c r="CA91" s="55">
        <f t="shared" si="358"/>
        <v>-1</v>
      </c>
      <c r="CB91" s="55">
        <f t="shared" si="358"/>
        <v>1</v>
      </c>
      <c r="CC91" s="29"/>
      <c r="CD91" s="29"/>
      <c r="CE91" s="29">
        <f t="shared" si="388"/>
        <v>0</v>
      </c>
      <c r="CF91" s="29">
        <f t="shared" si="388"/>
        <v>3</v>
      </c>
      <c r="CG91" s="55">
        <f t="shared" si="360"/>
        <v>-1</v>
      </c>
      <c r="CH91" s="55">
        <f t="shared" si="360"/>
        <v>1</v>
      </c>
      <c r="CI91" s="29"/>
      <c r="CJ91" s="29"/>
      <c r="CK91" s="29">
        <f t="shared" si="389"/>
        <v>0</v>
      </c>
      <c r="CL91" s="29">
        <f t="shared" si="389"/>
        <v>3</v>
      </c>
      <c r="CM91" s="55">
        <f t="shared" si="362"/>
        <v>-1</v>
      </c>
      <c r="CN91" s="55">
        <f t="shared" si="362"/>
        <v>1</v>
      </c>
      <c r="CO91" s="29"/>
      <c r="CP91" s="29"/>
      <c r="CQ91" s="29">
        <f t="shared" si="390"/>
        <v>0</v>
      </c>
      <c r="CR91" s="29">
        <f t="shared" si="390"/>
        <v>3</v>
      </c>
      <c r="CS91" s="55">
        <f t="shared" si="364"/>
        <v>-1</v>
      </c>
      <c r="CT91" s="55">
        <f t="shared" si="364"/>
        <v>1</v>
      </c>
      <c r="CU91" s="29"/>
      <c r="CV91" s="29"/>
      <c r="CW91" s="29">
        <f t="shared" si="391"/>
        <v>0</v>
      </c>
      <c r="CX91" s="29">
        <f t="shared" si="391"/>
        <v>3</v>
      </c>
      <c r="CY91" s="55">
        <f t="shared" si="366"/>
        <v>-1</v>
      </c>
      <c r="CZ91" s="55">
        <f t="shared" si="366"/>
        <v>1</v>
      </c>
      <c r="DA91" s="29"/>
      <c r="DB91" s="29"/>
      <c r="DC91" s="29">
        <f t="shared" si="392"/>
        <v>0</v>
      </c>
      <c r="DD91" s="29">
        <f t="shared" si="392"/>
        <v>3</v>
      </c>
      <c r="DE91" s="55">
        <f t="shared" si="368"/>
        <v>-1</v>
      </c>
      <c r="DF91" s="55">
        <f t="shared" si="368"/>
        <v>1</v>
      </c>
      <c r="DG91" s="29"/>
      <c r="DH91" s="29"/>
      <c r="DI91" s="29">
        <f t="shared" si="393"/>
        <v>0</v>
      </c>
      <c r="DJ91" s="29">
        <f t="shared" si="393"/>
        <v>3</v>
      </c>
      <c r="DK91" s="55">
        <f t="shared" si="370"/>
        <v>-1</v>
      </c>
      <c r="DL91" s="55">
        <f t="shared" si="370"/>
        <v>1</v>
      </c>
      <c r="DM91" s="29"/>
      <c r="DN91" s="29"/>
      <c r="DO91" s="29"/>
      <c r="DP91" s="29"/>
      <c r="DQ91" s="29">
        <v>0</v>
      </c>
      <c r="DR91" s="29">
        <v>15</v>
      </c>
      <c r="DS91" s="55">
        <f>IF($AY$91=0,1,DQ91/$AY$91-1)</f>
        <v>1</v>
      </c>
      <c r="DT91" s="55">
        <f>IF($AZ$91=0,1,DR91/$AZ$91-1)</f>
        <v>0</v>
      </c>
      <c r="DU91" s="55">
        <f>IF($E$91=0,1,DQ91/$E$91-1)</f>
        <v>-1</v>
      </c>
      <c r="DV91" s="55">
        <f>IF($E$91=0,1,DR91/$E$91-1)</f>
        <v>-0.98504039094444995</v>
      </c>
      <c r="DW91" s="2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  <c r="IT91" s="105"/>
      <c r="IU91" s="105"/>
      <c r="IV91" s="105"/>
      <c r="IW91" s="105"/>
      <c r="IX91" s="105"/>
      <c r="IY91" s="105"/>
      <c r="IZ91" s="105"/>
      <c r="JA91" s="105"/>
      <c r="JB91" s="105"/>
      <c r="JC91" s="105"/>
      <c r="JD91" s="105"/>
      <c r="JE91" s="105"/>
      <c r="JF91" s="105"/>
      <c r="JG91" s="105"/>
      <c r="JH91" s="105"/>
    </row>
    <row r="92" spans="1:268" s="106" customFormat="1" ht="18" customHeight="1">
      <c r="A92" s="292">
        <v>521</v>
      </c>
      <c r="B92" s="293"/>
      <c r="C92" s="29"/>
      <c r="D92" s="29"/>
      <c r="E92" s="29">
        <f t="shared" si="398"/>
        <v>659.59999999999991</v>
      </c>
      <c r="F92" s="29">
        <f t="shared" si="398"/>
        <v>0</v>
      </c>
      <c r="G92" s="29">
        <v>112.6</v>
      </c>
      <c r="H92" s="29">
        <v>0</v>
      </c>
      <c r="I92" s="29">
        <v>227.2</v>
      </c>
      <c r="J92" s="29">
        <v>0</v>
      </c>
      <c r="K92" s="29">
        <f t="shared" si="372"/>
        <v>339.79999999999995</v>
      </c>
      <c r="L92" s="29">
        <f t="shared" si="372"/>
        <v>0</v>
      </c>
      <c r="M92" s="29">
        <v>0</v>
      </c>
      <c r="N92" s="29">
        <v>0</v>
      </c>
      <c r="O92" s="29">
        <f t="shared" si="399"/>
        <v>339.79999999999995</v>
      </c>
      <c r="P92" s="29">
        <f t="shared" si="399"/>
        <v>0</v>
      </c>
      <c r="Q92" s="29">
        <v>0</v>
      </c>
      <c r="R92" s="29">
        <v>0</v>
      </c>
      <c r="S92" s="29">
        <f t="shared" si="374"/>
        <v>339.79999999999995</v>
      </c>
      <c r="T92" s="29">
        <f t="shared" si="374"/>
        <v>0</v>
      </c>
      <c r="U92" s="29">
        <v>0</v>
      </c>
      <c r="V92" s="29">
        <v>0</v>
      </c>
      <c r="W92" s="29">
        <f t="shared" si="375"/>
        <v>339.79999999999995</v>
      </c>
      <c r="X92" s="29">
        <f t="shared" si="375"/>
        <v>0</v>
      </c>
      <c r="Y92" s="29">
        <v>0</v>
      </c>
      <c r="Z92" s="29">
        <v>0</v>
      </c>
      <c r="AA92" s="29">
        <f t="shared" si="376"/>
        <v>339.79999999999995</v>
      </c>
      <c r="AB92" s="29">
        <f t="shared" si="376"/>
        <v>0</v>
      </c>
      <c r="AC92" s="29">
        <v>0</v>
      </c>
      <c r="AD92" s="29">
        <v>0</v>
      </c>
      <c r="AE92" s="29">
        <f t="shared" si="377"/>
        <v>339.79999999999995</v>
      </c>
      <c r="AF92" s="29">
        <f t="shared" si="377"/>
        <v>0</v>
      </c>
      <c r="AG92" s="29">
        <v>0</v>
      </c>
      <c r="AH92" s="29">
        <v>0</v>
      </c>
      <c r="AI92" s="29">
        <f t="shared" si="378"/>
        <v>339.79999999999995</v>
      </c>
      <c r="AJ92" s="29">
        <f t="shared" si="378"/>
        <v>0</v>
      </c>
      <c r="AK92" s="29">
        <v>0</v>
      </c>
      <c r="AL92" s="29">
        <v>0</v>
      </c>
      <c r="AM92" s="29">
        <f t="shared" si="379"/>
        <v>339.79999999999995</v>
      </c>
      <c r="AN92" s="29">
        <f t="shared" si="379"/>
        <v>0</v>
      </c>
      <c r="AO92" s="29">
        <v>0</v>
      </c>
      <c r="AP92" s="29">
        <v>0</v>
      </c>
      <c r="AQ92" s="29">
        <f t="shared" si="380"/>
        <v>339.79999999999995</v>
      </c>
      <c r="AR92" s="29">
        <f t="shared" si="380"/>
        <v>0</v>
      </c>
      <c r="AS92" s="29">
        <v>319.8</v>
      </c>
      <c r="AT92" s="29">
        <v>0</v>
      </c>
      <c r="AU92" s="29">
        <f t="shared" si="382"/>
        <v>659.59999999999991</v>
      </c>
      <c r="AV92" s="29">
        <f t="shared" si="382"/>
        <v>0</v>
      </c>
      <c r="AW92" s="29">
        <v>0</v>
      </c>
      <c r="AX92" s="29">
        <v>0</v>
      </c>
      <c r="AY92" s="29">
        <v>0</v>
      </c>
      <c r="AZ92" s="29">
        <v>0</v>
      </c>
      <c r="BA92" s="55">
        <f t="shared" si="350"/>
        <v>-1</v>
      </c>
      <c r="BB92" s="55">
        <f t="shared" si="350"/>
        <v>1</v>
      </c>
      <c r="BC92" s="29">
        <v>0</v>
      </c>
      <c r="BD92" s="29">
        <v>0</v>
      </c>
      <c r="BE92" s="29">
        <v>0</v>
      </c>
      <c r="BF92" s="29">
        <v>0</v>
      </c>
      <c r="BG92" s="29">
        <f t="shared" si="384"/>
        <v>0</v>
      </c>
      <c r="BH92" s="29">
        <f t="shared" si="384"/>
        <v>0</v>
      </c>
      <c r="BI92" s="55">
        <f t="shared" si="352"/>
        <v>-1</v>
      </c>
      <c r="BJ92" s="55">
        <f t="shared" si="352"/>
        <v>1</v>
      </c>
      <c r="BK92" s="29">
        <v>0</v>
      </c>
      <c r="BL92" s="29">
        <v>0</v>
      </c>
      <c r="BM92" s="29">
        <f t="shared" si="385"/>
        <v>0</v>
      </c>
      <c r="BN92" s="29">
        <f t="shared" si="385"/>
        <v>0</v>
      </c>
      <c r="BO92" s="55">
        <f t="shared" si="354"/>
        <v>-1</v>
      </c>
      <c r="BP92" s="55">
        <f t="shared" si="354"/>
        <v>1</v>
      </c>
      <c r="BQ92" s="29"/>
      <c r="BR92" s="29"/>
      <c r="BS92" s="29">
        <f t="shared" si="386"/>
        <v>0</v>
      </c>
      <c r="BT92" s="29">
        <f t="shared" si="386"/>
        <v>0</v>
      </c>
      <c r="BU92" s="55">
        <f t="shared" si="356"/>
        <v>-1</v>
      </c>
      <c r="BV92" s="55">
        <f t="shared" si="356"/>
        <v>1</v>
      </c>
      <c r="BW92" s="29"/>
      <c r="BX92" s="29"/>
      <c r="BY92" s="29">
        <f t="shared" si="387"/>
        <v>0</v>
      </c>
      <c r="BZ92" s="29">
        <f t="shared" si="387"/>
        <v>0</v>
      </c>
      <c r="CA92" s="55">
        <f t="shared" si="358"/>
        <v>-1</v>
      </c>
      <c r="CB92" s="55">
        <f t="shared" si="358"/>
        <v>1</v>
      </c>
      <c r="CC92" s="29"/>
      <c r="CD92" s="29"/>
      <c r="CE92" s="29">
        <f t="shared" si="388"/>
        <v>0</v>
      </c>
      <c r="CF92" s="29">
        <f t="shared" si="388"/>
        <v>0</v>
      </c>
      <c r="CG92" s="55">
        <f t="shared" si="360"/>
        <v>-1</v>
      </c>
      <c r="CH92" s="55">
        <f t="shared" si="360"/>
        <v>1</v>
      </c>
      <c r="CI92" s="29"/>
      <c r="CJ92" s="29"/>
      <c r="CK92" s="29">
        <f t="shared" si="389"/>
        <v>0</v>
      </c>
      <c r="CL92" s="29">
        <f t="shared" si="389"/>
        <v>0</v>
      </c>
      <c r="CM92" s="55">
        <f t="shared" si="362"/>
        <v>-1</v>
      </c>
      <c r="CN92" s="55">
        <f t="shared" si="362"/>
        <v>1</v>
      </c>
      <c r="CO92" s="29"/>
      <c r="CP92" s="29"/>
      <c r="CQ92" s="29">
        <f t="shared" si="390"/>
        <v>0</v>
      </c>
      <c r="CR92" s="29">
        <f t="shared" si="390"/>
        <v>0</v>
      </c>
      <c r="CS92" s="55">
        <f t="shared" si="364"/>
        <v>-1</v>
      </c>
      <c r="CT92" s="55">
        <f t="shared" si="364"/>
        <v>1</v>
      </c>
      <c r="CU92" s="29"/>
      <c r="CV92" s="29"/>
      <c r="CW92" s="29">
        <f t="shared" si="391"/>
        <v>0</v>
      </c>
      <c r="CX92" s="29">
        <f t="shared" si="391"/>
        <v>0</v>
      </c>
      <c r="CY92" s="55">
        <f t="shared" si="366"/>
        <v>-1</v>
      </c>
      <c r="CZ92" s="55">
        <f t="shared" si="366"/>
        <v>1</v>
      </c>
      <c r="DA92" s="29"/>
      <c r="DB92" s="29"/>
      <c r="DC92" s="29">
        <f t="shared" si="392"/>
        <v>0</v>
      </c>
      <c r="DD92" s="29">
        <f t="shared" si="392"/>
        <v>0</v>
      </c>
      <c r="DE92" s="55">
        <f t="shared" si="368"/>
        <v>-1</v>
      </c>
      <c r="DF92" s="55">
        <f t="shared" si="368"/>
        <v>1</v>
      </c>
      <c r="DG92" s="29"/>
      <c r="DH92" s="29"/>
      <c r="DI92" s="29">
        <f t="shared" si="393"/>
        <v>0</v>
      </c>
      <c r="DJ92" s="29">
        <f t="shared" si="393"/>
        <v>0</v>
      </c>
      <c r="DK92" s="55">
        <f t="shared" si="370"/>
        <v>-1</v>
      </c>
      <c r="DL92" s="55">
        <f t="shared" si="370"/>
        <v>1</v>
      </c>
      <c r="DM92" s="29"/>
      <c r="DN92" s="29"/>
      <c r="DO92" s="29"/>
      <c r="DP92" s="29"/>
      <c r="DQ92" s="29">
        <v>0</v>
      </c>
      <c r="DR92" s="29">
        <v>0</v>
      </c>
      <c r="DS92" s="55">
        <f>IF($AY$92=0,1,DQ92/$AY$92-1)</f>
        <v>1</v>
      </c>
      <c r="DT92" s="55">
        <f>IF($AZ$92=0,1,DR92/$AZ$92-1)</f>
        <v>1</v>
      </c>
      <c r="DU92" s="55">
        <f>IF($E$92=0,1,DQ92/$E$92-1)</f>
        <v>-1</v>
      </c>
      <c r="DV92" s="55">
        <f>IF($E$92=0,1,DR92/$E$92-1)</f>
        <v>-1</v>
      </c>
      <c r="DW92" s="2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</row>
    <row r="93" spans="1:268" s="106" customFormat="1" ht="18" customHeight="1">
      <c r="A93" s="292">
        <v>831</v>
      </c>
      <c r="B93" s="293"/>
      <c r="C93" s="29"/>
      <c r="D93" s="29"/>
      <c r="E93" s="29">
        <f t="shared" si="398"/>
        <v>3315</v>
      </c>
      <c r="F93" s="29">
        <f t="shared" si="398"/>
        <v>0</v>
      </c>
      <c r="G93" s="29">
        <v>605.1</v>
      </c>
      <c r="H93" s="29">
        <v>0</v>
      </c>
      <c r="I93" s="29">
        <v>605.1</v>
      </c>
      <c r="J93" s="29">
        <v>0</v>
      </c>
      <c r="K93" s="29">
        <f t="shared" si="372"/>
        <v>1210.2</v>
      </c>
      <c r="L93" s="29">
        <f t="shared" si="372"/>
        <v>0</v>
      </c>
      <c r="M93" s="29">
        <v>0</v>
      </c>
      <c r="N93" s="29">
        <v>0</v>
      </c>
      <c r="O93" s="29">
        <f t="shared" si="399"/>
        <v>1210.2</v>
      </c>
      <c r="P93" s="29">
        <f t="shared" si="399"/>
        <v>0</v>
      </c>
      <c r="Q93" s="29">
        <v>0</v>
      </c>
      <c r="R93" s="29">
        <v>0</v>
      </c>
      <c r="S93" s="29">
        <f t="shared" si="374"/>
        <v>1210.2</v>
      </c>
      <c r="T93" s="29">
        <f t="shared" si="374"/>
        <v>0</v>
      </c>
      <c r="U93" s="29">
        <v>0</v>
      </c>
      <c r="V93" s="29">
        <v>0</v>
      </c>
      <c r="W93" s="29">
        <f t="shared" si="375"/>
        <v>1210.2</v>
      </c>
      <c r="X93" s="29">
        <f t="shared" si="375"/>
        <v>0</v>
      </c>
      <c r="Y93" s="29">
        <v>0</v>
      </c>
      <c r="Z93" s="29">
        <v>0</v>
      </c>
      <c r="AA93" s="29">
        <f t="shared" si="376"/>
        <v>1210.2</v>
      </c>
      <c r="AB93" s="29">
        <f t="shared" si="376"/>
        <v>0</v>
      </c>
      <c r="AC93" s="29">
        <v>0</v>
      </c>
      <c r="AD93" s="29">
        <v>0</v>
      </c>
      <c r="AE93" s="29">
        <f t="shared" si="377"/>
        <v>1210.2</v>
      </c>
      <c r="AF93" s="29">
        <f t="shared" si="377"/>
        <v>0</v>
      </c>
      <c r="AG93" s="29">
        <v>0</v>
      </c>
      <c r="AH93" s="29">
        <v>0</v>
      </c>
      <c r="AI93" s="29">
        <f t="shared" si="378"/>
        <v>1210.2</v>
      </c>
      <c r="AJ93" s="29">
        <f t="shared" si="378"/>
        <v>0</v>
      </c>
      <c r="AK93" s="29">
        <v>0</v>
      </c>
      <c r="AL93" s="29">
        <v>0</v>
      </c>
      <c r="AM93" s="29">
        <f t="shared" si="379"/>
        <v>1210.2</v>
      </c>
      <c r="AN93" s="29">
        <f t="shared" si="379"/>
        <v>0</v>
      </c>
      <c r="AO93" s="29">
        <v>0</v>
      </c>
      <c r="AP93" s="29">
        <v>0</v>
      </c>
      <c r="AQ93" s="29">
        <f t="shared" si="380"/>
        <v>1210.2</v>
      </c>
      <c r="AR93" s="29">
        <f t="shared" si="380"/>
        <v>0</v>
      </c>
      <c r="AS93" s="29">
        <v>1295.5999999999999</v>
      </c>
      <c r="AT93" s="29">
        <v>0</v>
      </c>
      <c r="AU93" s="29">
        <f t="shared" si="382"/>
        <v>2505.8000000000002</v>
      </c>
      <c r="AV93" s="29">
        <f t="shared" si="382"/>
        <v>0</v>
      </c>
      <c r="AW93" s="29">
        <v>809.2</v>
      </c>
      <c r="AX93" s="29">
        <v>0</v>
      </c>
      <c r="AY93" s="29">
        <v>0</v>
      </c>
      <c r="AZ93" s="29">
        <v>0</v>
      </c>
      <c r="BA93" s="55">
        <f t="shared" si="350"/>
        <v>-1</v>
      </c>
      <c r="BB93" s="55">
        <f t="shared" si="350"/>
        <v>1</v>
      </c>
      <c r="BC93" s="29">
        <v>0</v>
      </c>
      <c r="BD93" s="29">
        <v>0</v>
      </c>
      <c r="BE93" s="29">
        <v>0</v>
      </c>
      <c r="BF93" s="29">
        <v>0</v>
      </c>
      <c r="BG93" s="29">
        <f t="shared" si="384"/>
        <v>0</v>
      </c>
      <c r="BH93" s="29">
        <f t="shared" si="384"/>
        <v>0</v>
      </c>
      <c r="BI93" s="55">
        <f t="shared" si="352"/>
        <v>-1</v>
      </c>
      <c r="BJ93" s="55">
        <f t="shared" si="352"/>
        <v>1</v>
      </c>
      <c r="BK93" s="29">
        <v>0</v>
      </c>
      <c r="BL93" s="29">
        <v>0</v>
      </c>
      <c r="BM93" s="29">
        <f t="shared" si="385"/>
        <v>0</v>
      </c>
      <c r="BN93" s="29">
        <f t="shared" si="385"/>
        <v>0</v>
      </c>
      <c r="BO93" s="55">
        <f t="shared" si="354"/>
        <v>-1</v>
      </c>
      <c r="BP93" s="55">
        <f t="shared" si="354"/>
        <v>1</v>
      </c>
      <c r="BQ93" s="29"/>
      <c r="BR93" s="29"/>
      <c r="BS93" s="29">
        <f t="shared" si="386"/>
        <v>0</v>
      </c>
      <c r="BT93" s="29">
        <f t="shared" si="386"/>
        <v>0</v>
      </c>
      <c r="BU93" s="55">
        <f t="shared" si="356"/>
        <v>-1</v>
      </c>
      <c r="BV93" s="55">
        <f t="shared" si="356"/>
        <v>1</v>
      </c>
      <c r="BW93" s="29"/>
      <c r="BX93" s="29"/>
      <c r="BY93" s="29">
        <f t="shared" si="387"/>
        <v>0</v>
      </c>
      <c r="BZ93" s="29">
        <f t="shared" si="387"/>
        <v>0</v>
      </c>
      <c r="CA93" s="55">
        <f t="shared" si="358"/>
        <v>-1</v>
      </c>
      <c r="CB93" s="55">
        <f t="shared" si="358"/>
        <v>1</v>
      </c>
      <c r="CC93" s="29"/>
      <c r="CD93" s="29"/>
      <c r="CE93" s="29">
        <f t="shared" si="388"/>
        <v>0</v>
      </c>
      <c r="CF93" s="29">
        <f t="shared" si="388"/>
        <v>0</v>
      </c>
      <c r="CG93" s="55">
        <f t="shared" si="360"/>
        <v>-1</v>
      </c>
      <c r="CH93" s="55">
        <f t="shared" si="360"/>
        <v>1</v>
      </c>
      <c r="CI93" s="29"/>
      <c r="CJ93" s="29"/>
      <c r="CK93" s="29">
        <f t="shared" si="389"/>
        <v>0</v>
      </c>
      <c r="CL93" s="29">
        <f t="shared" si="389"/>
        <v>0</v>
      </c>
      <c r="CM93" s="55">
        <f t="shared" si="362"/>
        <v>-1</v>
      </c>
      <c r="CN93" s="55">
        <f t="shared" si="362"/>
        <v>1</v>
      </c>
      <c r="CO93" s="29"/>
      <c r="CP93" s="29"/>
      <c r="CQ93" s="29">
        <f t="shared" si="390"/>
        <v>0</v>
      </c>
      <c r="CR93" s="29">
        <f t="shared" si="390"/>
        <v>0</v>
      </c>
      <c r="CS93" s="55">
        <f t="shared" si="364"/>
        <v>-1</v>
      </c>
      <c r="CT93" s="55">
        <f t="shared" si="364"/>
        <v>1</v>
      </c>
      <c r="CU93" s="29"/>
      <c r="CV93" s="29"/>
      <c r="CW93" s="29">
        <f t="shared" si="391"/>
        <v>0</v>
      </c>
      <c r="CX93" s="29">
        <f t="shared" si="391"/>
        <v>0</v>
      </c>
      <c r="CY93" s="55">
        <f t="shared" si="366"/>
        <v>-1</v>
      </c>
      <c r="CZ93" s="55">
        <f t="shared" si="366"/>
        <v>1</v>
      </c>
      <c r="DA93" s="29"/>
      <c r="DB93" s="29"/>
      <c r="DC93" s="29">
        <f t="shared" si="392"/>
        <v>0</v>
      </c>
      <c r="DD93" s="29">
        <f t="shared" si="392"/>
        <v>0</v>
      </c>
      <c r="DE93" s="55">
        <f t="shared" si="368"/>
        <v>-1</v>
      </c>
      <c r="DF93" s="55">
        <f t="shared" si="368"/>
        <v>1</v>
      </c>
      <c r="DG93" s="29"/>
      <c r="DH93" s="29"/>
      <c r="DI93" s="29">
        <f t="shared" si="393"/>
        <v>0</v>
      </c>
      <c r="DJ93" s="29">
        <f t="shared" si="393"/>
        <v>0</v>
      </c>
      <c r="DK93" s="55">
        <f t="shared" si="370"/>
        <v>-1</v>
      </c>
      <c r="DL93" s="55">
        <f t="shared" si="370"/>
        <v>1</v>
      </c>
      <c r="DM93" s="29"/>
      <c r="DN93" s="29"/>
      <c r="DO93" s="29"/>
      <c r="DP93" s="29"/>
      <c r="DQ93" s="29">
        <v>0</v>
      </c>
      <c r="DR93" s="29">
        <v>0</v>
      </c>
      <c r="DS93" s="55">
        <f>IF($AY$93=0,1,DQ93/$AY$93-1)</f>
        <v>1</v>
      </c>
      <c r="DT93" s="55">
        <f>IF($AZ$93=0,1,DR93/$AZ$93-1)</f>
        <v>1</v>
      </c>
      <c r="DU93" s="55">
        <f>IF($E$93=0,1,DQ93/$E$93-1)</f>
        <v>-1</v>
      </c>
      <c r="DV93" s="55">
        <f>IF($E$93=0,1,DR93/$E$93-1)</f>
        <v>-1</v>
      </c>
      <c r="DW93" s="2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  <c r="IX93" s="105"/>
      <c r="IY93" s="105"/>
      <c r="IZ93" s="105"/>
      <c r="JA93" s="105"/>
      <c r="JB93" s="105"/>
      <c r="JC93" s="105"/>
      <c r="JD93" s="105"/>
      <c r="JE93" s="105"/>
      <c r="JF93" s="105"/>
      <c r="JG93" s="105"/>
      <c r="JH93" s="105"/>
    </row>
    <row r="94" spans="1:268" s="106" customFormat="1" ht="18" customHeight="1">
      <c r="A94" s="292">
        <v>851</v>
      </c>
      <c r="B94" s="293"/>
      <c r="C94" s="29"/>
      <c r="D94" s="29"/>
      <c r="E94" s="29">
        <f t="shared" si="398"/>
        <v>262.59999999999997</v>
      </c>
      <c r="F94" s="29">
        <f t="shared" si="398"/>
        <v>0</v>
      </c>
      <c r="G94" s="29">
        <v>0</v>
      </c>
      <c r="H94" s="29">
        <v>0</v>
      </c>
      <c r="I94" s="29">
        <v>0</v>
      </c>
      <c r="J94" s="29">
        <v>0</v>
      </c>
      <c r="K94" s="29">
        <f t="shared" si="372"/>
        <v>0</v>
      </c>
      <c r="L94" s="29">
        <f t="shared" si="372"/>
        <v>0</v>
      </c>
      <c r="M94" s="29">
        <v>53.5</v>
      </c>
      <c r="N94" s="29">
        <v>0</v>
      </c>
      <c r="O94" s="29">
        <f t="shared" si="399"/>
        <v>0</v>
      </c>
      <c r="P94" s="29">
        <f t="shared" si="399"/>
        <v>0</v>
      </c>
      <c r="Q94" s="29">
        <v>9.9</v>
      </c>
      <c r="R94" s="29">
        <v>0</v>
      </c>
      <c r="S94" s="29">
        <f t="shared" si="374"/>
        <v>9.9</v>
      </c>
      <c r="T94" s="29">
        <f t="shared" si="374"/>
        <v>0</v>
      </c>
      <c r="U94" s="29">
        <v>10.5</v>
      </c>
      <c r="V94" s="29">
        <v>0</v>
      </c>
      <c r="W94" s="29">
        <f t="shared" si="375"/>
        <v>20.399999999999999</v>
      </c>
      <c r="X94" s="29">
        <f t="shared" si="375"/>
        <v>0</v>
      </c>
      <c r="Y94" s="29">
        <v>5.5</v>
      </c>
      <c r="Z94" s="29">
        <v>0</v>
      </c>
      <c r="AA94" s="29">
        <f t="shared" si="376"/>
        <v>25.9</v>
      </c>
      <c r="AB94" s="29">
        <f t="shared" si="376"/>
        <v>0</v>
      </c>
      <c r="AC94" s="29">
        <v>13.5</v>
      </c>
      <c r="AD94" s="29">
        <v>0</v>
      </c>
      <c r="AE94" s="29">
        <f t="shared" si="377"/>
        <v>39.4</v>
      </c>
      <c r="AF94" s="29">
        <f t="shared" si="377"/>
        <v>0</v>
      </c>
      <c r="AG94" s="29">
        <v>6.1</v>
      </c>
      <c r="AH94" s="29">
        <v>0</v>
      </c>
      <c r="AI94" s="29">
        <f t="shared" si="378"/>
        <v>45.5</v>
      </c>
      <c r="AJ94" s="29">
        <f t="shared" si="378"/>
        <v>0</v>
      </c>
      <c r="AK94" s="29">
        <v>21.6</v>
      </c>
      <c r="AL94" s="29">
        <v>0</v>
      </c>
      <c r="AM94" s="29">
        <f t="shared" si="379"/>
        <v>67.099999999999994</v>
      </c>
      <c r="AN94" s="29">
        <f t="shared" si="379"/>
        <v>0</v>
      </c>
      <c r="AO94" s="29">
        <v>86.1</v>
      </c>
      <c r="AP94" s="29">
        <v>0</v>
      </c>
      <c r="AQ94" s="29">
        <f t="shared" si="380"/>
        <v>153.19999999999999</v>
      </c>
      <c r="AR94" s="29">
        <f t="shared" si="380"/>
        <v>0</v>
      </c>
      <c r="AS94" s="29">
        <v>23</v>
      </c>
      <c r="AT94" s="29">
        <v>0</v>
      </c>
      <c r="AU94" s="29">
        <f t="shared" si="382"/>
        <v>176.2</v>
      </c>
      <c r="AV94" s="29">
        <f t="shared" si="382"/>
        <v>0</v>
      </c>
      <c r="AW94" s="29">
        <v>32.9</v>
      </c>
      <c r="AX94" s="29">
        <v>0</v>
      </c>
      <c r="AY94" s="29">
        <v>0</v>
      </c>
      <c r="AZ94" s="29">
        <v>0</v>
      </c>
      <c r="BA94" s="55">
        <f t="shared" si="350"/>
        <v>-1</v>
      </c>
      <c r="BB94" s="55">
        <f t="shared" si="350"/>
        <v>1</v>
      </c>
      <c r="BC94" s="29">
        <v>0</v>
      </c>
      <c r="BD94" s="29">
        <v>0</v>
      </c>
      <c r="BE94" s="29">
        <v>0</v>
      </c>
      <c r="BF94" s="29">
        <v>0</v>
      </c>
      <c r="BG94" s="29">
        <f t="shared" si="384"/>
        <v>0</v>
      </c>
      <c r="BH94" s="29">
        <f t="shared" si="384"/>
        <v>0</v>
      </c>
      <c r="BI94" s="55">
        <f t="shared" si="352"/>
        <v>1</v>
      </c>
      <c r="BJ94" s="55">
        <f t="shared" si="352"/>
        <v>1</v>
      </c>
      <c r="BK94" s="29">
        <v>0</v>
      </c>
      <c r="BL94" s="29">
        <v>0</v>
      </c>
      <c r="BM94" s="29">
        <f t="shared" si="385"/>
        <v>0</v>
      </c>
      <c r="BN94" s="29">
        <f t="shared" si="385"/>
        <v>0</v>
      </c>
      <c r="BO94" s="55">
        <f t="shared" si="354"/>
        <v>1</v>
      </c>
      <c r="BP94" s="55">
        <f t="shared" si="354"/>
        <v>1</v>
      </c>
      <c r="BQ94" s="29"/>
      <c r="BR94" s="29"/>
      <c r="BS94" s="29">
        <f t="shared" si="386"/>
        <v>0</v>
      </c>
      <c r="BT94" s="29">
        <f t="shared" si="386"/>
        <v>0</v>
      </c>
      <c r="BU94" s="55">
        <f t="shared" si="356"/>
        <v>-1</v>
      </c>
      <c r="BV94" s="55">
        <f t="shared" si="356"/>
        <v>1</v>
      </c>
      <c r="BW94" s="29"/>
      <c r="BX94" s="29"/>
      <c r="BY94" s="29">
        <f t="shared" si="387"/>
        <v>0</v>
      </c>
      <c r="BZ94" s="29">
        <f t="shared" si="387"/>
        <v>0</v>
      </c>
      <c r="CA94" s="55">
        <f t="shared" si="358"/>
        <v>-1</v>
      </c>
      <c r="CB94" s="55">
        <f t="shared" si="358"/>
        <v>1</v>
      </c>
      <c r="CC94" s="29"/>
      <c r="CD94" s="29"/>
      <c r="CE94" s="29">
        <f t="shared" si="388"/>
        <v>0</v>
      </c>
      <c r="CF94" s="29">
        <f t="shared" si="388"/>
        <v>0</v>
      </c>
      <c r="CG94" s="55">
        <f t="shared" si="360"/>
        <v>-1</v>
      </c>
      <c r="CH94" s="55">
        <f t="shared" si="360"/>
        <v>1</v>
      </c>
      <c r="CI94" s="29"/>
      <c r="CJ94" s="29"/>
      <c r="CK94" s="29">
        <f t="shared" si="389"/>
        <v>0</v>
      </c>
      <c r="CL94" s="29">
        <f t="shared" si="389"/>
        <v>0</v>
      </c>
      <c r="CM94" s="55">
        <f t="shared" si="362"/>
        <v>-1</v>
      </c>
      <c r="CN94" s="55">
        <f t="shared" si="362"/>
        <v>1</v>
      </c>
      <c r="CO94" s="29"/>
      <c r="CP94" s="29"/>
      <c r="CQ94" s="29">
        <f t="shared" si="390"/>
        <v>0</v>
      </c>
      <c r="CR94" s="29">
        <f t="shared" si="390"/>
        <v>0</v>
      </c>
      <c r="CS94" s="55">
        <f t="shared" si="364"/>
        <v>-1</v>
      </c>
      <c r="CT94" s="55">
        <f t="shared" si="364"/>
        <v>1</v>
      </c>
      <c r="CU94" s="29"/>
      <c r="CV94" s="29"/>
      <c r="CW94" s="29">
        <f t="shared" si="391"/>
        <v>0</v>
      </c>
      <c r="CX94" s="29">
        <f t="shared" si="391"/>
        <v>0</v>
      </c>
      <c r="CY94" s="55">
        <f t="shared" si="366"/>
        <v>-1</v>
      </c>
      <c r="CZ94" s="55">
        <f t="shared" si="366"/>
        <v>1</v>
      </c>
      <c r="DA94" s="29"/>
      <c r="DB94" s="29"/>
      <c r="DC94" s="29">
        <f t="shared" si="392"/>
        <v>0</v>
      </c>
      <c r="DD94" s="29">
        <f t="shared" si="392"/>
        <v>0</v>
      </c>
      <c r="DE94" s="55">
        <f t="shared" si="368"/>
        <v>-1</v>
      </c>
      <c r="DF94" s="55">
        <f t="shared" si="368"/>
        <v>1</v>
      </c>
      <c r="DG94" s="29"/>
      <c r="DH94" s="29"/>
      <c r="DI94" s="29">
        <f t="shared" si="393"/>
        <v>0</v>
      </c>
      <c r="DJ94" s="29">
        <f t="shared" si="393"/>
        <v>0</v>
      </c>
      <c r="DK94" s="55">
        <f t="shared" si="370"/>
        <v>-1</v>
      </c>
      <c r="DL94" s="55">
        <f t="shared" si="370"/>
        <v>1</v>
      </c>
      <c r="DM94" s="29"/>
      <c r="DN94" s="29"/>
      <c r="DO94" s="29"/>
      <c r="DP94" s="29"/>
      <c r="DQ94" s="29">
        <v>0</v>
      </c>
      <c r="DR94" s="29">
        <v>0</v>
      </c>
      <c r="DS94" s="55">
        <f>IF($AY$94=0,1,DQ94/$AY$94-1)</f>
        <v>1</v>
      </c>
      <c r="DT94" s="55">
        <f>IF($AZ$94=0,1,DR94/$AZ$94-1)</f>
        <v>1</v>
      </c>
      <c r="DU94" s="55">
        <f>IF($E$94=0,1,DQ94/$E$94-1)</f>
        <v>-1</v>
      </c>
      <c r="DV94" s="55">
        <f>IF($E$94=0,1,DR94/$E$94-1)</f>
        <v>-1</v>
      </c>
      <c r="DW94" s="2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  <c r="IX94" s="105"/>
      <c r="IY94" s="105"/>
      <c r="IZ94" s="105"/>
      <c r="JA94" s="105"/>
      <c r="JB94" s="105"/>
      <c r="JC94" s="105"/>
      <c r="JD94" s="105"/>
      <c r="JE94" s="105"/>
      <c r="JF94" s="105"/>
      <c r="JG94" s="105"/>
      <c r="JH94" s="105"/>
    </row>
    <row r="95" spans="1:268" s="106" customFormat="1" ht="18" customHeight="1">
      <c r="A95" s="292">
        <v>853</v>
      </c>
      <c r="B95" s="293"/>
      <c r="C95" s="29"/>
      <c r="D95" s="29"/>
      <c r="E95" s="29">
        <f t="shared" si="398"/>
        <v>0</v>
      </c>
      <c r="F95" s="29">
        <f t="shared" si="398"/>
        <v>0</v>
      </c>
      <c r="G95" s="29">
        <v>0</v>
      </c>
      <c r="H95" s="29">
        <v>0</v>
      </c>
      <c r="I95" s="29">
        <v>0</v>
      </c>
      <c r="J95" s="29">
        <v>0</v>
      </c>
      <c r="K95" s="29">
        <f t="shared" si="372"/>
        <v>0</v>
      </c>
      <c r="L95" s="29">
        <f t="shared" si="372"/>
        <v>0</v>
      </c>
      <c r="M95" s="29">
        <v>0</v>
      </c>
      <c r="N95" s="29">
        <v>0</v>
      </c>
      <c r="O95" s="29">
        <f t="shared" si="399"/>
        <v>0</v>
      </c>
      <c r="P95" s="29">
        <f t="shared" si="399"/>
        <v>0</v>
      </c>
      <c r="Q95" s="29">
        <v>0</v>
      </c>
      <c r="R95" s="29">
        <v>0</v>
      </c>
      <c r="S95" s="29">
        <f t="shared" si="374"/>
        <v>0</v>
      </c>
      <c r="T95" s="29">
        <f t="shared" si="374"/>
        <v>0</v>
      </c>
      <c r="U95" s="29">
        <v>0</v>
      </c>
      <c r="V95" s="29">
        <v>0</v>
      </c>
      <c r="W95" s="29">
        <f t="shared" si="375"/>
        <v>0</v>
      </c>
      <c r="X95" s="29">
        <f t="shared" si="375"/>
        <v>0</v>
      </c>
      <c r="Y95" s="29">
        <v>0</v>
      </c>
      <c r="Z95" s="29">
        <v>0</v>
      </c>
      <c r="AA95" s="29">
        <f t="shared" si="376"/>
        <v>0</v>
      </c>
      <c r="AB95" s="29">
        <f t="shared" si="376"/>
        <v>0</v>
      </c>
      <c r="AC95" s="29">
        <v>0</v>
      </c>
      <c r="AD95" s="29">
        <v>0</v>
      </c>
      <c r="AE95" s="29">
        <f t="shared" si="377"/>
        <v>0</v>
      </c>
      <c r="AF95" s="29">
        <f t="shared" si="377"/>
        <v>0</v>
      </c>
      <c r="AG95" s="29">
        <v>0</v>
      </c>
      <c r="AH95" s="29">
        <v>0</v>
      </c>
      <c r="AI95" s="29">
        <f t="shared" si="378"/>
        <v>0</v>
      </c>
      <c r="AJ95" s="29">
        <f t="shared" si="378"/>
        <v>0</v>
      </c>
      <c r="AK95" s="29">
        <v>0</v>
      </c>
      <c r="AL95" s="29">
        <v>0</v>
      </c>
      <c r="AM95" s="29">
        <f t="shared" si="379"/>
        <v>0</v>
      </c>
      <c r="AN95" s="29">
        <f t="shared" si="379"/>
        <v>0</v>
      </c>
      <c r="AO95" s="29">
        <v>0</v>
      </c>
      <c r="AP95" s="29">
        <v>0</v>
      </c>
      <c r="AQ95" s="29">
        <f t="shared" si="380"/>
        <v>0</v>
      </c>
      <c r="AR95" s="29">
        <f t="shared" si="380"/>
        <v>0</v>
      </c>
      <c r="AS95" s="29">
        <v>578.5</v>
      </c>
      <c r="AT95" s="29">
        <v>0</v>
      </c>
      <c r="AU95" s="29">
        <f t="shared" si="382"/>
        <v>578.5</v>
      </c>
      <c r="AV95" s="29">
        <f t="shared" si="382"/>
        <v>0</v>
      </c>
      <c r="AW95" s="29">
        <v>-578.5</v>
      </c>
      <c r="AX95" s="29">
        <v>0</v>
      </c>
      <c r="AY95" s="29">
        <v>0</v>
      </c>
      <c r="AZ95" s="29">
        <v>0</v>
      </c>
      <c r="BA95" s="55">
        <f t="shared" si="350"/>
        <v>1</v>
      </c>
      <c r="BB95" s="55">
        <f t="shared" si="350"/>
        <v>1</v>
      </c>
      <c r="BC95" s="29">
        <v>0</v>
      </c>
      <c r="BD95" s="29">
        <v>0</v>
      </c>
      <c r="BE95" s="29">
        <v>0</v>
      </c>
      <c r="BF95" s="29">
        <v>0</v>
      </c>
      <c r="BG95" s="29">
        <f t="shared" si="384"/>
        <v>0</v>
      </c>
      <c r="BH95" s="29">
        <f t="shared" si="384"/>
        <v>0</v>
      </c>
      <c r="BI95" s="55">
        <f t="shared" si="352"/>
        <v>1</v>
      </c>
      <c r="BJ95" s="55">
        <f t="shared" si="352"/>
        <v>1</v>
      </c>
      <c r="BK95" s="29">
        <v>0</v>
      </c>
      <c r="BL95" s="29">
        <v>0</v>
      </c>
      <c r="BM95" s="29">
        <f t="shared" si="385"/>
        <v>0</v>
      </c>
      <c r="BN95" s="29">
        <f t="shared" si="385"/>
        <v>0</v>
      </c>
      <c r="BO95" s="55">
        <f t="shared" si="354"/>
        <v>1</v>
      </c>
      <c r="BP95" s="55">
        <f t="shared" si="354"/>
        <v>1</v>
      </c>
      <c r="BQ95" s="29"/>
      <c r="BR95" s="29"/>
      <c r="BS95" s="29">
        <f t="shared" si="386"/>
        <v>0</v>
      </c>
      <c r="BT95" s="29">
        <f t="shared" si="386"/>
        <v>0</v>
      </c>
      <c r="BU95" s="55">
        <f t="shared" si="356"/>
        <v>1</v>
      </c>
      <c r="BV95" s="55">
        <f t="shared" si="356"/>
        <v>1</v>
      </c>
      <c r="BW95" s="29"/>
      <c r="BX95" s="29"/>
      <c r="BY95" s="29">
        <f t="shared" si="387"/>
        <v>0</v>
      </c>
      <c r="BZ95" s="29">
        <f t="shared" si="387"/>
        <v>0</v>
      </c>
      <c r="CA95" s="55">
        <f t="shared" si="358"/>
        <v>1</v>
      </c>
      <c r="CB95" s="55">
        <f t="shared" si="358"/>
        <v>1</v>
      </c>
      <c r="CC95" s="29"/>
      <c r="CD95" s="29"/>
      <c r="CE95" s="29">
        <f t="shared" si="388"/>
        <v>0</v>
      </c>
      <c r="CF95" s="29">
        <f t="shared" si="388"/>
        <v>0</v>
      </c>
      <c r="CG95" s="55">
        <f t="shared" si="360"/>
        <v>1</v>
      </c>
      <c r="CH95" s="55">
        <f t="shared" si="360"/>
        <v>1</v>
      </c>
      <c r="CI95" s="29"/>
      <c r="CJ95" s="29"/>
      <c r="CK95" s="29">
        <f t="shared" si="389"/>
        <v>0</v>
      </c>
      <c r="CL95" s="29">
        <f t="shared" si="389"/>
        <v>0</v>
      </c>
      <c r="CM95" s="55">
        <f t="shared" si="362"/>
        <v>1</v>
      </c>
      <c r="CN95" s="55">
        <f t="shared" si="362"/>
        <v>1</v>
      </c>
      <c r="CO95" s="29"/>
      <c r="CP95" s="29"/>
      <c r="CQ95" s="29">
        <f t="shared" si="390"/>
        <v>0</v>
      </c>
      <c r="CR95" s="29">
        <f t="shared" si="390"/>
        <v>0</v>
      </c>
      <c r="CS95" s="55">
        <f t="shared" si="364"/>
        <v>1</v>
      </c>
      <c r="CT95" s="55">
        <f t="shared" si="364"/>
        <v>1</v>
      </c>
      <c r="CU95" s="29"/>
      <c r="CV95" s="29"/>
      <c r="CW95" s="29">
        <f t="shared" si="391"/>
        <v>0</v>
      </c>
      <c r="CX95" s="29">
        <f t="shared" si="391"/>
        <v>0</v>
      </c>
      <c r="CY95" s="55">
        <f t="shared" si="366"/>
        <v>1</v>
      </c>
      <c r="CZ95" s="55">
        <f t="shared" si="366"/>
        <v>1</v>
      </c>
      <c r="DA95" s="29"/>
      <c r="DB95" s="29"/>
      <c r="DC95" s="29">
        <f t="shared" si="392"/>
        <v>0</v>
      </c>
      <c r="DD95" s="29">
        <f t="shared" si="392"/>
        <v>0</v>
      </c>
      <c r="DE95" s="55">
        <f t="shared" si="368"/>
        <v>1</v>
      </c>
      <c r="DF95" s="55">
        <f t="shared" si="368"/>
        <v>1</v>
      </c>
      <c r="DG95" s="29"/>
      <c r="DH95" s="29"/>
      <c r="DI95" s="29">
        <f t="shared" si="393"/>
        <v>0</v>
      </c>
      <c r="DJ95" s="29">
        <f t="shared" si="393"/>
        <v>0</v>
      </c>
      <c r="DK95" s="55">
        <f t="shared" si="370"/>
        <v>-1</v>
      </c>
      <c r="DL95" s="55">
        <f t="shared" si="370"/>
        <v>1</v>
      </c>
      <c r="DM95" s="29"/>
      <c r="DN95" s="29"/>
      <c r="DO95" s="29"/>
      <c r="DP95" s="29"/>
      <c r="DQ95" s="29">
        <v>0</v>
      </c>
      <c r="DR95" s="29">
        <v>0</v>
      </c>
      <c r="DS95" s="55">
        <f>IF($AY$95=0,1,DQ95/$AY$95-1)</f>
        <v>1</v>
      </c>
      <c r="DT95" s="55">
        <f>IF($AZ$95=0,1,DR95/$AZ$95-1)</f>
        <v>1</v>
      </c>
      <c r="DU95" s="55">
        <f>IF($E$95=0,1,DQ95/$E$95-1)</f>
        <v>1</v>
      </c>
      <c r="DV95" s="55">
        <f>IF($E$95=0,1,DR95/$E$95-1)</f>
        <v>1</v>
      </c>
      <c r="DW95" s="2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</row>
    <row r="96" spans="1:268" s="106" customFormat="1" ht="18" customHeight="1">
      <c r="A96" s="292"/>
      <c r="B96" s="293"/>
      <c r="C96" s="29"/>
      <c r="D96" s="29"/>
      <c r="E96" s="29">
        <f t="shared" si="398"/>
        <v>0</v>
      </c>
      <c r="F96" s="29">
        <f t="shared" si="398"/>
        <v>20000</v>
      </c>
      <c r="G96" s="29">
        <v>0</v>
      </c>
      <c r="H96" s="29">
        <v>0</v>
      </c>
      <c r="I96" s="29">
        <v>0</v>
      </c>
      <c r="J96" s="29">
        <v>0</v>
      </c>
      <c r="K96" s="29">
        <f t="shared" si="372"/>
        <v>0</v>
      </c>
      <c r="L96" s="29">
        <f t="shared" si="372"/>
        <v>0</v>
      </c>
      <c r="M96" s="29">
        <v>0</v>
      </c>
      <c r="N96" s="29">
        <v>0</v>
      </c>
      <c r="O96" s="29">
        <f t="shared" si="399"/>
        <v>0</v>
      </c>
      <c r="P96" s="29">
        <f t="shared" si="399"/>
        <v>0</v>
      </c>
      <c r="Q96" s="29">
        <v>0</v>
      </c>
      <c r="R96" s="29">
        <v>0</v>
      </c>
      <c r="S96" s="29">
        <f t="shared" si="374"/>
        <v>0</v>
      </c>
      <c r="T96" s="29">
        <f t="shared" si="374"/>
        <v>0</v>
      </c>
      <c r="U96" s="29">
        <v>0</v>
      </c>
      <c r="V96" s="29">
        <v>0</v>
      </c>
      <c r="W96" s="29">
        <f t="shared" si="375"/>
        <v>0</v>
      </c>
      <c r="X96" s="29">
        <f t="shared" si="375"/>
        <v>0</v>
      </c>
      <c r="Y96" s="29">
        <v>0</v>
      </c>
      <c r="Z96" s="29">
        <v>16000</v>
      </c>
      <c r="AA96" s="29">
        <f t="shared" si="376"/>
        <v>0</v>
      </c>
      <c r="AB96" s="29">
        <f t="shared" si="376"/>
        <v>16000</v>
      </c>
      <c r="AC96" s="29">
        <v>0</v>
      </c>
      <c r="AD96" s="29">
        <v>0</v>
      </c>
      <c r="AE96" s="29">
        <f t="shared" si="377"/>
        <v>0</v>
      </c>
      <c r="AF96" s="29">
        <f t="shared" si="377"/>
        <v>16000</v>
      </c>
      <c r="AG96" s="29">
        <v>0</v>
      </c>
      <c r="AH96" s="29">
        <v>0</v>
      </c>
      <c r="AI96" s="29">
        <f t="shared" si="378"/>
        <v>0</v>
      </c>
      <c r="AJ96" s="29">
        <f t="shared" si="378"/>
        <v>16000</v>
      </c>
      <c r="AK96" s="29">
        <v>0</v>
      </c>
      <c r="AL96" s="29">
        <v>0</v>
      </c>
      <c r="AM96" s="29">
        <f t="shared" si="379"/>
        <v>0</v>
      </c>
      <c r="AN96" s="29">
        <f t="shared" si="379"/>
        <v>16000</v>
      </c>
      <c r="AO96" s="29">
        <v>0</v>
      </c>
      <c r="AP96" s="29">
        <v>0</v>
      </c>
      <c r="AQ96" s="29">
        <f t="shared" si="380"/>
        <v>0</v>
      </c>
      <c r="AR96" s="29">
        <f t="shared" si="380"/>
        <v>16000</v>
      </c>
      <c r="AS96" s="29">
        <v>0</v>
      </c>
      <c r="AT96" s="29">
        <v>0</v>
      </c>
      <c r="AU96" s="29">
        <f t="shared" si="382"/>
        <v>0</v>
      </c>
      <c r="AV96" s="29">
        <f t="shared" si="382"/>
        <v>16000</v>
      </c>
      <c r="AW96" s="29">
        <v>0</v>
      </c>
      <c r="AX96" s="29">
        <v>4000</v>
      </c>
      <c r="AY96" s="29">
        <v>0</v>
      </c>
      <c r="AZ96" s="29">
        <v>0</v>
      </c>
      <c r="BA96" s="55">
        <f t="shared" ref="BA96:BB96" si="400">IF(E96=0,1,AY96/E96-1)</f>
        <v>1</v>
      </c>
      <c r="BB96" s="55">
        <f t="shared" si="400"/>
        <v>-1</v>
      </c>
      <c r="BC96" s="29">
        <v>0</v>
      </c>
      <c r="BD96" s="29">
        <v>0</v>
      </c>
      <c r="BE96" s="29">
        <v>0</v>
      </c>
      <c r="BF96" s="29">
        <v>0</v>
      </c>
      <c r="BG96" s="29">
        <f t="shared" si="384"/>
        <v>0</v>
      </c>
      <c r="BH96" s="29">
        <f t="shared" si="384"/>
        <v>0</v>
      </c>
      <c r="BI96" s="55">
        <f t="shared" si="352"/>
        <v>1</v>
      </c>
      <c r="BJ96" s="55">
        <f t="shared" si="352"/>
        <v>1</v>
      </c>
      <c r="BK96" s="29">
        <v>0</v>
      </c>
      <c r="BL96" s="29">
        <v>0</v>
      </c>
      <c r="BM96" s="29">
        <f t="shared" si="385"/>
        <v>0</v>
      </c>
      <c r="BN96" s="29">
        <f t="shared" si="385"/>
        <v>0</v>
      </c>
      <c r="BO96" s="55">
        <f t="shared" si="354"/>
        <v>1</v>
      </c>
      <c r="BP96" s="55">
        <f t="shared" si="354"/>
        <v>1</v>
      </c>
      <c r="BQ96" s="29"/>
      <c r="BR96" s="29"/>
      <c r="BS96" s="29">
        <f t="shared" si="386"/>
        <v>0</v>
      </c>
      <c r="BT96" s="29">
        <f t="shared" si="386"/>
        <v>0</v>
      </c>
      <c r="BU96" s="55">
        <f t="shared" si="356"/>
        <v>1</v>
      </c>
      <c r="BV96" s="55">
        <f t="shared" si="356"/>
        <v>1</v>
      </c>
      <c r="BW96" s="29"/>
      <c r="BX96" s="29"/>
      <c r="BY96" s="29">
        <f t="shared" si="387"/>
        <v>0</v>
      </c>
      <c r="BZ96" s="29">
        <f t="shared" si="387"/>
        <v>0</v>
      </c>
      <c r="CA96" s="55">
        <f t="shared" si="358"/>
        <v>1</v>
      </c>
      <c r="CB96" s="55">
        <f t="shared" si="358"/>
        <v>1</v>
      </c>
      <c r="CC96" s="29"/>
      <c r="CD96" s="29"/>
      <c r="CE96" s="29">
        <f t="shared" si="388"/>
        <v>0</v>
      </c>
      <c r="CF96" s="29">
        <f t="shared" si="388"/>
        <v>0</v>
      </c>
      <c r="CG96" s="55">
        <f t="shared" si="360"/>
        <v>1</v>
      </c>
      <c r="CH96" s="55">
        <f t="shared" si="360"/>
        <v>-1</v>
      </c>
      <c r="CI96" s="29"/>
      <c r="CJ96" s="29"/>
      <c r="CK96" s="29">
        <f t="shared" si="389"/>
        <v>0</v>
      </c>
      <c r="CL96" s="29">
        <f t="shared" si="389"/>
        <v>0</v>
      </c>
      <c r="CM96" s="55">
        <f t="shared" si="362"/>
        <v>1</v>
      </c>
      <c r="CN96" s="55">
        <f t="shared" si="362"/>
        <v>-1</v>
      </c>
      <c r="CO96" s="29"/>
      <c r="CP96" s="29"/>
      <c r="CQ96" s="29">
        <f t="shared" si="390"/>
        <v>0</v>
      </c>
      <c r="CR96" s="29">
        <f t="shared" si="390"/>
        <v>0</v>
      </c>
      <c r="CS96" s="55">
        <f t="shared" si="364"/>
        <v>1</v>
      </c>
      <c r="CT96" s="55">
        <f t="shared" si="364"/>
        <v>-1</v>
      </c>
      <c r="CU96" s="29"/>
      <c r="CV96" s="29"/>
      <c r="CW96" s="29">
        <f t="shared" si="391"/>
        <v>0</v>
      </c>
      <c r="CX96" s="29">
        <f t="shared" si="391"/>
        <v>0</v>
      </c>
      <c r="CY96" s="55">
        <f t="shared" si="366"/>
        <v>1</v>
      </c>
      <c r="CZ96" s="55">
        <f t="shared" si="366"/>
        <v>-1</v>
      </c>
      <c r="DA96" s="29"/>
      <c r="DB96" s="29"/>
      <c r="DC96" s="29">
        <f t="shared" si="392"/>
        <v>0</v>
      </c>
      <c r="DD96" s="29">
        <f t="shared" si="392"/>
        <v>0</v>
      </c>
      <c r="DE96" s="55">
        <f t="shared" si="368"/>
        <v>1</v>
      </c>
      <c r="DF96" s="55">
        <f t="shared" si="368"/>
        <v>-1</v>
      </c>
      <c r="DG96" s="29"/>
      <c r="DH96" s="29"/>
      <c r="DI96" s="29">
        <f t="shared" si="393"/>
        <v>0</v>
      </c>
      <c r="DJ96" s="29">
        <f t="shared" si="393"/>
        <v>0</v>
      </c>
      <c r="DK96" s="55">
        <f t="shared" si="370"/>
        <v>1</v>
      </c>
      <c r="DL96" s="55">
        <f t="shared" si="370"/>
        <v>-1</v>
      </c>
      <c r="DM96" s="29"/>
      <c r="DN96" s="29"/>
      <c r="DO96" s="29"/>
      <c r="DP96" s="29"/>
      <c r="DQ96" s="29">
        <v>0</v>
      </c>
      <c r="DR96" s="29">
        <v>0</v>
      </c>
      <c r="DS96" s="55">
        <f>IF($AY$96=0,1,DQ96/$AY$96-1)</f>
        <v>1</v>
      </c>
      <c r="DT96" s="55">
        <f>IF($AZ$96=0,1,DR96/$AZ$96-1)</f>
        <v>1</v>
      </c>
      <c r="DU96" s="55">
        <f>IF($E$96=0,1,DQ96/$E$96-1)</f>
        <v>1</v>
      </c>
      <c r="DV96" s="55">
        <f>IF($E$96=0,1,DR96/$E$96-1)</f>
        <v>1</v>
      </c>
      <c r="DW96" s="2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  <c r="IX96" s="105"/>
      <c r="IY96" s="105"/>
      <c r="IZ96" s="105"/>
      <c r="JA96" s="105"/>
      <c r="JB96" s="105"/>
      <c r="JC96" s="105"/>
      <c r="JD96" s="105"/>
      <c r="JE96" s="105"/>
      <c r="JF96" s="105"/>
      <c r="JG96" s="105"/>
      <c r="JH96" s="105"/>
    </row>
    <row r="97" spans="1:268" s="125" customFormat="1" ht="44.25" customHeight="1">
      <c r="A97" s="393"/>
      <c r="B97" s="394"/>
      <c r="C97" s="393" t="s">
        <v>115</v>
      </c>
      <c r="D97" s="394"/>
      <c r="E97" s="393" t="s">
        <v>116</v>
      </c>
      <c r="F97" s="394"/>
      <c r="G97" s="393" t="s">
        <v>69</v>
      </c>
      <c r="H97" s="394"/>
      <c r="I97" s="393" t="s">
        <v>70</v>
      </c>
      <c r="J97" s="394"/>
      <c r="K97" s="393" t="str">
        <f>K6</f>
        <v>на 01.03.</v>
      </c>
      <c r="L97" s="394"/>
      <c r="M97" s="393" t="s">
        <v>14</v>
      </c>
      <c r="N97" s="394"/>
      <c r="O97" s="393" t="str">
        <f>O6</f>
        <v>на 01.04.</v>
      </c>
      <c r="P97" s="394"/>
      <c r="Q97" s="393" t="s">
        <v>137</v>
      </c>
      <c r="R97" s="394"/>
      <c r="S97" s="393" t="s">
        <v>137</v>
      </c>
      <c r="T97" s="394"/>
      <c r="U97" s="393" t="s">
        <v>138</v>
      </c>
      <c r="V97" s="394"/>
      <c r="W97" s="393" t="s">
        <v>138</v>
      </c>
      <c r="X97" s="394"/>
      <c r="Y97" s="393" t="s">
        <v>83</v>
      </c>
      <c r="Z97" s="394"/>
      <c r="AA97" s="393" t="s">
        <v>83</v>
      </c>
      <c r="AB97" s="394"/>
      <c r="AC97" s="393" t="s">
        <v>84</v>
      </c>
      <c r="AD97" s="394"/>
      <c r="AE97" s="393" t="s">
        <v>84</v>
      </c>
      <c r="AF97" s="394"/>
      <c r="AG97" s="393" t="s">
        <v>85</v>
      </c>
      <c r="AH97" s="394"/>
      <c r="AI97" s="393" t="s">
        <v>85</v>
      </c>
      <c r="AJ97" s="394"/>
      <c r="AK97" s="393" t="s">
        <v>86</v>
      </c>
      <c r="AL97" s="394"/>
      <c r="AM97" s="393" t="s">
        <v>86</v>
      </c>
      <c r="AN97" s="394"/>
      <c r="AO97" s="393" t="s">
        <v>87</v>
      </c>
      <c r="AP97" s="394"/>
      <c r="AQ97" s="393" t="s">
        <v>87</v>
      </c>
      <c r="AR97" s="394"/>
      <c r="AS97" s="393" t="s">
        <v>88</v>
      </c>
      <c r="AT97" s="394"/>
      <c r="AU97" s="393" t="s">
        <v>88</v>
      </c>
      <c r="AV97" s="394"/>
      <c r="AW97" s="393" t="s">
        <v>139</v>
      </c>
      <c r="AX97" s="394"/>
      <c r="AY97" s="393" t="s">
        <v>71</v>
      </c>
      <c r="AZ97" s="394"/>
      <c r="BA97" s="393"/>
      <c r="BB97" s="394"/>
      <c r="BC97" s="393" t="s">
        <v>69</v>
      </c>
      <c r="BD97" s="394"/>
      <c r="BE97" s="393" t="s">
        <v>70</v>
      </c>
      <c r="BF97" s="394"/>
      <c r="BG97" s="393" t="str">
        <f>BG6</f>
        <v>на 01.03.</v>
      </c>
      <c r="BH97" s="394"/>
      <c r="BI97" s="393" t="s">
        <v>14</v>
      </c>
      <c r="BJ97" s="394"/>
      <c r="BK97" s="393" t="str">
        <f>BK6</f>
        <v>март</v>
      </c>
      <c r="BL97" s="394"/>
      <c r="BM97" s="393" t="s">
        <v>137</v>
      </c>
      <c r="BN97" s="394"/>
      <c r="BO97" s="393" t="s">
        <v>137</v>
      </c>
      <c r="BP97" s="394"/>
      <c r="BQ97" s="393" t="s">
        <v>138</v>
      </c>
      <c r="BR97" s="394"/>
      <c r="BS97" s="393" t="s">
        <v>138</v>
      </c>
      <c r="BT97" s="394"/>
      <c r="BU97" s="393" t="s">
        <v>83</v>
      </c>
      <c r="BV97" s="394"/>
      <c r="BW97" s="393" t="s">
        <v>83</v>
      </c>
      <c r="BX97" s="394"/>
      <c r="BY97" s="393" t="s">
        <v>84</v>
      </c>
      <c r="BZ97" s="394"/>
      <c r="CA97" s="393" t="s">
        <v>84</v>
      </c>
      <c r="CB97" s="394"/>
      <c r="CC97" s="393" t="s">
        <v>85</v>
      </c>
      <c r="CD97" s="394"/>
      <c r="CE97" s="393" t="s">
        <v>85</v>
      </c>
      <c r="CF97" s="394"/>
      <c r="CG97" s="393" t="s">
        <v>86</v>
      </c>
      <c r="CH97" s="394"/>
      <c r="CI97" s="393" t="s">
        <v>86</v>
      </c>
      <c r="CJ97" s="394"/>
      <c r="CK97" s="393" t="s">
        <v>87</v>
      </c>
      <c r="CL97" s="394"/>
      <c r="CM97" s="393" t="s">
        <v>87</v>
      </c>
      <c r="CN97" s="394"/>
      <c r="CO97" s="393" t="s">
        <v>88</v>
      </c>
      <c r="CP97" s="394"/>
      <c r="CQ97" s="393" t="s">
        <v>88</v>
      </c>
      <c r="CR97" s="394"/>
      <c r="CS97" s="393" t="s">
        <v>139</v>
      </c>
      <c r="CT97" s="394"/>
      <c r="CU97" s="393" t="str">
        <f>CU6</f>
        <v>сентябрь</v>
      </c>
      <c r="CV97" s="394"/>
      <c r="CW97" s="122"/>
      <c r="CX97" s="122"/>
      <c r="CY97" s="393"/>
      <c r="CZ97" s="394"/>
      <c r="DA97" s="393" t="str">
        <f>DA6</f>
        <v>октябрь</v>
      </c>
      <c r="DB97" s="394"/>
      <c r="DC97" s="122"/>
      <c r="DD97" s="122"/>
      <c r="DE97" s="393"/>
      <c r="DF97" s="394"/>
      <c r="DG97" s="393" t="str">
        <f>DG6</f>
        <v>ноябрь</v>
      </c>
      <c r="DH97" s="394"/>
      <c r="DI97" s="122"/>
      <c r="DJ97" s="122"/>
      <c r="DK97" s="393"/>
      <c r="DL97" s="394"/>
      <c r="DM97" s="393" t="str">
        <f>DM6</f>
        <v>декабрь</v>
      </c>
      <c r="DN97" s="394"/>
      <c r="DO97" s="393"/>
      <c r="DP97" s="394"/>
      <c r="DQ97" s="395" t="s">
        <v>71</v>
      </c>
      <c r="DR97" s="396"/>
      <c r="DS97" s="393"/>
      <c r="DT97" s="394"/>
      <c r="DU97" s="393"/>
      <c r="DV97" s="394"/>
      <c r="DW97" s="123"/>
      <c r="DX97" s="124"/>
      <c r="DY97" s="124"/>
      <c r="DZ97" s="124"/>
      <c r="EA97" s="124"/>
      <c r="EB97" s="124"/>
      <c r="EC97" s="124"/>
      <c r="ED97" s="124"/>
      <c r="EE97" s="124"/>
      <c r="EF97" s="124"/>
      <c r="EG97" s="124"/>
      <c r="EH97" s="124"/>
      <c r="EI97" s="124"/>
      <c r="EJ97" s="124"/>
      <c r="EK97" s="124"/>
      <c r="EL97" s="124"/>
      <c r="EM97" s="124"/>
      <c r="EN97" s="124"/>
      <c r="EO97" s="124"/>
      <c r="EP97" s="124"/>
      <c r="EQ97" s="124"/>
      <c r="ER97" s="124"/>
      <c r="ES97" s="124"/>
      <c r="ET97" s="124"/>
      <c r="EU97" s="124"/>
      <c r="EV97" s="124"/>
      <c r="EW97" s="124"/>
      <c r="EX97" s="124"/>
      <c r="EY97" s="124"/>
      <c r="EZ97" s="124"/>
      <c r="FA97" s="124"/>
      <c r="FB97" s="124"/>
      <c r="FC97" s="124"/>
      <c r="FD97" s="124"/>
      <c r="FE97" s="124"/>
      <c r="FF97" s="124"/>
      <c r="FG97" s="124"/>
      <c r="FH97" s="124"/>
      <c r="FI97" s="124"/>
      <c r="FJ97" s="124"/>
      <c r="FK97" s="124"/>
      <c r="FL97" s="124"/>
      <c r="FM97" s="124"/>
      <c r="FN97" s="124"/>
      <c r="FO97" s="124"/>
      <c r="FP97" s="124"/>
      <c r="FQ97" s="124"/>
      <c r="FR97" s="124"/>
      <c r="FS97" s="124"/>
      <c r="FT97" s="124"/>
      <c r="FU97" s="124"/>
      <c r="FV97" s="124"/>
      <c r="FW97" s="124"/>
      <c r="FX97" s="124"/>
      <c r="FY97" s="124"/>
      <c r="FZ97" s="124"/>
      <c r="GA97" s="124"/>
      <c r="GB97" s="124"/>
      <c r="GC97" s="124"/>
      <c r="GD97" s="124"/>
      <c r="GE97" s="124"/>
      <c r="GF97" s="124"/>
      <c r="GG97" s="124"/>
      <c r="GH97" s="124"/>
      <c r="GI97" s="124"/>
      <c r="GJ97" s="124"/>
      <c r="GK97" s="124"/>
      <c r="GL97" s="124"/>
      <c r="GM97" s="124"/>
      <c r="GN97" s="124"/>
      <c r="GO97" s="124"/>
      <c r="GP97" s="124"/>
      <c r="GQ97" s="124"/>
      <c r="GR97" s="124"/>
      <c r="GS97" s="124"/>
      <c r="GT97" s="124"/>
      <c r="GU97" s="124"/>
      <c r="GV97" s="124"/>
      <c r="GW97" s="124"/>
      <c r="GX97" s="124"/>
      <c r="GY97" s="124"/>
      <c r="GZ97" s="124"/>
      <c r="HA97" s="124"/>
      <c r="HB97" s="124"/>
      <c r="HC97" s="124"/>
      <c r="HD97" s="124"/>
      <c r="HE97" s="124"/>
      <c r="HF97" s="124"/>
      <c r="HG97" s="124"/>
      <c r="HH97" s="124"/>
      <c r="HI97" s="124"/>
      <c r="HJ97" s="124"/>
      <c r="HK97" s="124"/>
      <c r="HL97" s="124"/>
      <c r="HM97" s="124"/>
      <c r="HN97" s="124"/>
      <c r="HO97" s="124"/>
      <c r="HP97" s="124"/>
      <c r="HQ97" s="124"/>
      <c r="HR97" s="124"/>
      <c r="HS97" s="124"/>
      <c r="HT97" s="124"/>
      <c r="HU97" s="124"/>
      <c r="HV97" s="124"/>
      <c r="HW97" s="124"/>
      <c r="HX97" s="124"/>
      <c r="HY97" s="124"/>
      <c r="HZ97" s="124"/>
      <c r="IA97" s="124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24"/>
      <c r="IM97" s="124"/>
      <c r="IN97" s="124"/>
      <c r="IO97" s="124"/>
      <c r="IP97" s="124"/>
      <c r="IQ97" s="124"/>
      <c r="IR97" s="124"/>
      <c r="IS97" s="124"/>
      <c r="IT97" s="124"/>
      <c r="IU97" s="124"/>
      <c r="IV97" s="124"/>
      <c r="IW97" s="124"/>
      <c r="IX97" s="124"/>
      <c r="IY97" s="124"/>
      <c r="IZ97" s="124"/>
      <c r="JA97" s="124"/>
      <c r="JB97" s="124"/>
      <c r="JC97" s="124"/>
      <c r="JD97" s="124"/>
      <c r="JE97" s="124"/>
      <c r="JF97" s="124"/>
      <c r="JG97" s="124"/>
      <c r="JH97" s="124"/>
    </row>
    <row r="98" spans="1:268" s="18" customFormat="1" ht="16.5">
      <c r="A98" s="286" t="s">
        <v>72</v>
      </c>
      <c r="B98" s="287"/>
      <c r="C98" s="17"/>
      <c r="D98" s="17"/>
      <c r="E98" s="17">
        <v>130322</v>
      </c>
      <c r="F98" s="17">
        <v>121295</v>
      </c>
      <c r="G98" s="17">
        <f>H98+1207.3+1050+607.6</f>
        <v>74682.900000000009</v>
      </c>
      <c r="H98" s="17">
        <v>71818</v>
      </c>
      <c r="I98" s="17">
        <f>G98+I67+I70</f>
        <v>72834.900000000009</v>
      </c>
      <c r="J98" s="17">
        <f>H98+J67+J70</f>
        <v>70320</v>
      </c>
      <c r="K98" s="17">
        <f>I98</f>
        <v>72834.900000000009</v>
      </c>
      <c r="L98" s="17">
        <f>J98</f>
        <v>70320</v>
      </c>
      <c r="M98" s="17">
        <f>N98+402.5+700+531.6</f>
        <v>70048.3</v>
      </c>
      <c r="N98" s="17">
        <v>68414.2</v>
      </c>
      <c r="O98" s="17">
        <f>M98</f>
        <v>70048.3</v>
      </c>
      <c r="P98" s="17">
        <f>N98</f>
        <v>68414.2</v>
      </c>
      <c r="Q98" s="17">
        <f>R98+200+531.6</f>
        <v>79891.3</v>
      </c>
      <c r="R98" s="17">
        <v>79159.7</v>
      </c>
      <c r="S98" s="17">
        <f>Q98</f>
        <v>79891.3</v>
      </c>
      <c r="T98" s="17">
        <f>R98</f>
        <v>79159.7</v>
      </c>
      <c r="U98" s="17">
        <f>V98+455.6</f>
        <v>78342.100000000006</v>
      </c>
      <c r="V98" s="17">
        <v>77886.5</v>
      </c>
      <c r="W98" s="17">
        <f>U98</f>
        <v>78342.100000000006</v>
      </c>
      <c r="X98" s="17">
        <f>V98</f>
        <v>77886.5</v>
      </c>
      <c r="Y98" s="17">
        <f>Z98+455.6+503.7</f>
        <v>97660</v>
      </c>
      <c r="Z98" s="17">
        <v>96700.7</v>
      </c>
      <c r="AA98" s="17">
        <f>Y98</f>
        <v>97660</v>
      </c>
      <c r="AB98" s="17">
        <f>Z98</f>
        <v>96700.7</v>
      </c>
      <c r="AC98" s="17">
        <f>AD98+500+379.6</f>
        <v>96402.200000000012</v>
      </c>
      <c r="AD98" s="17">
        <v>95522.6</v>
      </c>
      <c r="AE98" s="17">
        <f>AC98</f>
        <v>96402.200000000012</v>
      </c>
      <c r="AF98" s="17">
        <f>AD98</f>
        <v>95522.6</v>
      </c>
      <c r="AG98" s="17">
        <f>AH98+500+341.6</f>
        <v>95094.3</v>
      </c>
      <c r="AH98" s="17">
        <v>94252.7</v>
      </c>
      <c r="AI98" s="17">
        <f>AG98</f>
        <v>95094.3</v>
      </c>
      <c r="AJ98" s="17">
        <f>AH98</f>
        <v>94252.7</v>
      </c>
      <c r="AK98" s="17">
        <f>5000+500+303.6+AL98</f>
        <v>102709.90000000001</v>
      </c>
      <c r="AL98" s="17">
        <v>96906.3</v>
      </c>
      <c r="AM98" s="17">
        <f>AK98</f>
        <v>102709.90000000001</v>
      </c>
      <c r="AN98" s="17">
        <f>AL98</f>
        <v>96906.3</v>
      </c>
      <c r="AO98" s="17">
        <f>800+265.6+AP98+5000</f>
        <v>102987.70000000001</v>
      </c>
      <c r="AP98" s="17">
        <v>96922.1</v>
      </c>
      <c r="AQ98" s="17">
        <f>AO98</f>
        <v>102987.70000000001</v>
      </c>
      <c r="AR98" s="17">
        <f>AP98</f>
        <v>96922.1</v>
      </c>
      <c r="AS98" s="17">
        <f>AT98+5000+800+227.6</f>
        <v>102901.70000000001</v>
      </c>
      <c r="AT98" s="17">
        <v>96874.1</v>
      </c>
      <c r="AU98" s="17">
        <f>AS98</f>
        <v>102901.70000000001</v>
      </c>
      <c r="AV98" s="17">
        <f>AT98</f>
        <v>96874.1</v>
      </c>
      <c r="AW98" s="17">
        <f>AX98+227.6+800+8005</f>
        <v>131064.6</v>
      </c>
      <c r="AX98" s="17">
        <v>122032</v>
      </c>
      <c r="AY98" s="17">
        <v>132945</v>
      </c>
      <c r="AZ98" s="17">
        <v>113295</v>
      </c>
      <c r="BA98" s="19">
        <f>AY98/E98</f>
        <v>1.0201270698730835</v>
      </c>
      <c r="BB98" s="19">
        <f>AZ98/F98</f>
        <v>0.93404509666515523</v>
      </c>
      <c r="BC98" s="17">
        <f>E98+BC67-BC70</f>
        <v>130543</v>
      </c>
      <c r="BD98" s="17">
        <f>F98+BD67-BD70</f>
        <v>121516</v>
      </c>
      <c r="BE98" s="17">
        <f>BC98+BE67+BE70</f>
        <v>128574</v>
      </c>
      <c r="BF98" s="17">
        <f>BD98+BF67+BF70</f>
        <v>119547</v>
      </c>
      <c r="BG98" s="17">
        <f t="shared" ref="BG98:BH101" si="401">BE98</f>
        <v>128574</v>
      </c>
      <c r="BH98" s="17">
        <f t="shared" si="401"/>
        <v>119547</v>
      </c>
      <c r="BI98" s="19">
        <f t="shared" ref="BI98:BJ98" si="402">IF(K98=0,1,BG98/K98-1)</f>
        <v>0.76528010610298058</v>
      </c>
      <c r="BJ98" s="19">
        <f t="shared" si="402"/>
        <v>0.70004266211604094</v>
      </c>
      <c r="BK98" s="17">
        <f>BI98+BK67+BK70</f>
        <v>31081.765280106101</v>
      </c>
      <c r="BL98" s="17">
        <f t="shared" ref="BL98" si="403">BJ98+BL67+BL70</f>
        <v>-2418.2999573378838</v>
      </c>
      <c r="BM98" s="17">
        <f>BK98</f>
        <v>31081.765280106101</v>
      </c>
      <c r="BN98" s="17">
        <f>BL98</f>
        <v>-2418.2999573378838</v>
      </c>
      <c r="BO98" s="19">
        <f>BM98/O98</f>
        <v>0.44371905214125251</v>
      </c>
      <c r="BP98" s="19">
        <f>BN98/P98</f>
        <v>-3.534792422242581E-2</v>
      </c>
      <c r="BQ98" s="17">
        <f>BM98+BQ67+BQ70</f>
        <v>31081.765280106101</v>
      </c>
      <c r="BR98" s="17">
        <f>BN98+BR67+BR70</f>
        <v>-2418.2999573378838</v>
      </c>
      <c r="BS98" s="17">
        <f>BQ98</f>
        <v>31081.765280106101</v>
      </c>
      <c r="BT98" s="17">
        <f>BR98</f>
        <v>-2418.2999573378838</v>
      </c>
      <c r="BU98" s="19">
        <f>BS98/S98</f>
        <v>0.38905068862449477</v>
      </c>
      <c r="BV98" s="19">
        <f>BT98/T98</f>
        <v>-3.0549635197428537E-2</v>
      </c>
      <c r="BW98" s="17">
        <f>BS98+BW67+BW70</f>
        <v>31081.765280106101</v>
      </c>
      <c r="BX98" s="17">
        <f>BT98+BX67+BX70</f>
        <v>-2418.2999573378838</v>
      </c>
      <c r="BY98" s="17">
        <f>BW98</f>
        <v>31081.765280106101</v>
      </c>
      <c r="BZ98" s="17">
        <f>BX98</f>
        <v>-2418.2999573378838</v>
      </c>
      <c r="CA98" s="19">
        <f>BY98/W98</f>
        <v>0.39674409136474642</v>
      </c>
      <c r="CB98" s="19">
        <f>BZ98/X98</f>
        <v>-3.1049025920254266E-2</v>
      </c>
      <c r="CC98" s="17">
        <f>BY98+CC67+CC70</f>
        <v>31081.765280106101</v>
      </c>
      <c r="CD98" s="17">
        <f>BZ98+CD67+CD70</f>
        <v>-2418.2999573378838</v>
      </c>
      <c r="CE98" s="17">
        <f>CC98</f>
        <v>31081.765280106101</v>
      </c>
      <c r="CF98" s="17">
        <f>CD98</f>
        <v>-2418.2999573378838</v>
      </c>
      <c r="CG98" s="19">
        <f>CE98/AA98</f>
        <v>0.318265055090171</v>
      </c>
      <c r="CH98" s="19">
        <f>CF98/AB98</f>
        <v>-2.5008091537474741E-2</v>
      </c>
      <c r="CI98" s="17">
        <f>CE98+CI67+CI70</f>
        <v>31081.765280106101</v>
      </c>
      <c r="CJ98" s="17">
        <f>CF98+CJ67+CJ70</f>
        <v>-2418.2999573378838</v>
      </c>
      <c r="CK98" s="17">
        <f>CI98</f>
        <v>31081.765280106101</v>
      </c>
      <c r="CL98" s="17">
        <f>CJ98</f>
        <v>-2418.2999573378838</v>
      </c>
      <c r="CM98" s="19">
        <f>CK98/AE98</f>
        <v>0.32241759296059735</v>
      </c>
      <c r="CN98" s="19">
        <f>CL98/AF98</f>
        <v>-2.5316521507348876E-2</v>
      </c>
      <c r="CO98" s="17">
        <f>CK98+CO67+CO70</f>
        <v>31081.765280106101</v>
      </c>
      <c r="CP98" s="17">
        <f>CL98+CP67+CP70</f>
        <v>-2418.2999573378838</v>
      </c>
      <c r="CQ98" s="17">
        <f>CO98</f>
        <v>31081.765280106101</v>
      </c>
      <c r="CR98" s="17">
        <f>CP98</f>
        <v>-2418.2999573378838</v>
      </c>
      <c r="CS98" s="19">
        <f>CQ98/AI98</f>
        <v>0.32685203298311361</v>
      </c>
      <c r="CT98" s="19">
        <f>CR98/AJ98</f>
        <v>-2.5657619965665533E-2</v>
      </c>
      <c r="CU98" s="17">
        <f>CQ98+CU67+CU70</f>
        <v>31081.765280106101</v>
      </c>
      <c r="CV98" s="17">
        <f>CR98+CV67+CV70</f>
        <v>-2418.2999573378838</v>
      </c>
      <c r="CW98" s="17">
        <f>CU98</f>
        <v>31081.765280106101</v>
      </c>
      <c r="CX98" s="17">
        <f>CV98</f>
        <v>-2418.2999573378838</v>
      </c>
      <c r="CY98" s="19">
        <f>CW98/AM98</f>
        <v>0.30261703380205901</v>
      </c>
      <c r="CZ98" s="19">
        <f>CX98/AN98</f>
        <v>-2.4955033443005085E-2</v>
      </c>
      <c r="DA98" s="17">
        <f>CW98+DA67+DA70</f>
        <v>31081.765280106101</v>
      </c>
      <c r="DB98" s="17">
        <f>CX98+DB67+DB70</f>
        <v>-2418.2999573378838</v>
      </c>
      <c r="DC98" s="17">
        <f>DA98</f>
        <v>31081.765280106101</v>
      </c>
      <c r="DD98" s="17">
        <f>DB98</f>
        <v>-2418.2999573378838</v>
      </c>
      <c r="DE98" s="19">
        <f>DC98/AQ98</f>
        <v>0.30180075174128657</v>
      </c>
      <c r="DF98" s="19">
        <f>DD98/AR98</f>
        <v>-2.495096533543829E-2</v>
      </c>
      <c r="DG98" s="17">
        <f>DC98+DG67+DG70</f>
        <v>31081.765280106101</v>
      </c>
      <c r="DH98" s="17">
        <f>DD98+DH67+DH70</f>
        <v>-2418.2999573378838</v>
      </c>
      <c r="DI98" s="17">
        <f>DG98</f>
        <v>31081.765280106101</v>
      </c>
      <c r="DJ98" s="17">
        <f>DH98</f>
        <v>-2418.2999573378838</v>
      </c>
      <c r="DK98" s="19">
        <f>DI98/AU98</f>
        <v>0.3020529814386555</v>
      </c>
      <c r="DL98" s="19">
        <f>DJ98/AV98</f>
        <v>-2.4963328251182554E-2</v>
      </c>
      <c r="DM98" s="17">
        <f>DI98+DM67+DM70</f>
        <v>31081.765280106101</v>
      </c>
      <c r="DN98" s="17">
        <f>DJ98+DN67+DN70</f>
        <v>-2418.2999573378838</v>
      </c>
      <c r="DO98" s="19"/>
      <c r="DP98" s="19"/>
      <c r="DQ98" s="38">
        <f>E98+DQ67+DQ70</f>
        <v>156872</v>
      </c>
      <c r="DR98" s="38">
        <f>F98+DR67+DR70</f>
        <v>137795</v>
      </c>
      <c r="DS98" s="19">
        <f>DQ98/$AY$98</f>
        <v>1.1799766820865771</v>
      </c>
      <c r="DT98" s="19">
        <f>DR98/$AZ$98</f>
        <v>1.2162496138399752</v>
      </c>
      <c r="DU98" s="19">
        <f>DQ98/$E$98</f>
        <v>1.2037261552155429</v>
      </c>
      <c r="DV98" s="19">
        <f>DR98/$E$98</f>
        <v>1.0573425822194258</v>
      </c>
      <c r="DW98" s="84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  <c r="IW98" s="22"/>
      <c r="IX98" s="22"/>
      <c r="IY98" s="22"/>
      <c r="IZ98" s="22"/>
      <c r="JA98" s="22"/>
      <c r="JB98" s="22"/>
      <c r="JC98" s="22"/>
      <c r="JD98" s="22"/>
      <c r="JE98" s="22"/>
      <c r="JF98" s="22"/>
      <c r="JG98" s="22"/>
      <c r="JH98" s="22"/>
    </row>
    <row r="99" spans="1:268" s="79" customFormat="1" ht="15.75" customHeight="1">
      <c r="A99" s="391" t="s">
        <v>73</v>
      </c>
      <c r="B99" s="392"/>
      <c r="C99" s="54">
        <f>C98/(C9-C11)</f>
        <v>0</v>
      </c>
      <c r="D99" s="54">
        <f>D98/(D9-D11)</f>
        <v>0</v>
      </c>
      <c r="E99" s="54">
        <f>E98/(E9-E11)</f>
        <v>0.32412788131013109</v>
      </c>
      <c r="F99" s="54">
        <f>F98/(F9-F11)</f>
        <v>0.40089158261532881</v>
      </c>
      <c r="G99" s="54" t="s">
        <v>51</v>
      </c>
      <c r="H99" s="54" t="s">
        <v>51</v>
      </c>
      <c r="I99" s="54" t="s">
        <v>51</v>
      </c>
      <c r="J99" s="54" t="s">
        <v>51</v>
      </c>
      <c r="K99" s="54" t="s">
        <v>51</v>
      </c>
      <c r="L99" s="54" t="s">
        <v>51</v>
      </c>
      <c r="M99" s="54" t="s">
        <v>51</v>
      </c>
      <c r="N99" s="54" t="s">
        <v>51</v>
      </c>
      <c r="O99" s="54" t="s">
        <v>51</v>
      </c>
      <c r="P99" s="54" t="s">
        <v>51</v>
      </c>
      <c r="Q99" s="54" t="s">
        <v>51</v>
      </c>
      <c r="R99" s="54" t="s">
        <v>51</v>
      </c>
      <c r="S99" s="54" t="s">
        <v>51</v>
      </c>
      <c r="T99" s="54" t="s">
        <v>51</v>
      </c>
      <c r="U99" s="54" t="s">
        <v>51</v>
      </c>
      <c r="V99" s="54" t="s">
        <v>51</v>
      </c>
      <c r="W99" s="54" t="s">
        <v>51</v>
      </c>
      <c r="X99" s="54" t="s">
        <v>51</v>
      </c>
      <c r="Y99" s="54" t="s">
        <v>51</v>
      </c>
      <c r="Z99" s="54" t="s">
        <v>51</v>
      </c>
      <c r="AA99" s="54" t="s">
        <v>51</v>
      </c>
      <c r="AB99" s="54" t="s">
        <v>51</v>
      </c>
      <c r="AC99" s="54" t="s">
        <v>51</v>
      </c>
      <c r="AD99" s="54" t="s">
        <v>51</v>
      </c>
      <c r="AE99" s="54" t="s">
        <v>51</v>
      </c>
      <c r="AF99" s="54" t="s">
        <v>51</v>
      </c>
      <c r="AG99" s="54" t="s">
        <v>51</v>
      </c>
      <c r="AH99" s="54" t="s">
        <v>51</v>
      </c>
      <c r="AI99" s="54" t="s">
        <v>51</v>
      </c>
      <c r="AJ99" s="54" t="s">
        <v>51</v>
      </c>
      <c r="AK99" s="54" t="s">
        <v>51</v>
      </c>
      <c r="AL99" s="54" t="s">
        <v>51</v>
      </c>
      <c r="AM99" s="54" t="s">
        <v>51</v>
      </c>
      <c r="AN99" s="54" t="s">
        <v>51</v>
      </c>
      <c r="AO99" s="54" t="s">
        <v>51</v>
      </c>
      <c r="AP99" s="54" t="s">
        <v>51</v>
      </c>
      <c r="AQ99" s="54" t="s">
        <v>51</v>
      </c>
      <c r="AR99" s="54" t="s">
        <v>51</v>
      </c>
      <c r="AS99" s="54" t="s">
        <v>51</v>
      </c>
      <c r="AT99" s="54" t="s">
        <v>51</v>
      </c>
      <c r="AU99" s="54" t="s">
        <v>51</v>
      </c>
      <c r="AV99" s="54" t="s">
        <v>51</v>
      </c>
      <c r="AW99" s="54" t="s">
        <v>51</v>
      </c>
      <c r="AX99" s="54" t="s">
        <v>51</v>
      </c>
      <c r="AY99" s="54">
        <f>AY98/(AY8-AY11-AY26)</f>
        <v>0.2893063293716045</v>
      </c>
      <c r="AZ99" s="54">
        <f>AZ98/(AZ8-AZ11-AZ26)</f>
        <v>0.33305835364112174</v>
      </c>
      <c r="BA99" s="54" t="s">
        <v>51</v>
      </c>
      <c r="BB99" s="54" t="s">
        <v>51</v>
      </c>
      <c r="BC99" s="54">
        <f>BC98/($AY$9-$AY$11)</f>
        <v>0.28407925198508688</v>
      </c>
      <c r="BD99" s="54">
        <f>BD98/($AY$9-$AY$11)</f>
        <v>0.26443527714408138</v>
      </c>
      <c r="BE99" s="54">
        <f>BE98/($AY$9-$AY$11)</f>
        <v>0.27979444125483982</v>
      </c>
      <c r="BF99" s="54">
        <f>BF98/($AZ$9-$AZ$11)</f>
        <v>0.35143763628346514</v>
      </c>
      <c r="BG99" s="54">
        <f t="shared" si="401"/>
        <v>0.27979444125483982</v>
      </c>
      <c r="BH99" s="54">
        <f t="shared" si="401"/>
        <v>0.35143763628346514</v>
      </c>
      <c r="BI99" s="54" t="s">
        <v>51</v>
      </c>
      <c r="BJ99" s="54" t="s">
        <v>51</v>
      </c>
      <c r="BK99" s="54">
        <f>BK98/($AY$9-$AY$11)</f>
        <v>6.7638131735509255E-2</v>
      </c>
      <c r="BL99" s="54">
        <f>BL98/($AZ$9-$AZ$11)</f>
        <v>-7.1091840098976176E-3</v>
      </c>
      <c r="BM99" s="54" t="s">
        <v>51</v>
      </c>
      <c r="BN99" s="54" t="s">
        <v>51</v>
      </c>
      <c r="BO99" s="54" t="s">
        <v>51</v>
      </c>
      <c r="BP99" s="54" t="s">
        <v>51</v>
      </c>
      <c r="BQ99" s="54">
        <f>BQ98/($AY$9-$AY$11)</f>
        <v>6.7638131735509255E-2</v>
      </c>
      <c r="BR99" s="54">
        <f>BR98/($AZ$9-$AZ$11)</f>
        <v>-7.1091840098976176E-3</v>
      </c>
      <c r="BS99" s="54" t="s">
        <v>51</v>
      </c>
      <c r="BT99" s="54" t="s">
        <v>51</v>
      </c>
      <c r="BU99" s="54" t="s">
        <v>51</v>
      </c>
      <c r="BV99" s="54" t="s">
        <v>51</v>
      </c>
      <c r="BW99" s="54">
        <f>BW98/($AY$9-$AY$11)</f>
        <v>6.7638131735509255E-2</v>
      </c>
      <c r="BX99" s="54">
        <f>BX98/($AZ$9-$AZ$11)</f>
        <v>-7.1091840098976176E-3</v>
      </c>
      <c r="BY99" s="54" t="s">
        <v>51</v>
      </c>
      <c r="BZ99" s="54" t="s">
        <v>51</v>
      </c>
      <c r="CA99" s="54" t="s">
        <v>51</v>
      </c>
      <c r="CB99" s="54" t="s">
        <v>51</v>
      </c>
      <c r="CC99" s="54">
        <f>CC98/($AY$9-$AY$11)</f>
        <v>6.7638131735509255E-2</v>
      </c>
      <c r="CD99" s="54">
        <f>CD98/($AZ$9-$AZ$11)</f>
        <v>-7.1091840098976176E-3</v>
      </c>
      <c r="CE99" s="54" t="s">
        <v>51</v>
      </c>
      <c r="CF99" s="54" t="s">
        <v>51</v>
      </c>
      <c r="CG99" s="54" t="s">
        <v>51</v>
      </c>
      <c r="CH99" s="54" t="s">
        <v>51</v>
      </c>
      <c r="CI99" s="54">
        <f>CI98/($AY$9-$AY$11)</f>
        <v>6.7638131735509255E-2</v>
      </c>
      <c r="CJ99" s="54">
        <f>CJ98/($AZ$9-$AZ$11)</f>
        <v>-7.1091840098976176E-3</v>
      </c>
      <c r="CK99" s="54" t="s">
        <v>51</v>
      </c>
      <c r="CL99" s="54" t="s">
        <v>51</v>
      </c>
      <c r="CM99" s="54" t="s">
        <v>51</v>
      </c>
      <c r="CN99" s="54" t="s">
        <v>51</v>
      </c>
      <c r="CO99" s="54">
        <f>CO98/($AY$9-$AY$11)</f>
        <v>6.7638131735509255E-2</v>
      </c>
      <c r="CP99" s="54">
        <f>CP98/($AZ$9-$AZ$11)</f>
        <v>-7.1091840098976176E-3</v>
      </c>
      <c r="CQ99" s="54" t="s">
        <v>51</v>
      </c>
      <c r="CR99" s="54" t="s">
        <v>51</v>
      </c>
      <c r="CS99" s="54" t="s">
        <v>51</v>
      </c>
      <c r="CT99" s="54" t="s">
        <v>51</v>
      </c>
      <c r="CU99" s="54">
        <f>CU98/($AY$9-$AY$11)</f>
        <v>6.7638131735509255E-2</v>
      </c>
      <c r="CV99" s="54">
        <f>CV98/($AZ$9-$AZ$11)</f>
        <v>-7.1091840098976176E-3</v>
      </c>
      <c r="CW99" s="54" t="s">
        <v>51</v>
      </c>
      <c r="CX99" s="54" t="s">
        <v>51</v>
      </c>
      <c r="CY99" s="54" t="s">
        <v>51</v>
      </c>
      <c r="CZ99" s="54" t="s">
        <v>51</v>
      </c>
      <c r="DA99" s="54">
        <f>DA98/($AY$9-$AY$11)</f>
        <v>6.7638131735509255E-2</v>
      </c>
      <c r="DB99" s="54">
        <f>DB98/($AZ$9-$AZ$11)</f>
        <v>-7.1091840098976176E-3</v>
      </c>
      <c r="DC99" s="54" t="s">
        <v>51</v>
      </c>
      <c r="DD99" s="54" t="s">
        <v>51</v>
      </c>
      <c r="DE99" s="54" t="s">
        <v>51</v>
      </c>
      <c r="DF99" s="54" t="s">
        <v>51</v>
      </c>
      <c r="DG99" s="54">
        <f>DG98/($AY$9-$AY$11)</f>
        <v>6.7638131735509255E-2</v>
      </c>
      <c r="DH99" s="54">
        <f>DH98/($AZ$9-$AZ$11)</f>
        <v>-7.1091840098976176E-3</v>
      </c>
      <c r="DI99" s="54" t="s">
        <v>51</v>
      </c>
      <c r="DJ99" s="54" t="s">
        <v>51</v>
      </c>
      <c r="DK99" s="54" t="s">
        <v>51</v>
      </c>
      <c r="DL99" s="54" t="s">
        <v>51</v>
      </c>
      <c r="DM99" s="54">
        <f>DM98/($AY$9-$AY$11)</f>
        <v>6.7638131735509255E-2</v>
      </c>
      <c r="DN99" s="54">
        <f>DN98/($AZ$9-$AZ$11)</f>
        <v>-7.1091840098976176E-3</v>
      </c>
      <c r="DO99" s="54">
        <f>DO98/($AY$9-$AY$11)</f>
        <v>0</v>
      </c>
      <c r="DP99" s="54">
        <f>DP98/($AZ$9-$AZ$11)</f>
        <v>0</v>
      </c>
      <c r="DQ99" s="54">
        <f>DQ98/(DQ9-DQ11)</f>
        <v>0.392737432767784</v>
      </c>
      <c r="DR99" s="54">
        <f>DR98/(DR9-DR11)</f>
        <v>0.48494221074261479</v>
      </c>
      <c r="DS99" s="54" t="s">
        <v>51</v>
      </c>
      <c r="DT99" s="54" t="s">
        <v>51</v>
      </c>
      <c r="DU99" s="54" t="s">
        <v>51</v>
      </c>
      <c r="DV99" s="54" t="s">
        <v>51</v>
      </c>
      <c r="DW99" s="121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78"/>
      <c r="IK99" s="78"/>
      <c r="IL99" s="78"/>
      <c r="IM99" s="78"/>
      <c r="IN99" s="78"/>
      <c r="IO99" s="78"/>
      <c r="IP99" s="78"/>
      <c r="IQ99" s="78"/>
      <c r="IR99" s="78"/>
      <c r="IS99" s="78"/>
      <c r="IT99" s="78"/>
      <c r="IU99" s="78"/>
      <c r="IV99" s="78"/>
      <c r="IW99" s="78"/>
      <c r="IX99" s="78"/>
      <c r="IY99" s="78"/>
      <c r="IZ99" s="78"/>
      <c r="JA99" s="78"/>
      <c r="JB99" s="78"/>
      <c r="JC99" s="78"/>
      <c r="JD99" s="78"/>
      <c r="JE99" s="78"/>
      <c r="JF99" s="78"/>
      <c r="JG99" s="78"/>
      <c r="JH99" s="78"/>
    </row>
    <row r="100" spans="1:268" s="85" customFormat="1" ht="36.75" customHeight="1">
      <c r="A100" s="286" t="s">
        <v>74</v>
      </c>
      <c r="B100" s="287"/>
      <c r="C100" s="17">
        <f>'[1]прогноз '!B92</f>
        <v>0</v>
      </c>
      <c r="D100" s="17">
        <f>'[1]прогноз '!C92</f>
        <v>0</v>
      </c>
      <c r="E100" s="17">
        <f>[2]Консолид.!$J$23/1000</f>
        <v>19330.999820000001</v>
      </c>
      <c r="F100" s="17">
        <f>[2]районы!$H$23/1000</f>
        <v>15818.17261</v>
      </c>
      <c r="G100" s="17">
        <v>27212</v>
      </c>
      <c r="H100" s="17">
        <v>23450</v>
      </c>
      <c r="I100" s="17">
        <v>14932</v>
      </c>
      <c r="J100" s="17">
        <v>11299</v>
      </c>
      <c r="K100" s="17">
        <f>I100</f>
        <v>14932</v>
      </c>
      <c r="L100" s="17">
        <f>J100</f>
        <v>11299</v>
      </c>
      <c r="M100" s="17">
        <v>26472</v>
      </c>
      <c r="N100" s="17">
        <v>22845</v>
      </c>
      <c r="O100" s="17">
        <f>M100</f>
        <v>26472</v>
      </c>
      <c r="P100" s="17">
        <f>N100</f>
        <v>22845</v>
      </c>
      <c r="Q100" s="17">
        <v>21981.7</v>
      </c>
      <c r="R100" s="17">
        <v>18291.8</v>
      </c>
      <c r="S100" s="17">
        <f>Q100</f>
        <v>21981.7</v>
      </c>
      <c r="T100" s="17">
        <f>R100</f>
        <v>18291.8</v>
      </c>
      <c r="U100" s="17">
        <v>25113</v>
      </c>
      <c r="V100" s="17">
        <v>21336.1</v>
      </c>
      <c r="W100" s="17">
        <f>U100</f>
        <v>25113</v>
      </c>
      <c r="X100" s="17">
        <f>V100</f>
        <v>21336.1</v>
      </c>
      <c r="Y100" s="17">
        <v>15656</v>
      </c>
      <c r="Z100" s="17">
        <v>12044.3</v>
      </c>
      <c r="AA100" s="17">
        <f>Y100</f>
        <v>15656</v>
      </c>
      <c r="AB100" s="17">
        <f>Z100</f>
        <v>12044.3</v>
      </c>
      <c r="AC100" s="17">
        <v>15179.9</v>
      </c>
      <c r="AD100" s="17">
        <v>11709.5</v>
      </c>
      <c r="AE100" s="17">
        <f>AC100</f>
        <v>15179.9</v>
      </c>
      <c r="AF100" s="17">
        <f>AD100</f>
        <v>11709.5</v>
      </c>
      <c r="AG100" s="17">
        <v>19905.900000000001</v>
      </c>
      <c r="AH100" s="17">
        <v>16414.2</v>
      </c>
      <c r="AI100" s="17">
        <f>AG100</f>
        <v>19905.900000000001</v>
      </c>
      <c r="AJ100" s="17">
        <f>AH100</f>
        <v>16414.2</v>
      </c>
      <c r="AK100" s="17">
        <v>14053</v>
      </c>
      <c r="AL100" s="17">
        <v>10561.3</v>
      </c>
      <c r="AM100" s="17">
        <f>AK100</f>
        <v>14053</v>
      </c>
      <c r="AN100" s="17">
        <f>AL100</f>
        <v>10561.3</v>
      </c>
      <c r="AO100" s="17">
        <v>12691.8</v>
      </c>
      <c r="AP100" s="17">
        <v>9200.1</v>
      </c>
      <c r="AQ100" s="17">
        <f>AO100</f>
        <v>12691.8</v>
      </c>
      <c r="AR100" s="17">
        <f>AP100</f>
        <v>9200.1</v>
      </c>
      <c r="AS100" s="17">
        <v>17624.900000000001</v>
      </c>
      <c r="AT100" s="17">
        <v>14133.5</v>
      </c>
      <c r="AU100" s="17">
        <f>AS100</f>
        <v>17624.900000000001</v>
      </c>
      <c r="AV100" s="17">
        <f>AT100</f>
        <v>14133.5</v>
      </c>
      <c r="AW100" s="17">
        <v>20479</v>
      </c>
      <c r="AX100" s="17">
        <v>16299</v>
      </c>
      <c r="AY100" s="17" t="s">
        <v>51</v>
      </c>
      <c r="AZ100" s="17" t="s">
        <v>51</v>
      </c>
      <c r="BA100" s="19" t="s">
        <v>51</v>
      </c>
      <c r="BB100" s="19" t="s">
        <v>51</v>
      </c>
      <c r="BC100" s="17">
        <v>23232.5</v>
      </c>
      <c r="BD100" s="17">
        <v>19719.7</v>
      </c>
      <c r="BE100" s="17">
        <v>21905.9</v>
      </c>
      <c r="BF100" s="17">
        <v>18393.099999999999</v>
      </c>
      <c r="BG100" s="17">
        <f t="shared" si="401"/>
        <v>21905.9</v>
      </c>
      <c r="BH100" s="17">
        <f t="shared" si="401"/>
        <v>18393.099999999999</v>
      </c>
      <c r="BI100" s="19" t="s">
        <v>51</v>
      </c>
      <c r="BJ100" s="19" t="s">
        <v>51</v>
      </c>
      <c r="BK100" s="17"/>
      <c r="BL100" s="97">
        <v>23460</v>
      </c>
      <c r="BM100" s="17">
        <f>BK100</f>
        <v>0</v>
      </c>
      <c r="BN100" s="17">
        <f>BL100</f>
        <v>23460</v>
      </c>
      <c r="BO100" s="19" t="s">
        <v>51</v>
      </c>
      <c r="BP100" s="19" t="s">
        <v>51</v>
      </c>
      <c r="BQ100" s="17"/>
      <c r="BR100" s="17"/>
      <c r="BS100" s="17">
        <f>BQ100</f>
        <v>0</v>
      </c>
      <c r="BT100" s="17">
        <f>BR100</f>
        <v>0</v>
      </c>
      <c r="BU100" s="19" t="s">
        <v>51</v>
      </c>
      <c r="BV100" s="19" t="s">
        <v>51</v>
      </c>
      <c r="BW100" s="17"/>
      <c r="BX100" s="17"/>
      <c r="BY100" s="17">
        <f>BW100</f>
        <v>0</v>
      </c>
      <c r="BZ100" s="17">
        <f>BX100</f>
        <v>0</v>
      </c>
      <c r="CA100" s="19" t="s">
        <v>51</v>
      </c>
      <c r="CB100" s="19" t="s">
        <v>51</v>
      </c>
      <c r="CC100" s="17"/>
      <c r="CD100" s="17"/>
      <c r="CE100" s="17">
        <f>CC100</f>
        <v>0</v>
      </c>
      <c r="CF100" s="17">
        <f>CD100</f>
        <v>0</v>
      </c>
      <c r="CG100" s="19" t="s">
        <v>51</v>
      </c>
      <c r="CH100" s="19" t="s">
        <v>51</v>
      </c>
      <c r="CI100" s="17"/>
      <c r="CJ100" s="17"/>
      <c r="CK100" s="17">
        <f>CI100</f>
        <v>0</v>
      </c>
      <c r="CL100" s="17">
        <f>CJ100</f>
        <v>0</v>
      </c>
      <c r="CM100" s="19" t="s">
        <v>51</v>
      </c>
      <c r="CN100" s="19" t="s">
        <v>51</v>
      </c>
      <c r="CO100" s="17"/>
      <c r="CP100" s="17"/>
      <c r="CQ100" s="17">
        <f>CO100</f>
        <v>0</v>
      </c>
      <c r="CR100" s="17">
        <f>CP100</f>
        <v>0</v>
      </c>
      <c r="CS100" s="19" t="s">
        <v>51</v>
      </c>
      <c r="CT100" s="19" t="s">
        <v>51</v>
      </c>
      <c r="CU100" s="17"/>
      <c r="CV100" s="17"/>
      <c r="CW100" s="17">
        <f>CU100</f>
        <v>0</v>
      </c>
      <c r="CX100" s="17">
        <f>CV100</f>
        <v>0</v>
      </c>
      <c r="CY100" s="19" t="s">
        <v>51</v>
      </c>
      <c r="CZ100" s="19" t="s">
        <v>51</v>
      </c>
      <c r="DA100" s="17"/>
      <c r="DB100" s="17"/>
      <c r="DC100" s="17">
        <f>DA100</f>
        <v>0</v>
      </c>
      <c r="DD100" s="17">
        <f>DB100</f>
        <v>0</v>
      </c>
      <c r="DE100" s="19" t="s">
        <v>51</v>
      </c>
      <c r="DF100" s="19" t="s">
        <v>51</v>
      </c>
      <c r="DG100" s="17"/>
      <c r="DH100" s="17"/>
      <c r="DI100" s="17">
        <f>DG100</f>
        <v>0</v>
      </c>
      <c r="DJ100" s="17">
        <f>DH100</f>
        <v>0</v>
      </c>
      <c r="DK100" s="19" t="s">
        <v>51</v>
      </c>
      <c r="DL100" s="19" t="s">
        <v>51</v>
      </c>
      <c r="DM100" s="17"/>
      <c r="DN100" s="17"/>
      <c r="DO100" s="19"/>
      <c r="DP100" s="19"/>
      <c r="DQ100" s="38">
        <v>14335.4</v>
      </c>
      <c r="DR100" s="38">
        <v>10155.4</v>
      </c>
      <c r="DS100" s="19" t="s">
        <v>51</v>
      </c>
      <c r="DT100" s="19" t="s">
        <v>51</v>
      </c>
      <c r="DU100" s="19" t="s">
        <v>51</v>
      </c>
      <c r="DV100" s="19" t="s">
        <v>51</v>
      </c>
      <c r="DW100" s="37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  <c r="IW100" s="86"/>
      <c r="IX100" s="86"/>
      <c r="IY100" s="86"/>
      <c r="IZ100" s="86"/>
      <c r="JA100" s="86"/>
      <c r="JB100" s="86"/>
      <c r="JC100" s="86"/>
      <c r="JD100" s="86"/>
      <c r="JE100" s="86"/>
      <c r="JF100" s="86"/>
      <c r="JG100" s="86"/>
      <c r="JH100" s="86"/>
    </row>
    <row r="101" spans="1:268" s="66" customFormat="1" ht="16.5">
      <c r="A101" s="387" t="s">
        <v>75</v>
      </c>
      <c r="B101" s="388"/>
      <c r="C101" s="39">
        <f>'[1]прогноз '!B93</f>
        <v>0</v>
      </c>
      <c r="D101" s="39">
        <f>'[1]прогноз '!C93</f>
        <v>0</v>
      </c>
      <c r="E101" s="39">
        <v>0</v>
      </c>
      <c r="F101" s="39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f>I101</f>
        <v>0</v>
      </c>
      <c r="L101" s="40">
        <f>J101</f>
        <v>0</v>
      </c>
      <c r="M101" s="40">
        <v>0</v>
      </c>
      <c r="N101" s="40">
        <v>0</v>
      </c>
      <c r="O101" s="40">
        <f>M101</f>
        <v>0</v>
      </c>
      <c r="P101" s="40">
        <f>N101</f>
        <v>0</v>
      </c>
      <c r="Q101" s="40">
        <v>0</v>
      </c>
      <c r="R101" s="40">
        <v>0</v>
      </c>
      <c r="S101" s="40">
        <f>Q101</f>
        <v>0</v>
      </c>
      <c r="T101" s="40">
        <f>R101</f>
        <v>0</v>
      </c>
      <c r="U101" s="40">
        <v>0</v>
      </c>
      <c r="V101" s="40">
        <v>0</v>
      </c>
      <c r="W101" s="40">
        <f>U101</f>
        <v>0</v>
      </c>
      <c r="X101" s="40">
        <f>V101</f>
        <v>0</v>
      </c>
      <c r="Y101" s="40">
        <v>0</v>
      </c>
      <c r="Z101" s="40">
        <v>0</v>
      </c>
      <c r="AA101" s="40">
        <f>Y101</f>
        <v>0</v>
      </c>
      <c r="AB101" s="40">
        <f>Z101</f>
        <v>0</v>
      </c>
      <c r="AC101" s="40">
        <v>0</v>
      </c>
      <c r="AD101" s="40">
        <v>0</v>
      </c>
      <c r="AE101" s="40">
        <f>AC101</f>
        <v>0</v>
      </c>
      <c r="AF101" s="40">
        <f>AD101</f>
        <v>0</v>
      </c>
      <c r="AG101" s="40">
        <v>0</v>
      </c>
      <c r="AH101" s="40">
        <v>0</v>
      </c>
      <c r="AI101" s="40">
        <f>AG101</f>
        <v>0</v>
      </c>
      <c r="AJ101" s="40">
        <f>AH101</f>
        <v>0</v>
      </c>
      <c r="AK101" s="40">
        <v>0</v>
      </c>
      <c r="AL101" s="40">
        <v>0</v>
      </c>
      <c r="AM101" s="40">
        <f>AK101</f>
        <v>0</v>
      </c>
      <c r="AN101" s="40">
        <f>AL101</f>
        <v>0</v>
      </c>
      <c r="AO101" s="40">
        <v>0</v>
      </c>
      <c r="AP101" s="40">
        <v>0</v>
      </c>
      <c r="AQ101" s="40">
        <f>AO101</f>
        <v>0</v>
      </c>
      <c r="AR101" s="40">
        <f>AP101</f>
        <v>0</v>
      </c>
      <c r="AS101" s="41">
        <v>0</v>
      </c>
      <c r="AT101" s="41">
        <v>0</v>
      </c>
      <c r="AU101" s="40">
        <f>AS101</f>
        <v>0</v>
      </c>
      <c r="AV101" s="40">
        <f>AT101</f>
        <v>0</v>
      </c>
      <c r="AW101" s="41">
        <v>0</v>
      </c>
      <c r="AX101" s="41">
        <v>0</v>
      </c>
      <c r="AY101" s="39" t="s">
        <v>51</v>
      </c>
      <c r="AZ101" s="39" t="s">
        <v>51</v>
      </c>
      <c r="BA101" s="24" t="s">
        <v>51</v>
      </c>
      <c r="BB101" s="24" t="s">
        <v>51</v>
      </c>
      <c r="BC101" s="42">
        <v>0</v>
      </c>
      <c r="BD101" s="42">
        <v>0</v>
      </c>
      <c r="BE101" s="42">
        <v>0</v>
      </c>
      <c r="BF101" s="42">
        <v>0</v>
      </c>
      <c r="BG101" s="40">
        <f t="shared" si="401"/>
        <v>0</v>
      </c>
      <c r="BH101" s="40">
        <f t="shared" si="401"/>
        <v>0</v>
      </c>
      <c r="BI101" s="24" t="s">
        <v>51</v>
      </c>
      <c r="BJ101" s="24" t="s">
        <v>51</v>
      </c>
      <c r="BK101" s="40">
        <v>0</v>
      </c>
      <c r="BL101" s="98">
        <v>0</v>
      </c>
      <c r="BM101" s="40">
        <f>BK101</f>
        <v>0</v>
      </c>
      <c r="BN101" s="40">
        <f>BL101</f>
        <v>0</v>
      </c>
      <c r="BO101" s="24" t="s">
        <v>51</v>
      </c>
      <c r="BP101" s="24" t="s">
        <v>51</v>
      </c>
      <c r="BQ101" s="40"/>
      <c r="BR101" s="40"/>
      <c r="BS101" s="40">
        <f>BQ101</f>
        <v>0</v>
      </c>
      <c r="BT101" s="40">
        <f>BR101</f>
        <v>0</v>
      </c>
      <c r="BU101" s="24" t="s">
        <v>51</v>
      </c>
      <c r="BV101" s="24" t="s">
        <v>51</v>
      </c>
      <c r="BW101" s="40"/>
      <c r="BX101" s="40"/>
      <c r="BY101" s="40">
        <f>BW101</f>
        <v>0</v>
      </c>
      <c r="BZ101" s="40">
        <f>BX101</f>
        <v>0</v>
      </c>
      <c r="CA101" s="24" t="s">
        <v>51</v>
      </c>
      <c r="CB101" s="24" t="s">
        <v>51</v>
      </c>
      <c r="CC101" s="40"/>
      <c r="CD101" s="40"/>
      <c r="CE101" s="40">
        <f>CC101</f>
        <v>0</v>
      </c>
      <c r="CF101" s="40">
        <f>CD101</f>
        <v>0</v>
      </c>
      <c r="CG101" s="24" t="s">
        <v>51</v>
      </c>
      <c r="CH101" s="24" t="s">
        <v>51</v>
      </c>
      <c r="CI101" s="40"/>
      <c r="CJ101" s="40"/>
      <c r="CK101" s="40">
        <f>CI101</f>
        <v>0</v>
      </c>
      <c r="CL101" s="40">
        <f>CJ101</f>
        <v>0</v>
      </c>
      <c r="CM101" s="24" t="s">
        <v>51</v>
      </c>
      <c r="CN101" s="24" t="s">
        <v>51</v>
      </c>
      <c r="CO101" s="40"/>
      <c r="CP101" s="40"/>
      <c r="CQ101" s="40">
        <f>CO101</f>
        <v>0</v>
      </c>
      <c r="CR101" s="40">
        <f>CP101</f>
        <v>0</v>
      </c>
      <c r="CS101" s="24" t="s">
        <v>51</v>
      </c>
      <c r="CT101" s="24" t="s">
        <v>51</v>
      </c>
      <c r="CU101" s="40"/>
      <c r="CV101" s="40"/>
      <c r="CW101" s="40">
        <f>CU101</f>
        <v>0</v>
      </c>
      <c r="CX101" s="40">
        <f>CV101</f>
        <v>0</v>
      </c>
      <c r="CY101" s="24" t="s">
        <v>51</v>
      </c>
      <c r="CZ101" s="24" t="s">
        <v>51</v>
      </c>
      <c r="DA101" s="40"/>
      <c r="DB101" s="40"/>
      <c r="DC101" s="40">
        <f>DA101</f>
        <v>0</v>
      </c>
      <c r="DD101" s="40">
        <f>DB101</f>
        <v>0</v>
      </c>
      <c r="DE101" s="24" t="s">
        <v>51</v>
      </c>
      <c r="DF101" s="24" t="s">
        <v>51</v>
      </c>
      <c r="DG101" s="40"/>
      <c r="DH101" s="40"/>
      <c r="DI101" s="40">
        <f>DG101</f>
        <v>0</v>
      </c>
      <c r="DJ101" s="40">
        <f>DH101</f>
        <v>0</v>
      </c>
      <c r="DK101" s="24" t="s">
        <v>51</v>
      </c>
      <c r="DL101" s="24" t="s">
        <v>51</v>
      </c>
      <c r="DM101" s="40"/>
      <c r="DN101" s="40"/>
      <c r="DO101" s="40"/>
      <c r="DP101" s="40"/>
      <c r="DQ101" s="40">
        <v>0</v>
      </c>
      <c r="DR101" s="40">
        <v>0</v>
      </c>
      <c r="DS101" s="24" t="s">
        <v>51</v>
      </c>
      <c r="DT101" s="24" t="s">
        <v>51</v>
      </c>
      <c r="DU101" s="24" t="s">
        <v>51</v>
      </c>
      <c r="DV101" s="24" t="s">
        <v>51</v>
      </c>
      <c r="DW101" s="43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  <c r="IW101" s="65"/>
      <c r="IX101" s="65"/>
      <c r="IY101" s="65"/>
      <c r="IZ101" s="65"/>
      <c r="JA101" s="65"/>
      <c r="JB101" s="65"/>
      <c r="JC101" s="65"/>
      <c r="JD101" s="65"/>
      <c r="JE101" s="65"/>
      <c r="JF101" s="65"/>
      <c r="JG101" s="65"/>
      <c r="JH101" s="65"/>
    </row>
    <row r="102" spans="1:268" s="66" customFormat="1" ht="18.75" customHeight="1">
      <c r="A102" s="387" t="s">
        <v>76</v>
      </c>
      <c r="B102" s="388"/>
      <c r="C102" s="39">
        <f>'[1]прогноз '!B94</f>
        <v>0</v>
      </c>
      <c r="D102" s="39">
        <f>'[1]прогноз '!C94</f>
        <v>0</v>
      </c>
      <c r="E102" s="39">
        <f>[2]Консолид.!$AJ$23/1000</f>
        <v>0</v>
      </c>
      <c r="F102" s="39">
        <f>[2]районы!$X$23/1000</f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f t="shared" ref="K102:L110" si="404">I102</f>
        <v>0</v>
      </c>
      <c r="L102" s="40">
        <f t="shared" si="404"/>
        <v>0</v>
      </c>
      <c r="M102" s="40">
        <v>0</v>
      </c>
      <c r="N102" s="40">
        <v>0</v>
      </c>
      <c r="O102" s="40">
        <f t="shared" ref="O102:P110" si="405">M102</f>
        <v>0</v>
      </c>
      <c r="P102" s="40">
        <f t="shared" si="405"/>
        <v>0</v>
      </c>
      <c r="Q102" s="40">
        <v>0</v>
      </c>
      <c r="R102" s="40">
        <v>0</v>
      </c>
      <c r="S102" s="40">
        <f t="shared" ref="S102:T110" si="406">Q102</f>
        <v>0</v>
      </c>
      <c r="T102" s="40">
        <f t="shared" si="406"/>
        <v>0</v>
      </c>
      <c r="U102" s="40">
        <v>0</v>
      </c>
      <c r="V102" s="40">
        <v>0</v>
      </c>
      <c r="W102" s="40">
        <f t="shared" ref="W102:X110" si="407">U102</f>
        <v>0</v>
      </c>
      <c r="X102" s="40">
        <f t="shared" si="407"/>
        <v>0</v>
      </c>
      <c r="Y102" s="40">
        <v>0</v>
      </c>
      <c r="Z102" s="40">
        <v>0</v>
      </c>
      <c r="AA102" s="40">
        <f t="shared" ref="AA102:AB110" si="408">Y102</f>
        <v>0</v>
      </c>
      <c r="AB102" s="40">
        <f t="shared" si="408"/>
        <v>0</v>
      </c>
      <c r="AC102" s="40">
        <v>0</v>
      </c>
      <c r="AD102" s="40">
        <v>0</v>
      </c>
      <c r="AE102" s="40">
        <f t="shared" ref="AE102:AF110" si="409">AC102</f>
        <v>0</v>
      </c>
      <c r="AF102" s="40">
        <f t="shared" si="409"/>
        <v>0</v>
      </c>
      <c r="AG102" s="40">
        <v>0</v>
      </c>
      <c r="AH102" s="40">
        <v>0</v>
      </c>
      <c r="AI102" s="40">
        <f t="shared" ref="AI102:AJ110" si="410">AG102</f>
        <v>0</v>
      </c>
      <c r="AJ102" s="40">
        <f t="shared" si="410"/>
        <v>0</v>
      </c>
      <c r="AK102" s="40">
        <v>0</v>
      </c>
      <c r="AL102" s="40">
        <v>0</v>
      </c>
      <c r="AM102" s="40">
        <f t="shared" ref="AM102:AN110" si="411">AK102</f>
        <v>0</v>
      </c>
      <c r="AN102" s="40">
        <f t="shared" si="411"/>
        <v>0</v>
      </c>
      <c r="AO102" s="40">
        <v>0</v>
      </c>
      <c r="AP102" s="40">
        <v>0</v>
      </c>
      <c r="AQ102" s="40">
        <f t="shared" ref="AQ102:AR110" si="412">AO102</f>
        <v>0</v>
      </c>
      <c r="AR102" s="40">
        <f t="shared" si="412"/>
        <v>0</v>
      </c>
      <c r="AS102" s="41">
        <v>0</v>
      </c>
      <c r="AT102" s="41">
        <v>0</v>
      </c>
      <c r="AU102" s="40">
        <f t="shared" ref="AU102:AV110" si="413">AS102</f>
        <v>0</v>
      </c>
      <c r="AV102" s="40">
        <f t="shared" si="413"/>
        <v>0</v>
      </c>
      <c r="AW102" s="41">
        <v>0</v>
      </c>
      <c r="AX102" s="41">
        <v>0</v>
      </c>
      <c r="AY102" s="39" t="s">
        <v>51</v>
      </c>
      <c r="AZ102" s="39" t="s">
        <v>51</v>
      </c>
      <c r="BA102" s="24" t="s">
        <v>51</v>
      </c>
      <c r="BB102" s="24" t="s">
        <v>51</v>
      </c>
      <c r="BC102" s="42">
        <v>0</v>
      </c>
      <c r="BD102" s="42">
        <v>0</v>
      </c>
      <c r="BE102" s="42">
        <v>0</v>
      </c>
      <c r="BF102" s="42">
        <v>0</v>
      </c>
      <c r="BG102" s="40">
        <f t="shared" ref="BG102:BH110" si="414">BE102</f>
        <v>0</v>
      </c>
      <c r="BH102" s="40">
        <f t="shared" si="414"/>
        <v>0</v>
      </c>
      <c r="BI102" s="24" t="s">
        <v>51</v>
      </c>
      <c r="BJ102" s="24" t="s">
        <v>51</v>
      </c>
      <c r="BK102" s="40">
        <v>0</v>
      </c>
      <c r="BL102" s="98">
        <v>0</v>
      </c>
      <c r="BM102" s="40">
        <f t="shared" ref="BM102:BN110" si="415">BK102</f>
        <v>0</v>
      </c>
      <c r="BN102" s="40">
        <f t="shared" si="415"/>
        <v>0</v>
      </c>
      <c r="BO102" s="24" t="s">
        <v>51</v>
      </c>
      <c r="BP102" s="24" t="s">
        <v>51</v>
      </c>
      <c r="BQ102" s="40"/>
      <c r="BR102" s="40"/>
      <c r="BS102" s="40">
        <f t="shared" ref="BS102:BT110" si="416">BQ102</f>
        <v>0</v>
      </c>
      <c r="BT102" s="40">
        <f t="shared" si="416"/>
        <v>0</v>
      </c>
      <c r="BU102" s="24" t="s">
        <v>51</v>
      </c>
      <c r="BV102" s="24" t="s">
        <v>51</v>
      </c>
      <c r="BW102" s="40"/>
      <c r="BX102" s="40"/>
      <c r="BY102" s="40">
        <f t="shared" ref="BY102:BZ110" si="417">BW102</f>
        <v>0</v>
      </c>
      <c r="BZ102" s="40">
        <f t="shared" si="417"/>
        <v>0</v>
      </c>
      <c r="CA102" s="24" t="s">
        <v>51</v>
      </c>
      <c r="CB102" s="24" t="s">
        <v>51</v>
      </c>
      <c r="CC102" s="40"/>
      <c r="CD102" s="40"/>
      <c r="CE102" s="40">
        <f t="shared" ref="CE102:CF110" si="418">CC102</f>
        <v>0</v>
      </c>
      <c r="CF102" s="40">
        <f t="shared" si="418"/>
        <v>0</v>
      </c>
      <c r="CG102" s="24" t="s">
        <v>51</v>
      </c>
      <c r="CH102" s="24" t="s">
        <v>51</v>
      </c>
      <c r="CI102" s="40"/>
      <c r="CJ102" s="40"/>
      <c r="CK102" s="40">
        <f t="shared" ref="CK102:CL110" si="419">CI102</f>
        <v>0</v>
      </c>
      <c r="CL102" s="40">
        <f t="shared" si="419"/>
        <v>0</v>
      </c>
      <c r="CM102" s="24" t="s">
        <v>51</v>
      </c>
      <c r="CN102" s="24" t="s">
        <v>51</v>
      </c>
      <c r="CO102" s="40"/>
      <c r="CP102" s="40"/>
      <c r="CQ102" s="40">
        <f t="shared" ref="CQ102:CR110" si="420">CO102</f>
        <v>0</v>
      </c>
      <c r="CR102" s="40">
        <f t="shared" si="420"/>
        <v>0</v>
      </c>
      <c r="CS102" s="24" t="s">
        <v>51</v>
      </c>
      <c r="CT102" s="24" t="s">
        <v>51</v>
      </c>
      <c r="CU102" s="40"/>
      <c r="CV102" s="40"/>
      <c r="CW102" s="40">
        <f t="shared" ref="CW102:CX110" si="421">CU102</f>
        <v>0</v>
      </c>
      <c r="CX102" s="40">
        <f t="shared" si="421"/>
        <v>0</v>
      </c>
      <c r="CY102" s="24" t="s">
        <v>51</v>
      </c>
      <c r="CZ102" s="24" t="s">
        <v>51</v>
      </c>
      <c r="DA102" s="40"/>
      <c r="DB102" s="40"/>
      <c r="DC102" s="40">
        <f t="shared" ref="DC102:DD110" si="422">DA102</f>
        <v>0</v>
      </c>
      <c r="DD102" s="40">
        <f t="shared" si="422"/>
        <v>0</v>
      </c>
      <c r="DE102" s="24" t="s">
        <v>51</v>
      </c>
      <c r="DF102" s="24" t="s">
        <v>51</v>
      </c>
      <c r="DG102" s="40"/>
      <c r="DH102" s="40"/>
      <c r="DI102" s="40">
        <f t="shared" ref="DI102:DJ110" si="423">DG102</f>
        <v>0</v>
      </c>
      <c r="DJ102" s="40">
        <f t="shared" si="423"/>
        <v>0</v>
      </c>
      <c r="DK102" s="24" t="s">
        <v>51</v>
      </c>
      <c r="DL102" s="24" t="s">
        <v>51</v>
      </c>
      <c r="DM102" s="40"/>
      <c r="DN102" s="40"/>
      <c r="DO102" s="40"/>
      <c r="DP102" s="40"/>
      <c r="DQ102" s="40">
        <v>0</v>
      </c>
      <c r="DR102" s="40">
        <v>0</v>
      </c>
      <c r="DS102" s="24" t="s">
        <v>51</v>
      </c>
      <c r="DT102" s="24" t="s">
        <v>51</v>
      </c>
      <c r="DU102" s="24" t="s">
        <v>51</v>
      </c>
      <c r="DV102" s="24" t="s">
        <v>51</v>
      </c>
      <c r="DW102" s="43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  <c r="IW102" s="65"/>
      <c r="IX102" s="65"/>
      <c r="IY102" s="65"/>
      <c r="IZ102" s="65"/>
      <c r="JA102" s="65"/>
      <c r="JB102" s="65"/>
      <c r="JC102" s="65"/>
      <c r="JD102" s="65"/>
      <c r="JE102" s="65"/>
      <c r="JF102" s="65"/>
      <c r="JG102" s="65"/>
      <c r="JH102" s="65"/>
    </row>
    <row r="103" spans="1:268" s="66" customFormat="1" ht="18.75" customHeight="1">
      <c r="A103" s="387" t="s">
        <v>129</v>
      </c>
      <c r="B103" s="388"/>
      <c r="C103" s="42">
        <f>'[1]прогноз '!B95</f>
        <v>0</v>
      </c>
      <c r="D103" s="42">
        <f>'[1]прогноз '!C95</f>
        <v>0</v>
      </c>
      <c r="E103" s="42">
        <f>[2]Консолид.!$AZ$23/1000</f>
        <v>4834.90985</v>
      </c>
      <c r="F103" s="42">
        <f>[2]районы!$AN$23/1000</f>
        <v>4834.90985</v>
      </c>
      <c r="G103" s="30">
        <v>11478.1</v>
      </c>
      <c r="H103" s="30">
        <v>11478.1</v>
      </c>
      <c r="I103" s="30">
        <v>0</v>
      </c>
      <c r="J103" s="30">
        <v>0</v>
      </c>
      <c r="K103" s="30">
        <f t="shared" si="404"/>
        <v>0</v>
      </c>
      <c r="L103" s="30">
        <f t="shared" si="404"/>
        <v>0</v>
      </c>
      <c r="M103" s="30">
        <v>11904</v>
      </c>
      <c r="N103" s="30">
        <v>11904</v>
      </c>
      <c r="O103" s="30">
        <f t="shared" si="405"/>
        <v>11904</v>
      </c>
      <c r="P103" s="30">
        <f t="shared" si="405"/>
        <v>11904</v>
      </c>
      <c r="Q103" s="30">
        <v>7477.5</v>
      </c>
      <c r="R103" s="30">
        <v>7477.5</v>
      </c>
      <c r="S103" s="30">
        <f t="shared" si="406"/>
        <v>7477.5</v>
      </c>
      <c r="T103" s="30">
        <f t="shared" si="406"/>
        <v>7477.5</v>
      </c>
      <c r="U103" s="30">
        <v>11593.1</v>
      </c>
      <c r="V103" s="30">
        <v>11593.1</v>
      </c>
      <c r="W103" s="30">
        <f t="shared" si="407"/>
        <v>11593.1</v>
      </c>
      <c r="X103" s="30">
        <f t="shared" si="407"/>
        <v>11593.1</v>
      </c>
      <c r="Y103" s="30">
        <v>0</v>
      </c>
      <c r="Z103" s="30">
        <v>0</v>
      </c>
      <c r="AA103" s="30">
        <f t="shared" si="408"/>
        <v>0</v>
      </c>
      <c r="AB103" s="30">
        <f t="shared" si="408"/>
        <v>0</v>
      </c>
      <c r="AC103" s="30">
        <v>0</v>
      </c>
      <c r="AD103" s="30">
        <v>0</v>
      </c>
      <c r="AE103" s="30">
        <f t="shared" si="409"/>
        <v>0</v>
      </c>
      <c r="AF103" s="30">
        <f t="shared" si="409"/>
        <v>0</v>
      </c>
      <c r="AG103" s="30">
        <v>221.5</v>
      </c>
      <c r="AH103" s="30">
        <v>0</v>
      </c>
      <c r="AI103" s="30">
        <f t="shared" si="410"/>
        <v>221.5</v>
      </c>
      <c r="AJ103" s="30">
        <f t="shared" si="410"/>
        <v>0</v>
      </c>
      <c r="AK103" s="30">
        <v>0</v>
      </c>
      <c r="AL103" s="30">
        <v>0</v>
      </c>
      <c r="AM103" s="30">
        <f t="shared" si="411"/>
        <v>0</v>
      </c>
      <c r="AN103" s="30">
        <f t="shared" si="411"/>
        <v>0</v>
      </c>
      <c r="AO103" s="30">
        <v>0</v>
      </c>
      <c r="AP103" s="30">
        <v>0</v>
      </c>
      <c r="AQ103" s="30">
        <f t="shared" si="412"/>
        <v>0</v>
      </c>
      <c r="AR103" s="30">
        <f t="shared" si="412"/>
        <v>0</v>
      </c>
      <c r="AS103" s="40">
        <v>3894</v>
      </c>
      <c r="AT103" s="40">
        <v>3894</v>
      </c>
      <c r="AU103" s="30">
        <f t="shared" si="413"/>
        <v>3894</v>
      </c>
      <c r="AV103" s="30">
        <f t="shared" si="413"/>
        <v>3894</v>
      </c>
      <c r="AW103" s="40">
        <v>4834.8999999999996</v>
      </c>
      <c r="AX103" s="40">
        <v>4834.8999999999996</v>
      </c>
      <c r="AY103" s="42" t="s">
        <v>51</v>
      </c>
      <c r="AZ103" s="42" t="s">
        <v>51</v>
      </c>
      <c r="BA103" s="24" t="s">
        <v>51</v>
      </c>
      <c r="BB103" s="24" t="s">
        <v>51</v>
      </c>
      <c r="BC103" s="29">
        <v>5212.6000000000004</v>
      </c>
      <c r="BD103" s="29">
        <v>5212.6000000000004</v>
      </c>
      <c r="BE103" s="29">
        <v>6047.3</v>
      </c>
      <c r="BF103" s="29">
        <v>6047.3</v>
      </c>
      <c r="BG103" s="30">
        <f t="shared" si="414"/>
        <v>6047.3</v>
      </c>
      <c r="BH103" s="30">
        <f t="shared" si="414"/>
        <v>6047.3</v>
      </c>
      <c r="BI103" s="24" t="s">
        <v>51</v>
      </c>
      <c r="BJ103" s="24" t="s">
        <v>51</v>
      </c>
      <c r="BK103" s="30">
        <v>0</v>
      </c>
      <c r="BL103" s="98">
        <v>11294.1</v>
      </c>
      <c r="BM103" s="30">
        <f t="shared" si="415"/>
        <v>0</v>
      </c>
      <c r="BN103" s="30">
        <f t="shared" si="415"/>
        <v>11294.1</v>
      </c>
      <c r="BO103" s="24" t="s">
        <v>51</v>
      </c>
      <c r="BP103" s="24" t="s">
        <v>51</v>
      </c>
      <c r="BQ103" s="30"/>
      <c r="BR103" s="30"/>
      <c r="BS103" s="30">
        <f t="shared" si="416"/>
        <v>0</v>
      </c>
      <c r="BT103" s="30">
        <f t="shared" si="416"/>
        <v>0</v>
      </c>
      <c r="BU103" s="24" t="s">
        <v>51</v>
      </c>
      <c r="BV103" s="24" t="s">
        <v>51</v>
      </c>
      <c r="BW103" s="30"/>
      <c r="BX103" s="30"/>
      <c r="BY103" s="30">
        <f t="shared" si="417"/>
        <v>0</v>
      </c>
      <c r="BZ103" s="30">
        <f t="shared" si="417"/>
        <v>0</v>
      </c>
      <c r="CA103" s="24" t="s">
        <v>51</v>
      </c>
      <c r="CB103" s="24" t="s">
        <v>51</v>
      </c>
      <c r="CC103" s="30"/>
      <c r="CD103" s="30"/>
      <c r="CE103" s="30">
        <f t="shared" si="418"/>
        <v>0</v>
      </c>
      <c r="CF103" s="30">
        <f t="shared" si="418"/>
        <v>0</v>
      </c>
      <c r="CG103" s="24" t="s">
        <v>51</v>
      </c>
      <c r="CH103" s="24" t="s">
        <v>51</v>
      </c>
      <c r="CI103" s="30"/>
      <c r="CJ103" s="30"/>
      <c r="CK103" s="30">
        <f t="shared" si="419"/>
        <v>0</v>
      </c>
      <c r="CL103" s="30">
        <f t="shared" si="419"/>
        <v>0</v>
      </c>
      <c r="CM103" s="24" t="s">
        <v>51</v>
      </c>
      <c r="CN103" s="24" t="s">
        <v>51</v>
      </c>
      <c r="CO103" s="30"/>
      <c r="CP103" s="30"/>
      <c r="CQ103" s="30">
        <f t="shared" si="420"/>
        <v>0</v>
      </c>
      <c r="CR103" s="30">
        <f t="shared" si="420"/>
        <v>0</v>
      </c>
      <c r="CS103" s="24" t="s">
        <v>51</v>
      </c>
      <c r="CT103" s="24" t="s">
        <v>51</v>
      </c>
      <c r="CU103" s="30"/>
      <c r="CV103" s="30"/>
      <c r="CW103" s="30">
        <f t="shared" si="421"/>
        <v>0</v>
      </c>
      <c r="CX103" s="30">
        <f t="shared" si="421"/>
        <v>0</v>
      </c>
      <c r="CY103" s="24" t="s">
        <v>51</v>
      </c>
      <c r="CZ103" s="24" t="s">
        <v>51</v>
      </c>
      <c r="DA103" s="30"/>
      <c r="DB103" s="30"/>
      <c r="DC103" s="30">
        <f t="shared" si="422"/>
        <v>0</v>
      </c>
      <c r="DD103" s="30">
        <f t="shared" si="422"/>
        <v>0</v>
      </c>
      <c r="DE103" s="24" t="s">
        <v>51</v>
      </c>
      <c r="DF103" s="24" t="s">
        <v>51</v>
      </c>
      <c r="DG103" s="30"/>
      <c r="DH103" s="30"/>
      <c r="DI103" s="30">
        <f t="shared" si="423"/>
        <v>0</v>
      </c>
      <c r="DJ103" s="30">
        <f t="shared" si="423"/>
        <v>0</v>
      </c>
      <c r="DK103" s="24" t="s">
        <v>51</v>
      </c>
      <c r="DL103" s="24" t="s">
        <v>51</v>
      </c>
      <c r="DM103" s="30"/>
      <c r="DN103" s="30"/>
      <c r="DO103" s="30"/>
      <c r="DP103" s="30"/>
      <c r="DQ103" s="30">
        <v>4300</v>
      </c>
      <c r="DR103" s="30">
        <v>4300</v>
      </c>
      <c r="DS103" s="24" t="s">
        <v>51</v>
      </c>
      <c r="DT103" s="24" t="s">
        <v>51</v>
      </c>
      <c r="DU103" s="24" t="s">
        <v>51</v>
      </c>
      <c r="DV103" s="24" t="s">
        <v>51</v>
      </c>
      <c r="DW103" s="43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  <c r="IS103" s="65"/>
      <c r="IT103" s="65"/>
      <c r="IU103" s="65"/>
      <c r="IV103" s="65"/>
      <c r="IW103" s="65"/>
      <c r="IX103" s="65"/>
      <c r="IY103" s="65"/>
      <c r="IZ103" s="65"/>
      <c r="JA103" s="65"/>
      <c r="JB103" s="65"/>
      <c r="JC103" s="65"/>
      <c r="JD103" s="65"/>
      <c r="JE103" s="65"/>
      <c r="JF103" s="65"/>
      <c r="JG103" s="65"/>
      <c r="JH103" s="65"/>
    </row>
    <row r="104" spans="1:268" s="87" customFormat="1" ht="35.25" customHeight="1">
      <c r="A104" s="286" t="s">
        <v>77</v>
      </c>
      <c r="B104" s="287"/>
      <c r="C104" s="17">
        <f>'[1]прогноз '!B96</f>
        <v>0</v>
      </c>
      <c r="D104" s="17">
        <f>'[1]прогноз '!C96</f>
        <v>0</v>
      </c>
      <c r="E104" s="17">
        <f>[2]Консолид.!$M$23/1000</f>
        <v>271.12049999999999</v>
      </c>
      <c r="F104" s="17">
        <f>[2]районы!$J$23/1000</f>
        <v>271.12049999999999</v>
      </c>
      <c r="G104" s="17">
        <v>887</v>
      </c>
      <c r="H104" s="17">
        <v>799</v>
      </c>
      <c r="I104" s="17">
        <v>237</v>
      </c>
      <c r="J104" s="17">
        <v>28</v>
      </c>
      <c r="K104" s="17">
        <f t="shared" si="404"/>
        <v>237</v>
      </c>
      <c r="L104" s="17">
        <f t="shared" si="404"/>
        <v>28</v>
      </c>
      <c r="M104" s="17">
        <v>1726</v>
      </c>
      <c r="N104" s="17">
        <v>1463</v>
      </c>
      <c r="O104" s="17">
        <f t="shared" si="405"/>
        <v>1726</v>
      </c>
      <c r="P104" s="17">
        <f t="shared" si="405"/>
        <v>1463</v>
      </c>
      <c r="Q104" s="17">
        <v>669.4</v>
      </c>
      <c r="R104" s="17">
        <v>669.4</v>
      </c>
      <c r="S104" s="17">
        <f t="shared" si="406"/>
        <v>669.4</v>
      </c>
      <c r="T104" s="17">
        <f t="shared" si="406"/>
        <v>669.4</v>
      </c>
      <c r="U104" s="17">
        <v>1490</v>
      </c>
      <c r="V104" s="17">
        <v>1131.3</v>
      </c>
      <c r="W104" s="17">
        <f t="shared" si="407"/>
        <v>1490</v>
      </c>
      <c r="X104" s="17">
        <f t="shared" si="407"/>
        <v>1131.3</v>
      </c>
      <c r="Y104" s="17">
        <v>217.8</v>
      </c>
      <c r="Z104" s="17">
        <v>0</v>
      </c>
      <c r="AA104" s="17">
        <f t="shared" si="408"/>
        <v>217.8</v>
      </c>
      <c r="AB104" s="17">
        <f t="shared" si="408"/>
        <v>0</v>
      </c>
      <c r="AC104" s="17">
        <v>117.8</v>
      </c>
      <c r="AD104" s="17">
        <v>0</v>
      </c>
      <c r="AE104" s="17">
        <f t="shared" si="409"/>
        <v>117.8</v>
      </c>
      <c r="AF104" s="17">
        <f t="shared" si="409"/>
        <v>0</v>
      </c>
      <c r="AG104" s="17">
        <v>228.4</v>
      </c>
      <c r="AH104" s="17">
        <v>0</v>
      </c>
      <c r="AI104" s="17">
        <f t="shared" si="410"/>
        <v>228.4</v>
      </c>
      <c r="AJ104" s="17">
        <f t="shared" si="410"/>
        <v>0</v>
      </c>
      <c r="AK104" s="17">
        <v>183.4</v>
      </c>
      <c r="AL104" s="17">
        <v>0</v>
      </c>
      <c r="AM104" s="17">
        <f t="shared" si="411"/>
        <v>183.4</v>
      </c>
      <c r="AN104" s="17">
        <f t="shared" si="411"/>
        <v>0</v>
      </c>
      <c r="AO104" s="17">
        <v>0</v>
      </c>
      <c r="AP104" s="17">
        <v>0</v>
      </c>
      <c r="AQ104" s="17">
        <f t="shared" si="412"/>
        <v>0</v>
      </c>
      <c r="AR104" s="17">
        <f t="shared" si="412"/>
        <v>0</v>
      </c>
      <c r="AS104" s="17">
        <v>216.7</v>
      </c>
      <c r="AT104" s="17">
        <v>216.7</v>
      </c>
      <c r="AU104" s="17">
        <f t="shared" si="413"/>
        <v>216.7</v>
      </c>
      <c r="AV104" s="17">
        <f t="shared" si="413"/>
        <v>216.7</v>
      </c>
      <c r="AW104" s="17">
        <v>67.099999999999994</v>
      </c>
      <c r="AX104" s="17">
        <v>67.099999999999994</v>
      </c>
      <c r="AY104" s="17" t="s">
        <v>51</v>
      </c>
      <c r="AZ104" s="17" t="s">
        <v>51</v>
      </c>
      <c r="BA104" s="20" t="s">
        <v>51</v>
      </c>
      <c r="BB104" s="20" t="s">
        <v>51</v>
      </c>
      <c r="BC104" s="17"/>
      <c r="BD104" s="17">
        <v>0</v>
      </c>
      <c r="BE104" s="17"/>
      <c r="BF104" s="17">
        <v>0</v>
      </c>
      <c r="BG104" s="17">
        <f t="shared" si="414"/>
        <v>0</v>
      </c>
      <c r="BH104" s="17">
        <f t="shared" si="414"/>
        <v>0</v>
      </c>
      <c r="BI104" s="20" t="s">
        <v>51</v>
      </c>
      <c r="BJ104" s="20" t="s">
        <v>51</v>
      </c>
      <c r="BK104" s="17"/>
      <c r="BL104" s="99">
        <v>0</v>
      </c>
      <c r="BM104" s="17">
        <f t="shared" si="415"/>
        <v>0</v>
      </c>
      <c r="BN104" s="17">
        <f t="shared" si="415"/>
        <v>0</v>
      </c>
      <c r="BO104" s="20" t="s">
        <v>51</v>
      </c>
      <c r="BP104" s="20" t="s">
        <v>51</v>
      </c>
      <c r="BQ104" s="17"/>
      <c r="BR104" s="17"/>
      <c r="BS104" s="17">
        <f t="shared" si="416"/>
        <v>0</v>
      </c>
      <c r="BT104" s="17">
        <f t="shared" si="416"/>
        <v>0</v>
      </c>
      <c r="BU104" s="20" t="s">
        <v>51</v>
      </c>
      <c r="BV104" s="20" t="s">
        <v>51</v>
      </c>
      <c r="BW104" s="17"/>
      <c r="BX104" s="17"/>
      <c r="BY104" s="17">
        <f t="shared" si="417"/>
        <v>0</v>
      </c>
      <c r="BZ104" s="17">
        <f t="shared" si="417"/>
        <v>0</v>
      </c>
      <c r="CA104" s="20" t="s">
        <v>51</v>
      </c>
      <c r="CB104" s="20" t="s">
        <v>51</v>
      </c>
      <c r="CC104" s="17"/>
      <c r="CD104" s="17"/>
      <c r="CE104" s="17">
        <f t="shared" si="418"/>
        <v>0</v>
      </c>
      <c r="CF104" s="17">
        <f t="shared" si="418"/>
        <v>0</v>
      </c>
      <c r="CG104" s="20" t="s">
        <v>51</v>
      </c>
      <c r="CH104" s="20" t="s">
        <v>51</v>
      </c>
      <c r="CI104" s="17"/>
      <c r="CJ104" s="17"/>
      <c r="CK104" s="17">
        <f t="shared" si="419"/>
        <v>0</v>
      </c>
      <c r="CL104" s="17">
        <f t="shared" si="419"/>
        <v>0</v>
      </c>
      <c r="CM104" s="20" t="s">
        <v>51</v>
      </c>
      <c r="CN104" s="20" t="s">
        <v>51</v>
      </c>
      <c r="CO104" s="17"/>
      <c r="CP104" s="17"/>
      <c r="CQ104" s="17">
        <f t="shared" si="420"/>
        <v>0</v>
      </c>
      <c r="CR104" s="17">
        <f t="shared" si="420"/>
        <v>0</v>
      </c>
      <c r="CS104" s="20" t="s">
        <v>51</v>
      </c>
      <c r="CT104" s="20" t="s">
        <v>51</v>
      </c>
      <c r="CU104" s="17"/>
      <c r="CV104" s="17"/>
      <c r="CW104" s="17">
        <f t="shared" si="421"/>
        <v>0</v>
      </c>
      <c r="CX104" s="17">
        <f t="shared" si="421"/>
        <v>0</v>
      </c>
      <c r="CY104" s="20" t="s">
        <v>51</v>
      </c>
      <c r="CZ104" s="20" t="s">
        <v>51</v>
      </c>
      <c r="DA104" s="17"/>
      <c r="DB104" s="17"/>
      <c r="DC104" s="17">
        <f t="shared" si="422"/>
        <v>0</v>
      </c>
      <c r="DD104" s="17">
        <f t="shared" si="422"/>
        <v>0</v>
      </c>
      <c r="DE104" s="20" t="s">
        <v>51</v>
      </c>
      <c r="DF104" s="20" t="s">
        <v>51</v>
      </c>
      <c r="DG104" s="17"/>
      <c r="DH104" s="17"/>
      <c r="DI104" s="17">
        <f t="shared" si="423"/>
        <v>0</v>
      </c>
      <c r="DJ104" s="17">
        <f t="shared" si="423"/>
        <v>0</v>
      </c>
      <c r="DK104" s="20" t="s">
        <v>51</v>
      </c>
      <c r="DL104" s="20" t="s">
        <v>51</v>
      </c>
      <c r="DM104" s="17"/>
      <c r="DN104" s="17"/>
      <c r="DO104" s="17"/>
      <c r="DP104" s="17"/>
      <c r="DQ104" s="17">
        <v>0</v>
      </c>
      <c r="DR104" s="17"/>
      <c r="DS104" s="20" t="s">
        <v>51</v>
      </c>
      <c r="DT104" s="20" t="s">
        <v>51</v>
      </c>
      <c r="DU104" s="20" t="s">
        <v>51</v>
      </c>
      <c r="DV104" s="20" t="s">
        <v>51</v>
      </c>
      <c r="DW104" s="44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/>
      <c r="EN104" s="88"/>
      <c r="EO104" s="88"/>
      <c r="EP104" s="88"/>
      <c r="EQ104" s="88"/>
      <c r="ER104" s="88"/>
      <c r="ES104" s="88"/>
      <c r="ET104" s="88"/>
      <c r="EU104" s="88"/>
      <c r="EV104" s="88"/>
      <c r="EW104" s="88"/>
      <c r="EX104" s="88"/>
      <c r="EY104" s="88"/>
      <c r="EZ104" s="88"/>
      <c r="FA104" s="88"/>
      <c r="FB104" s="88"/>
      <c r="FC104" s="88"/>
      <c r="FD104" s="88"/>
      <c r="FE104" s="88"/>
      <c r="FF104" s="88"/>
      <c r="FG104" s="88"/>
      <c r="FH104" s="88"/>
      <c r="FI104" s="88"/>
      <c r="FJ104" s="88"/>
      <c r="FK104" s="88"/>
      <c r="FL104" s="88"/>
      <c r="FM104" s="88"/>
      <c r="FN104" s="88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  <c r="HG104" s="88"/>
      <c r="HH104" s="88"/>
      <c r="HI104" s="88"/>
      <c r="HJ104" s="88"/>
      <c r="HK104" s="88"/>
      <c r="HL104" s="88"/>
      <c r="HM104" s="88"/>
      <c r="HN104" s="88"/>
      <c r="HO104" s="88"/>
      <c r="HP104" s="88"/>
      <c r="HQ104" s="88"/>
      <c r="HR104" s="88"/>
      <c r="HS104" s="88"/>
      <c r="HT104" s="88"/>
      <c r="HU104" s="88"/>
      <c r="HV104" s="88"/>
      <c r="HW104" s="88"/>
      <c r="HX104" s="88"/>
      <c r="HY104" s="88"/>
      <c r="HZ104" s="88"/>
      <c r="IA104" s="88"/>
      <c r="IB104" s="88"/>
      <c r="IC104" s="88"/>
      <c r="ID104" s="88"/>
      <c r="IE104" s="88"/>
      <c r="IF104" s="88"/>
      <c r="IG104" s="88"/>
      <c r="IH104" s="88"/>
      <c r="II104" s="88"/>
      <c r="IJ104" s="88"/>
      <c r="IK104" s="88"/>
      <c r="IL104" s="88"/>
      <c r="IM104" s="88"/>
      <c r="IN104" s="88"/>
      <c r="IO104" s="88"/>
      <c r="IP104" s="88"/>
      <c r="IQ104" s="88"/>
      <c r="IR104" s="88"/>
      <c r="IS104" s="88"/>
      <c r="IT104" s="88"/>
      <c r="IU104" s="88"/>
      <c r="IV104" s="88"/>
      <c r="IW104" s="88"/>
      <c r="IX104" s="88"/>
      <c r="IY104" s="88"/>
      <c r="IZ104" s="88"/>
      <c r="JA104" s="88"/>
      <c r="JB104" s="88"/>
      <c r="JC104" s="88"/>
      <c r="JD104" s="88"/>
      <c r="JE104" s="88"/>
      <c r="JF104" s="88"/>
      <c r="JG104" s="88"/>
      <c r="JH104" s="88"/>
    </row>
    <row r="105" spans="1:268" s="66" customFormat="1" ht="16.5">
      <c r="A105" s="387" t="s">
        <v>75</v>
      </c>
      <c r="B105" s="388"/>
      <c r="C105" s="39">
        <f>'[1]прогноз '!B97</f>
        <v>0</v>
      </c>
      <c r="D105" s="39">
        <f>'[1]прогноз '!C97</f>
        <v>0</v>
      </c>
      <c r="E105" s="39">
        <v>0</v>
      </c>
      <c r="F105" s="39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f t="shared" si="404"/>
        <v>0</v>
      </c>
      <c r="L105" s="40">
        <f t="shared" si="404"/>
        <v>0</v>
      </c>
      <c r="M105" s="40">
        <v>0</v>
      </c>
      <c r="N105" s="40">
        <v>0</v>
      </c>
      <c r="O105" s="40">
        <f t="shared" si="405"/>
        <v>0</v>
      </c>
      <c r="P105" s="40">
        <f t="shared" si="405"/>
        <v>0</v>
      </c>
      <c r="Q105" s="40">
        <v>0</v>
      </c>
      <c r="R105" s="40">
        <v>0</v>
      </c>
      <c r="S105" s="40">
        <f t="shared" si="406"/>
        <v>0</v>
      </c>
      <c r="T105" s="40">
        <f t="shared" si="406"/>
        <v>0</v>
      </c>
      <c r="U105" s="40">
        <v>0</v>
      </c>
      <c r="V105" s="40">
        <v>0</v>
      </c>
      <c r="W105" s="40">
        <f t="shared" si="407"/>
        <v>0</v>
      </c>
      <c r="X105" s="40">
        <f t="shared" si="407"/>
        <v>0</v>
      </c>
      <c r="Y105" s="40">
        <v>0</v>
      </c>
      <c r="Z105" s="40">
        <v>0</v>
      </c>
      <c r="AA105" s="40">
        <f t="shared" si="408"/>
        <v>0</v>
      </c>
      <c r="AB105" s="40">
        <f t="shared" si="408"/>
        <v>0</v>
      </c>
      <c r="AC105" s="40">
        <v>0</v>
      </c>
      <c r="AD105" s="40">
        <v>0</v>
      </c>
      <c r="AE105" s="40">
        <f t="shared" si="409"/>
        <v>0</v>
      </c>
      <c r="AF105" s="40">
        <f t="shared" si="409"/>
        <v>0</v>
      </c>
      <c r="AG105" s="40">
        <v>0</v>
      </c>
      <c r="AH105" s="40">
        <v>0</v>
      </c>
      <c r="AI105" s="40">
        <f t="shared" si="410"/>
        <v>0</v>
      </c>
      <c r="AJ105" s="40">
        <f t="shared" si="410"/>
        <v>0</v>
      </c>
      <c r="AK105" s="40">
        <v>0</v>
      </c>
      <c r="AL105" s="40">
        <v>0</v>
      </c>
      <c r="AM105" s="40">
        <f t="shared" si="411"/>
        <v>0</v>
      </c>
      <c r="AN105" s="40">
        <f t="shared" si="411"/>
        <v>0</v>
      </c>
      <c r="AO105" s="40">
        <v>0</v>
      </c>
      <c r="AP105" s="40">
        <v>0</v>
      </c>
      <c r="AQ105" s="40">
        <f t="shared" si="412"/>
        <v>0</v>
      </c>
      <c r="AR105" s="40">
        <f t="shared" si="412"/>
        <v>0</v>
      </c>
      <c r="AS105" s="40">
        <v>0</v>
      </c>
      <c r="AT105" s="40">
        <v>0</v>
      </c>
      <c r="AU105" s="40">
        <f t="shared" si="413"/>
        <v>0</v>
      </c>
      <c r="AV105" s="40">
        <f t="shared" si="413"/>
        <v>0</v>
      </c>
      <c r="AW105" s="41">
        <v>0</v>
      </c>
      <c r="AX105" s="41">
        <v>0</v>
      </c>
      <c r="AY105" s="39" t="s">
        <v>51</v>
      </c>
      <c r="AZ105" s="39" t="s">
        <v>51</v>
      </c>
      <c r="BA105" s="24" t="s">
        <v>51</v>
      </c>
      <c r="BB105" s="24" t="s">
        <v>51</v>
      </c>
      <c r="BC105" s="40">
        <v>0</v>
      </c>
      <c r="BD105" s="40">
        <v>0</v>
      </c>
      <c r="BE105" s="40">
        <v>0</v>
      </c>
      <c r="BF105" s="40">
        <v>0</v>
      </c>
      <c r="BG105" s="40">
        <f t="shared" si="414"/>
        <v>0</v>
      </c>
      <c r="BH105" s="40">
        <f t="shared" si="414"/>
        <v>0</v>
      </c>
      <c r="BI105" s="24" t="s">
        <v>51</v>
      </c>
      <c r="BJ105" s="24" t="s">
        <v>51</v>
      </c>
      <c r="BK105" s="40">
        <v>0</v>
      </c>
      <c r="BL105" s="98">
        <v>0</v>
      </c>
      <c r="BM105" s="40">
        <f t="shared" si="415"/>
        <v>0</v>
      </c>
      <c r="BN105" s="40">
        <f t="shared" si="415"/>
        <v>0</v>
      </c>
      <c r="BO105" s="24" t="s">
        <v>51</v>
      </c>
      <c r="BP105" s="24" t="s">
        <v>51</v>
      </c>
      <c r="BQ105" s="40"/>
      <c r="BR105" s="40"/>
      <c r="BS105" s="40">
        <f t="shared" si="416"/>
        <v>0</v>
      </c>
      <c r="BT105" s="40">
        <f t="shared" si="416"/>
        <v>0</v>
      </c>
      <c r="BU105" s="24" t="s">
        <v>51</v>
      </c>
      <c r="BV105" s="24" t="s">
        <v>51</v>
      </c>
      <c r="BW105" s="40"/>
      <c r="BX105" s="40"/>
      <c r="BY105" s="40">
        <f t="shared" si="417"/>
        <v>0</v>
      </c>
      <c r="BZ105" s="40">
        <f t="shared" si="417"/>
        <v>0</v>
      </c>
      <c r="CA105" s="24" t="s">
        <v>51</v>
      </c>
      <c r="CB105" s="24" t="s">
        <v>51</v>
      </c>
      <c r="CC105" s="40"/>
      <c r="CD105" s="40"/>
      <c r="CE105" s="40">
        <f t="shared" si="418"/>
        <v>0</v>
      </c>
      <c r="CF105" s="40">
        <f t="shared" si="418"/>
        <v>0</v>
      </c>
      <c r="CG105" s="24" t="s">
        <v>51</v>
      </c>
      <c r="CH105" s="24" t="s">
        <v>51</v>
      </c>
      <c r="CI105" s="40"/>
      <c r="CJ105" s="40"/>
      <c r="CK105" s="40">
        <f t="shared" si="419"/>
        <v>0</v>
      </c>
      <c r="CL105" s="40">
        <f t="shared" si="419"/>
        <v>0</v>
      </c>
      <c r="CM105" s="24" t="s">
        <v>51</v>
      </c>
      <c r="CN105" s="24" t="s">
        <v>51</v>
      </c>
      <c r="CO105" s="40"/>
      <c r="CP105" s="40"/>
      <c r="CQ105" s="40">
        <f t="shared" si="420"/>
        <v>0</v>
      </c>
      <c r="CR105" s="40">
        <f t="shared" si="420"/>
        <v>0</v>
      </c>
      <c r="CS105" s="24" t="s">
        <v>51</v>
      </c>
      <c r="CT105" s="24" t="s">
        <v>51</v>
      </c>
      <c r="CU105" s="40"/>
      <c r="CV105" s="40"/>
      <c r="CW105" s="40">
        <f t="shared" si="421"/>
        <v>0</v>
      </c>
      <c r="CX105" s="40">
        <f t="shared" si="421"/>
        <v>0</v>
      </c>
      <c r="CY105" s="24" t="s">
        <v>51</v>
      </c>
      <c r="CZ105" s="24" t="s">
        <v>51</v>
      </c>
      <c r="DA105" s="40"/>
      <c r="DB105" s="40"/>
      <c r="DC105" s="40">
        <f t="shared" si="422"/>
        <v>0</v>
      </c>
      <c r="DD105" s="40">
        <f t="shared" si="422"/>
        <v>0</v>
      </c>
      <c r="DE105" s="24" t="s">
        <v>51</v>
      </c>
      <c r="DF105" s="24" t="s">
        <v>51</v>
      </c>
      <c r="DG105" s="40"/>
      <c r="DH105" s="40"/>
      <c r="DI105" s="40">
        <f t="shared" si="423"/>
        <v>0</v>
      </c>
      <c r="DJ105" s="40">
        <f t="shared" si="423"/>
        <v>0</v>
      </c>
      <c r="DK105" s="24" t="s">
        <v>51</v>
      </c>
      <c r="DL105" s="24" t="s">
        <v>51</v>
      </c>
      <c r="DM105" s="40"/>
      <c r="DN105" s="40"/>
      <c r="DO105" s="40"/>
      <c r="DP105" s="40"/>
      <c r="DQ105" s="40">
        <v>0</v>
      </c>
      <c r="DR105" s="40">
        <v>0</v>
      </c>
      <c r="DS105" s="24" t="s">
        <v>51</v>
      </c>
      <c r="DT105" s="24" t="s">
        <v>51</v>
      </c>
      <c r="DU105" s="24" t="s">
        <v>51</v>
      </c>
      <c r="DV105" s="24" t="s">
        <v>51</v>
      </c>
      <c r="DW105" s="43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  <c r="IW105" s="65"/>
      <c r="IX105" s="65"/>
      <c r="IY105" s="65"/>
      <c r="IZ105" s="65"/>
      <c r="JA105" s="65"/>
      <c r="JB105" s="65"/>
      <c r="JC105" s="65"/>
      <c r="JD105" s="65"/>
      <c r="JE105" s="65"/>
      <c r="JF105" s="65"/>
      <c r="JG105" s="65"/>
      <c r="JH105" s="65"/>
    </row>
    <row r="106" spans="1:268" s="66" customFormat="1" ht="18.75" customHeight="1">
      <c r="A106" s="387" t="s">
        <v>76</v>
      </c>
      <c r="B106" s="388"/>
      <c r="C106" s="39">
        <f>'[1]прогноз '!B98</f>
        <v>0</v>
      </c>
      <c r="D106" s="39">
        <f>'[1]прогноз '!C98</f>
        <v>0</v>
      </c>
      <c r="E106" s="39">
        <v>0</v>
      </c>
      <c r="F106" s="39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f t="shared" si="404"/>
        <v>0</v>
      </c>
      <c r="L106" s="40">
        <f t="shared" si="404"/>
        <v>0</v>
      </c>
      <c r="M106" s="40">
        <v>0</v>
      </c>
      <c r="N106" s="40">
        <v>0</v>
      </c>
      <c r="O106" s="40">
        <f t="shared" si="405"/>
        <v>0</v>
      </c>
      <c r="P106" s="40">
        <f t="shared" si="405"/>
        <v>0</v>
      </c>
      <c r="Q106" s="40">
        <v>0</v>
      </c>
      <c r="R106" s="40">
        <v>0</v>
      </c>
      <c r="S106" s="40">
        <f t="shared" si="406"/>
        <v>0</v>
      </c>
      <c r="T106" s="40">
        <f t="shared" si="406"/>
        <v>0</v>
      </c>
      <c r="U106" s="40">
        <v>0</v>
      </c>
      <c r="V106" s="40">
        <v>0</v>
      </c>
      <c r="W106" s="40">
        <f t="shared" si="407"/>
        <v>0</v>
      </c>
      <c r="X106" s="40">
        <f t="shared" si="407"/>
        <v>0</v>
      </c>
      <c r="Y106" s="40">
        <v>0</v>
      </c>
      <c r="Z106" s="40">
        <v>0</v>
      </c>
      <c r="AA106" s="40">
        <f t="shared" si="408"/>
        <v>0</v>
      </c>
      <c r="AB106" s="40">
        <f t="shared" si="408"/>
        <v>0</v>
      </c>
      <c r="AC106" s="40">
        <v>0</v>
      </c>
      <c r="AD106" s="40">
        <v>0</v>
      </c>
      <c r="AE106" s="40">
        <f t="shared" si="409"/>
        <v>0</v>
      </c>
      <c r="AF106" s="40">
        <f t="shared" si="409"/>
        <v>0</v>
      </c>
      <c r="AG106" s="40">
        <v>0</v>
      </c>
      <c r="AH106" s="40">
        <v>0</v>
      </c>
      <c r="AI106" s="40">
        <f t="shared" si="410"/>
        <v>0</v>
      </c>
      <c r="AJ106" s="40">
        <f t="shared" si="410"/>
        <v>0</v>
      </c>
      <c r="AK106" s="40">
        <v>0</v>
      </c>
      <c r="AL106" s="40">
        <v>0</v>
      </c>
      <c r="AM106" s="40">
        <f t="shared" si="411"/>
        <v>0</v>
      </c>
      <c r="AN106" s="40">
        <f t="shared" si="411"/>
        <v>0</v>
      </c>
      <c r="AO106" s="40">
        <v>0</v>
      </c>
      <c r="AP106" s="40">
        <v>0</v>
      </c>
      <c r="AQ106" s="40">
        <f t="shared" si="412"/>
        <v>0</v>
      </c>
      <c r="AR106" s="40">
        <f t="shared" si="412"/>
        <v>0</v>
      </c>
      <c r="AS106" s="40">
        <v>0</v>
      </c>
      <c r="AT106" s="40">
        <v>0</v>
      </c>
      <c r="AU106" s="40">
        <f t="shared" si="413"/>
        <v>0</v>
      </c>
      <c r="AV106" s="40">
        <f t="shared" si="413"/>
        <v>0</v>
      </c>
      <c r="AW106" s="41">
        <v>0</v>
      </c>
      <c r="AX106" s="41">
        <v>0</v>
      </c>
      <c r="AY106" s="39" t="s">
        <v>51</v>
      </c>
      <c r="AZ106" s="39" t="s">
        <v>51</v>
      </c>
      <c r="BA106" s="24" t="s">
        <v>51</v>
      </c>
      <c r="BB106" s="24" t="s">
        <v>51</v>
      </c>
      <c r="BC106" s="40">
        <v>0</v>
      </c>
      <c r="BD106" s="40">
        <v>0</v>
      </c>
      <c r="BE106" s="40">
        <v>0</v>
      </c>
      <c r="BF106" s="40">
        <v>0</v>
      </c>
      <c r="BG106" s="40">
        <f t="shared" si="414"/>
        <v>0</v>
      </c>
      <c r="BH106" s="40">
        <f t="shared" si="414"/>
        <v>0</v>
      </c>
      <c r="BI106" s="24" t="s">
        <v>51</v>
      </c>
      <c r="BJ106" s="24" t="s">
        <v>51</v>
      </c>
      <c r="BK106" s="40">
        <v>0</v>
      </c>
      <c r="BL106" s="98">
        <v>0</v>
      </c>
      <c r="BM106" s="40">
        <f t="shared" si="415"/>
        <v>0</v>
      </c>
      <c r="BN106" s="40">
        <f t="shared" si="415"/>
        <v>0</v>
      </c>
      <c r="BO106" s="24" t="s">
        <v>51</v>
      </c>
      <c r="BP106" s="24" t="s">
        <v>51</v>
      </c>
      <c r="BQ106" s="40"/>
      <c r="BR106" s="40"/>
      <c r="BS106" s="40">
        <f t="shared" si="416"/>
        <v>0</v>
      </c>
      <c r="BT106" s="40">
        <f t="shared" si="416"/>
        <v>0</v>
      </c>
      <c r="BU106" s="24" t="s">
        <v>51</v>
      </c>
      <c r="BV106" s="24" t="s">
        <v>51</v>
      </c>
      <c r="BW106" s="40"/>
      <c r="BX106" s="40"/>
      <c r="BY106" s="40">
        <f t="shared" si="417"/>
        <v>0</v>
      </c>
      <c r="BZ106" s="40">
        <f t="shared" si="417"/>
        <v>0</v>
      </c>
      <c r="CA106" s="24" t="s">
        <v>51</v>
      </c>
      <c r="CB106" s="24" t="s">
        <v>51</v>
      </c>
      <c r="CC106" s="40"/>
      <c r="CD106" s="40"/>
      <c r="CE106" s="40">
        <f t="shared" si="418"/>
        <v>0</v>
      </c>
      <c r="CF106" s="40">
        <f t="shared" si="418"/>
        <v>0</v>
      </c>
      <c r="CG106" s="24" t="s">
        <v>51</v>
      </c>
      <c r="CH106" s="24" t="s">
        <v>51</v>
      </c>
      <c r="CI106" s="40"/>
      <c r="CJ106" s="40"/>
      <c r="CK106" s="40">
        <f t="shared" si="419"/>
        <v>0</v>
      </c>
      <c r="CL106" s="40">
        <f t="shared" si="419"/>
        <v>0</v>
      </c>
      <c r="CM106" s="24" t="s">
        <v>51</v>
      </c>
      <c r="CN106" s="24" t="s">
        <v>51</v>
      </c>
      <c r="CO106" s="40"/>
      <c r="CP106" s="40"/>
      <c r="CQ106" s="40">
        <f t="shared" si="420"/>
        <v>0</v>
      </c>
      <c r="CR106" s="40">
        <f t="shared" si="420"/>
        <v>0</v>
      </c>
      <c r="CS106" s="24" t="s">
        <v>51</v>
      </c>
      <c r="CT106" s="24" t="s">
        <v>51</v>
      </c>
      <c r="CU106" s="40"/>
      <c r="CV106" s="40"/>
      <c r="CW106" s="40">
        <f t="shared" si="421"/>
        <v>0</v>
      </c>
      <c r="CX106" s="40">
        <f t="shared" si="421"/>
        <v>0</v>
      </c>
      <c r="CY106" s="24" t="s">
        <v>51</v>
      </c>
      <c r="CZ106" s="24" t="s">
        <v>51</v>
      </c>
      <c r="DA106" s="40"/>
      <c r="DB106" s="40"/>
      <c r="DC106" s="40">
        <f t="shared" si="422"/>
        <v>0</v>
      </c>
      <c r="DD106" s="40">
        <f t="shared" si="422"/>
        <v>0</v>
      </c>
      <c r="DE106" s="24" t="s">
        <v>51</v>
      </c>
      <c r="DF106" s="24" t="s">
        <v>51</v>
      </c>
      <c r="DG106" s="40"/>
      <c r="DH106" s="40"/>
      <c r="DI106" s="40">
        <f t="shared" si="423"/>
        <v>0</v>
      </c>
      <c r="DJ106" s="40">
        <f t="shared" si="423"/>
        <v>0</v>
      </c>
      <c r="DK106" s="24" t="s">
        <v>51</v>
      </c>
      <c r="DL106" s="24" t="s">
        <v>51</v>
      </c>
      <c r="DM106" s="40"/>
      <c r="DN106" s="40"/>
      <c r="DO106" s="40"/>
      <c r="DP106" s="40"/>
      <c r="DQ106" s="40">
        <v>0</v>
      </c>
      <c r="DR106" s="40">
        <v>0</v>
      </c>
      <c r="DS106" s="24" t="s">
        <v>51</v>
      </c>
      <c r="DT106" s="24" t="s">
        <v>51</v>
      </c>
      <c r="DU106" s="24" t="s">
        <v>51</v>
      </c>
      <c r="DV106" s="24" t="s">
        <v>51</v>
      </c>
      <c r="DW106" s="43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  <c r="IW106" s="65"/>
      <c r="IX106" s="65"/>
      <c r="IY106" s="65"/>
      <c r="IZ106" s="65"/>
      <c r="JA106" s="65"/>
      <c r="JB106" s="65"/>
      <c r="JC106" s="65"/>
      <c r="JD106" s="65"/>
      <c r="JE106" s="65"/>
      <c r="JF106" s="65"/>
      <c r="JG106" s="65"/>
      <c r="JH106" s="65"/>
    </row>
    <row r="107" spans="1:268" s="66" customFormat="1" ht="21.75" customHeight="1">
      <c r="A107" s="387" t="s">
        <v>129</v>
      </c>
      <c r="B107" s="388"/>
      <c r="C107" s="42">
        <f>'[1]прогноз '!B99</f>
        <v>0</v>
      </c>
      <c r="D107" s="42">
        <f>'[1]прогноз '!C99</f>
        <v>0</v>
      </c>
      <c r="E107" s="42">
        <f>[2]Консолид.!$BC$23/1000</f>
        <v>0</v>
      </c>
      <c r="F107" s="42">
        <f>[2]районы!$AP$23/1000</f>
        <v>0</v>
      </c>
      <c r="G107" s="30">
        <f>88+H107</f>
        <v>887.2</v>
      </c>
      <c r="H107" s="30">
        <v>799.2</v>
      </c>
      <c r="I107" s="30">
        <v>237</v>
      </c>
      <c r="J107" s="30">
        <v>28</v>
      </c>
      <c r="K107" s="30">
        <f t="shared" si="404"/>
        <v>237</v>
      </c>
      <c r="L107" s="30">
        <f t="shared" si="404"/>
        <v>28</v>
      </c>
      <c r="M107" s="30">
        <f>262.5+N107</f>
        <v>1725.5</v>
      </c>
      <c r="N107" s="30">
        <v>1463</v>
      </c>
      <c r="O107" s="30">
        <f t="shared" si="405"/>
        <v>1725.5</v>
      </c>
      <c r="P107" s="30">
        <f t="shared" si="405"/>
        <v>1463</v>
      </c>
      <c r="Q107" s="30">
        <v>669</v>
      </c>
      <c r="R107" s="30">
        <f>669.4-354.4</f>
        <v>315</v>
      </c>
      <c r="S107" s="30">
        <f t="shared" si="406"/>
        <v>669</v>
      </c>
      <c r="T107" s="30">
        <f t="shared" si="406"/>
        <v>315</v>
      </c>
      <c r="U107" s="30">
        <f>1131.3+358.6</f>
        <v>1489.9</v>
      </c>
      <c r="V107" s="30">
        <v>1131.3</v>
      </c>
      <c r="W107" s="30">
        <f t="shared" si="407"/>
        <v>1489.9</v>
      </c>
      <c r="X107" s="30">
        <f t="shared" si="407"/>
        <v>1131.3</v>
      </c>
      <c r="Y107" s="30">
        <v>217.8</v>
      </c>
      <c r="Z107" s="30">
        <v>0</v>
      </c>
      <c r="AA107" s="30">
        <f t="shared" si="408"/>
        <v>217.8</v>
      </c>
      <c r="AB107" s="30">
        <f t="shared" si="408"/>
        <v>0</v>
      </c>
      <c r="AC107" s="30">
        <v>117.8</v>
      </c>
      <c r="AD107" s="30">
        <v>0</v>
      </c>
      <c r="AE107" s="30">
        <f t="shared" si="409"/>
        <v>117.8</v>
      </c>
      <c r="AF107" s="30">
        <f t="shared" si="409"/>
        <v>0</v>
      </c>
      <c r="AG107" s="30">
        <v>228.4</v>
      </c>
      <c r="AH107" s="30">
        <v>0</v>
      </c>
      <c r="AI107" s="30">
        <f t="shared" si="410"/>
        <v>228.4</v>
      </c>
      <c r="AJ107" s="30">
        <f t="shared" si="410"/>
        <v>0</v>
      </c>
      <c r="AK107" s="30">
        <v>183.4</v>
      </c>
      <c r="AL107" s="30">
        <v>0</v>
      </c>
      <c r="AM107" s="30">
        <f t="shared" si="411"/>
        <v>183.4</v>
      </c>
      <c r="AN107" s="30">
        <f t="shared" si="411"/>
        <v>0</v>
      </c>
      <c r="AO107" s="30">
        <v>0</v>
      </c>
      <c r="AP107" s="30">
        <v>0</v>
      </c>
      <c r="AQ107" s="30">
        <f t="shared" si="412"/>
        <v>0</v>
      </c>
      <c r="AR107" s="30">
        <f t="shared" si="412"/>
        <v>0</v>
      </c>
      <c r="AS107" s="30">
        <v>216.7</v>
      </c>
      <c r="AT107" s="30">
        <v>216.7</v>
      </c>
      <c r="AU107" s="30">
        <f t="shared" si="413"/>
        <v>216.7</v>
      </c>
      <c r="AV107" s="30">
        <f t="shared" si="413"/>
        <v>216.7</v>
      </c>
      <c r="AW107" s="40">
        <v>67.099999999999994</v>
      </c>
      <c r="AX107" s="40">
        <v>67.099999999999994</v>
      </c>
      <c r="AY107" s="42" t="s">
        <v>51</v>
      </c>
      <c r="AZ107" s="42" t="s">
        <v>51</v>
      </c>
      <c r="BA107" s="24" t="s">
        <v>51</v>
      </c>
      <c r="BB107" s="24" t="s">
        <v>51</v>
      </c>
      <c r="BC107" s="30"/>
      <c r="BD107" s="30"/>
      <c r="BE107" s="30"/>
      <c r="BF107" s="30"/>
      <c r="BG107" s="30">
        <f t="shared" si="414"/>
        <v>0</v>
      </c>
      <c r="BH107" s="30">
        <f t="shared" si="414"/>
        <v>0</v>
      </c>
      <c r="BI107" s="24" t="s">
        <v>51</v>
      </c>
      <c r="BJ107" s="24" t="s">
        <v>51</v>
      </c>
      <c r="BK107" s="30"/>
      <c r="BL107" s="98">
        <v>0</v>
      </c>
      <c r="BM107" s="30">
        <f t="shared" si="415"/>
        <v>0</v>
      </c>
      <c r="BN107" s="30">
        <f t="shared" si="415"/>
        <v>0</v>
      </c>
      <c r="BO107" s="24" t="s">
        <v>51</v>
      </c>
      <c r="BP107" s="24" t="s">
        <v>51</v>
      </c>
      <c r="BQ107" s="30"/>
      <c r="BR107" s="30"/>
      <c r="BS107" s="30">
        <f t="shared" si="416"/>
        <v>0</v>
      </c>
      <c r="BT107" s="30">
        <f t="shared" si="416"/>
        <v>0</v>
      </c>
      <c r="BU107" s="24" t="s">
        <v>51</v>
      </c>
      <c r="BV107" s="24" t="s">
        <v>51</v>
      </c>
      <c r="BW107" s="30"/>
      <c r="BX107" s="30"/>
      <c r="BY107" s="30">
        <f t="shared" si="417"/>
        <v>0</v>
      </c>
      <c r="BZ107" s="30">
        <f t="shared" si="417"/>
        <v>0</v>
      </c>
      <c r="CA107" s="24" t="s">
        <v>51</v>
      </c>
      <c r="CB107" s="24" t="s">
        <v>51</v>
      </c>
      <c r="CC107" s="30"/>
      <c r="CD107" s="30"/>
      <c r="CE107" s="30">
        <f t="shared" si="418"/>
        <v>0</v>
      </c>
      <c r="CF107" s="30">
        <f t="shared" si="418"/>
        <v>0</v>
      </c>
      <c r="CG107" s="24" t="s">
        <v>51</v>
      </c>
      <c r="CH107" s="24" t="s">
        <v>51</v>
      </c>
      <c r="CI107" s="30"/>
      <c r="CJ107" s="30"/>
      <c r="CK107" s="30">
        <f t="shared" si="419"/>
        <v>0</v>
      </c>
      <c r="CL107" s="30">
        <f t="shared" si="419"/>
        <v>0</v>
      </c>
      <c r="CM107" s="24" t="s">
        <v>51</v>
      </c>
      <c r="CN107" s="24" t="s">
        <v>51</v>
      </c>
      <c r="CO107" s="30"/>
      <c r="CP107" s="30"/>
      <c r="CQ107" s="30">
        <f t="shared" si="420"/>
        <v>0</v>
      </c>
      <c r="CR107" s="30">
        <f t="shared" si="420"/>
        <v>0</v>
      </c>
      <c r="CS107" s="24" t="s">
        <v>51</v>
      </c>
      <c r="CT107" s="24" t="s">
        <v>51</v>
      </c>
      <c r="CU107" s="30"/>
      <c r="CV107" s="30"/>
      <c r="CW107" s="30">
        <f t="shared" si="421"/>
        <v>0</v>
      </c>
      <c r="CX107" s="30">
        <f t="shared" si="421"/>
        <v>0</v>
      </c>
      <c r="CY107" s="24" t="s">
        <v>51</v>
      </c>
      <c r="CZ107" s="24" t="s">
        <v>51</v>
      </c>
      <c r="DA107" s="30"/>
      <c r="DB107" s="30"/>
      <c r="DC107" s="30">
        <f t="shared" si="422"/>
        <v>0</v>
      </c>
      <c r="DD107" s="30">
        <f t="shared" si="422"/>
        <v>0</v>
      </c>
      <c r="DE107" s="24" t="s">
        <v>51</v>
      </c>
      <c r="DF107" s="24" t="s">
        <v>51</v>
      </c>
      <c r="DG107" s="30"/>
      <c r="DH107" s="30"/>
      <c r="DI107" s="30">
        <f t="shared" si="423"/>
        <v>0</v>
      </c>
      <c r="DJ107" s="30">
        <f t="shared" si="423"/>
        <v>0</v>
      </c>
      <c r="DK107" s="24" t="s">
        <v>51</v>
      </c>
      <c r="DL107" s="24" t="s">
        <v>51</v>
      </c>
      <c r="DM107" s="30"/>
      <c r="DN107" s="30"/>
      <c r="DO107" s="30"/>
      <c r="DP107" s="30"/>
      <c r="DQ107" s="30">
        <v>0</v>
      </c>
      <c r="DR107" s="30">
        <v>0</v>
      </c>
      <c r="DS107" s="24" t="s">
        <v>51</v>
      </c>
      <c r="DT107" s="24" t="s">
        <v>51</v>
      </c>
      <c r="DU107" s="24" t="s">
        <v>51</v>
      </c>
      <c r="DV107" s="24" t="s">
        <v>51</v>
      </c>
      <c r="DW107" s="43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  <c r="IW107" s="65"/>
      <c r="IX107" s="65"/>
      <c r="IY107" s="65"/>
      <c r="IZ107" s="65"/>
      <c r="JA107" s="65"/>
      <c r="JB107" s="65"/>
      <c r="JC107" s="65"/>
      <c r="JD107" s="65"/>
      <c r="JE107" s="65"/>
      <c r="JF107" s="65"/>
      <c r="JG107" s="65"/>
      <c r="JH107" s="65"/>
    </row>
    <row r="108" spans="1:268" s="87" customFormat="1" ht="35.25" customHeight="1">
      <c r="A108" s="286" t="s">
        <v>135</v>
      </c>
      <c r="B108" s="287"/>
      <c r="C108" s="17">
        <f>'[1]прогноз '!B100</f>
        <v>0</v>
      </c>
      <c r="D108" s="17">
        <f>'[1]прогноз '!C100</f>
        <v>0</v>
      </c>
      <c r="E108" s="17">
        <f>'[3]форма отчета с 01.06.2015'!$B$12</f>
        <v>16175.4</v>
      </c>
      <c r="F108" s="17">
        <f>'[3]форма отчета с 01.06.2015'!$B$14</f>
        <v>11342.5</v>
      </c>
      <c r="G108" s="17">
        <v>24254.400000000001</v>
      </c>
      <c r="H108" s="17">
        <v>8390.9</v>
      </c>
      <c r="I108" s="17">
        <v>22728.400000000001</v>
      </c>
      <c r="J108" s="17">
        <v>13728.2</v>
      </c>
      <c r="K108" s="17">
        <f t="shared" si="404"/>
        <v>22728.400000000001</v>
      </c>
      <c r="L108" s="17">
        <f t="shared" si="404"/>
        <v>13728.2</v>
      </c>
      <c r="M108" s="17">
        <v>19771.2</v>
      </c>
      <c r="N108" s="17">
        <v>11097</v>
      </c>
      <c r="O108" s="17">
        <f t="shared" si="405"/>
        <v>19771.2</v>
      </c>
      <c r="P108" s="17">
        <f t="shared" si="405"/>
        <v>11097</v>
      </c>
      <c r="Q108" s="17">
        <v>26399.3</v>
      </c>
      <c r="R108" s="17">
        <v>17225.099999999999</v>
      </c>
      <c r="S108" s="17">
        <f t="shared" si="406"/>
        <v>26399.3</v>
      </c>
      <c r="T108" s="17">
        <f t="shared" si="406"/>
        <v>17225.099999999999</v>
      </c>
      <c r="U108" s="17">
        <v>30808.799999999999</v>
      </c>
      <c r="V108" s="17">
        <v>19119.2</v>
      </c>
      <c r="W108" s="17">
        <f t="shared" si="407"/>
        <v>30808.799999999999</v>
      </c>
      <c r="X108" s="17">
        <f t="shared" si="407"/>
        <v>19119.2</v>
      </c>
      <c r="Y108" s="17">
        <v>27111.3</v>
      </c>
      <c r="Z108" s="17">
        <v>18300.599999999999</v>
      </c>
      <c r="AA108" s="17">
        <f t="shared" si="408"/>
        <v>27111.3</v>
      </c>
      <c r="AB108" s="17">
        <f t="shared" si="408"/>
        <v>18300.599999999999</v>
      </c>
      <c r="AC108" s="17">
        <v>20161.8</v>
      </c>
      <c r="AD108" s="17">
        <v>13849.4</v>
      </c>
      <c r="AE108" s="17">
        <f t="shared" si="409"/>
        <v>20161.8</v>
      </c>
      <c r="AF108" s="17">
        <f t="shared" si="409"/>
        <v>13849.4</v>
      </c>
      <c r="AG108" s="17">
        <v>15752.3</v>
      </c>
      <c r="AH108" s="17">
        <v>7537</v>
      </c>
      <c r="AI108" s="17">
        <f t="shared" si="410"/>
        <v>15752.3</v>
      </c>
      <c r="AJ108" s="17">
        <f t="shared" si="410"/>
        <v>7537</v>
      </c>
      <c r="AK108" s="17">
        <v>25213.9</v>
      </c>
      <c r="AL108" s="17">
        <v>10012</v>
      </c>
      <c r="AM108" s="17">
        <f t="shared" si="411"/>
        <v>25213.9</v>
      </c>
      <c r="AN108" s="17">
        <f t="shared" si="411"/>
        <v>10012</v>
      </c>
      <c r="AO108" s="17">
        <v>28306.2</v>
      </c>
      <c r="AP108" s="17">
        <v>11132</v>
      </c>
      <c r="AQ108" s="17">
        <f t="shared" si="412"/>
        <v>28306.2</v>
      </c>
      <c r="AR108" s="17">
        <f t="shared" si="412"/>
        <v>11132</v>
      </c>
      <c r="AS108" s="17">
        <v>24373</v>
      </c>
      <c r="AT108" s="17">
        <v>10021.5</v>
      </c>
      <c r="AU108" s="17">
        <f t="shared" si="413"/>
        <v>24373</v>
      </c>
      <c r="AV108" s="17">
        <f t="shared" si="413"/>
        <v>10021.5</v>
      </c>
      <c r="AW108" s="17">
        <v>16175.4</v>
      </c>
      <c r="AX108" s="17">
        <v>11342.5</v>
      </c>
      <c r="AY108" s="17" t="s">
        <v>51</v>
      </c>
      <c r="AZ108" s="17" t="s">
        <v>51</v>
      </c>
      <c r="BA108" s="20" t="s">
        <v>51</v>
      </c>
      <c r="BB108" s="20" t="s">
        <v>51</v>
      </c>
      <c r="BC108" s="17">
        <v>20528.5</v>
      </c>
      <c r="BD108" s="17">
        <v>11929.4</v>
      </c>
      <c r="BE108" s="17">
        <v>13308.8</v>
      </c>
      <c r="BF108" s="17">
        <v>6761.1</v>
      </c>
      <c r="BG108" s="17">
        <f t="shared" si="414"/>
        <v>13308.8</v>
      </c>
      <c r="BH108" s="17">
        <f t="shared" si="414"/>
        <v>6761.1</v>
      </c>
      <c r="BI108" s="20" t="s">
        <v>51</v>
      </c>
      <c r="BJ108" s="20" t="s">
        <v>51</v>
      </c>
      <c r="BK108" s="17"/>
      <c r="BL108" s="99">
        <v>12003.8</v>
      </c>
      <c r="BM108" s="17">
        <f t="shared" si="415"/>
        <v>0</v>
      </c>
      <c r="BN108" s="17">
        <f t="shared" si="415"/>
        <v>12003.8</v>
      </c>
      <c r="BO108" s="20" t="s">
        <v>51</v>
      </c>
      <c r="BP108" s="20" t="s">
        <v>51</v>
      </c>
      <c r="BQ108" s="17"/>
      <c r="BR108" s="17"/>
      <c r="BS108" s="17">
        <f t="shared" si="416"/>
        <v>0</v>
      </c>
      <c r="BT108" s="17">
        <f t="shared" si="416"/>
        <v>0</v>
      </c>
      <c r="BU108" s="20" t="s">
        <v>51</v>
      </c>
      <c r="BV108" s="20" t="s">
        <v>51</v>
      </c>
      <c r="BW108" s="17"/>
      <c r="BX108" s="17"/>
      <c r="BY108" s="17">
        <f t="shared" si="417"/>
        <v>0</v>
      </c>
      <c r="BZ108" s="17">
        <f t="shared" si="417"/>
        <v>0</v>
      </c>
      <c r="CA108" s="20" t="s">
        <v>51</v>
      </c>
      <c r="CB108" s="20" t="s">
        <v>51</v>
      </c>
      <c r="CC108" s="17"/>
      <c r="CD108" s="17"/>
      <c r="CE108" s="17">
        <f t="shared" si="418"/>
        <v>0</v>
      </c>
      <c r="CF108" s="17">
        <f t="shared" si="418"/>
        <v>0</v>
      </c>
      <c r="CG108" s="20" t="s">
        <v>51</v>
      </c>
      <c r="CH108" s="20" t="s">
        <v>51</v>
      </c>
      <c r="CI108" s="17"/>
      <c r="CJ108" s="17"/>
      <c r="CK108" s="17">
        <f t="shared" si="419"/>
        <v>0</v>
      </c>
      <c r="CL108" s="17">
        <f t="shared" si="419"/>
        <v>0</v>
      </c>
      <c r="CM108" s="20" t="s">
        <v>51</v>
      </c>
      <c r="CN108" s="20" t="s">
        <v>51</v>
      </c>
      <c r="CO108" s="17"/>
      <c r="CP108" s="17"/>
      <c r="CQ108" s="17">
        <f t="shared" si="420"/>
        <v>0</v>
      </c>
      <c r="CR108" s="17">
        <f t="shared" si="420"/>
        <v>0</v>
      </c>
      <c r="CS108" s="20" t="s">
        <v>51</v>
      </c>
      <c r="CT108" s="20" t="s">
        <v>51</v>
      </c>
      <c r="CU108" s="17"/>
      <c r="CV108" s="17"/>
      <c r="CW108" s="17">
        <f t="shared" si="421"/>
        <v>0</v>
      </c>
      <c r="CX108" s="17">
        <f t="shared" si="421"/>
        <v>0</v>
      </c>
      <c r="CY108" s="20" t="s">
        <v>51</v>
      </c>
      <c r="CZ108" s="20" t="s">
        <v>51</v>
      </c>
      <c r="DA108" s="17"/>
      <c r="DB108" s="17"/>
      <c r="DC108" s="17">
        <f t="shared" si="422"/>
        <v>0</v>
      </c>
      <c r="DD108" s="17">
        <f t="shared" si="422"/>
        <v>0</v>
      </c>
      <c r="DE108" s="20" t="s">
        <v>51</v>
      </c>
      <c r="DF108" s="20" t="s">
        <v>51</v>
      </c>
      <c r="DG108" s="17"/>
      <c r="DH108" s="17"/>
      <c r="DI108" s="17">
        <f t="shared" si="423"/>
        <v>0</v>
      </c>
      <c r="DJ108" s="17">
        <f t="shared" si="423"/>
        <v>0</v>
      </c>
      <c r="DK108" s="20" t="s">
        <v>51</v>
      </c>
      <c r="DL108" s="20" t="s">
        <v>51</v>
      </c>
      <c r="DM108" s="17"/>
      <c r="DN108" s="17"/>
      <c r="DO108" s="17"/>
      <c r="DP108" s="17"/>
      <c r="DQ108" s="17">
        <v>11006</v>
      </c>
      <c r="DR108" s="17">
        <v>7006.1</v>
      </c>
      <c r="DS108" s="20" t="s">
        <v>51</v>
      </c>
      <c r="DT108" s="20" t="s">
        <v>51</v>
      </c>
      <c r="DU108" s="20" t="s">
        <v>51</v>
      </c>
      <c r="DV108" s="20" t="s">
        <v>51</v>
      </c>
      <c r="DW108" s="44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  <c r="EM108" s="88"/>
      <c r="EN108" s="88"/>
      <c r="EO108" s="88"/>
      <c r="EP108" s="88"/>
      <c r="EQ108" s="88"/>
      <c r="ER108" s="88"/>
      <c r="ES108" s="88"/>
      <c r="ET108" s="88"/>
      <c r="EU108" s="88"/>
      <c r="EV108" s="88"/>
      <c r="EW108" s="88"/>
      <c r="EX108" s="88"/>
      <c r="EY108" s="88"/>
      <c r="EZ108" s="88"/>
      <c r="FA108" s="88"/>
      <c r="FB108" s="88"/>
      <c r="FC108" s="88"/>
      <c r="FD108" s="88"/>
      <c r="FE108" s="88"/>
      <c r="FF108" s="88"/>
      <c r="FG108" s="88"/>
      <c r="FH108" s="88"/>
      <c r="FI108" s="88"/>
      <c r="FJ108" s="88"/>
      <c r="FK108" s="88"/>
      <c r="FL108" s="88"/>
      <c r="FM108" s="88"/>
      <c r="FN108" s="88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  <c r="HG108" s="88"/>
      <c r="HH108" s="88"/>
      <c r="HI108" s="88"/>
      <c r="HJ108" s="88"/>
      <c r="HK108" s="88"/>
      <c r="HL108" s="88"/>
      <c r="HM108" s="88"/>
      <c r="HN108" s="88"/>
      <c r="HO108" s="88"/>
      <c r="HP108" s="88"/>
      <c r="HQ108" s="88"/>
      <c r="HR108" s="88"/>
      <c r="HS108" s="88"/>
      <c r="HT108" s="88"/>
      <c r="HU108" s="88"/>
      <c r="HV108" s="88"/>
      <c r="HW108" s="88"/>
      <c r="HX108" s="88"/>
      <c r="HY108" s="88"/>
      <c r="HZ108" s="88"/>
      <c r="IA108" s="88"/>
      <c r="IB108" s="88"/>
      <c r="IC108" s="88"/>
      <c r="ID108" s="88"/>
      <c r="IE108" s="88"/>
      <c r="IF108" s="88"/>
      <c r="IG108" s="88"/>
      <c r="IH108" s="88"/>
      <c r="II108" s="88"/>
      <c r="IJ108" s="88"/>
      <c r="IK108" s="88"/>
      <c r="IL108" s="88"/>
      <c r="IM108" s="88"/>
      <c r="IN108" s="88"/>
      <c r="IO108" s="88"/>
      <c r="IP108" s="88"/>
      <c r="IQ108" s="88"/>
      <c r="IR108" s="88"/>
      <c r="IS108" s="88"/>
      <c r="IT108" s="88"/>
      <c r="IU108" s="88"/>
      <c r="IV108" s="88"/>
      <c r="IW108" s="88"/>
      <c r="IX108" s="88"/>
      <c r="IY108" s="88"/>
      <c r="IZ108" s="88"/>
      <c r="JA108" s="88"/>
      <c r="JB108" s="88"/>
      <c r="JC108" s="88"/>
      <c r="JD108" s="88"/>
      <c r="JE108" s="88"/>
      <c r="JF108" s="88"/>
      <c r="JG108" s="88"/>
      <c r="JH108" s="88"/>
    </row>
    <row r="109" spans="1:268" s="66" customFormat="1" ht="16.5">
      <c r="A109" s="389" t="s">
        <v>78</v>
      </c>
      <c r="B109" s="390"/>
      <c r="C109" s="30">
        <f>'[1]прогноз '!B101</f>
        <v>0</v>
      </c>
      <c r="D109" s="30">
        <f>'[1]прогноз '!C101</f>
        <v>0</v>
      </c>
      <c r="E109" s="30">
        <f>E108-'[3]форма отчета с 01.06.2015'!$C$12</f>
        <v>1362.3999999999996</v>
      </c>
      <c r="F109" s="30">
        <f>F108-'[3]форма отчета с 01.06.2015'!$C$14</f>
        <v>1362.3999999999996</v>
      </c>
      <c r="G109" s="29">
        <v>17339.900000000001</v>
      </c>
      <c r="H109" s="29">
        <v>8378.7999999999993</v>
      </c>
      <c r="I109" s="29">
        <v>5391.1</v>
      </c>
      <c r="J109" s="29">
        <v>5353.6</v>
      </c>
      <c r="K109" s="29">
        <f t="shared" si="404"/>
        <v>5391.1</v>
      </c>
      <c r="L109" s="29">
        <f t="shared" si="404"/>
        <v>5353.6</v>
      </c>
      <c r="M109" s="29">
        <v>5122.7</v>
      </c>
      <c r="N109" s="29">
        <v>5079.7</v>
      </c>
      <c r="O109" s="29">
        <f t="shared" si="405"/>
        <v>5122.7</v>
      </c>
      <c r="P109" s="29">
        <f t="shared" si="405"/>
        <v>5079.7</v>
      </c>
      <c r="Q109" s="29">
        <v>8993.6</v>
      </c>
      <c r="R109" s="29">
        <v>8973.4</v>
      </c>
      <c r="S109" s="29">
        <f t="shared" si="406"/>
        <v>8993.6</v>
      </c>
      <c r="T109" s="29">
        <f t="shared" si="406"/>
        <v>8973.4</v>
      </c>
      <c r="U109" s="29">
        <v>9157.5</v>
      </c>
      <c r="V109" s="29">
        <v>8973.2000000000007</v>
      </c>
      <c r="W109" s="29">
        <f t="shared" si="407"/>
        <v>9157.5</v>
      </c>
      <c r="X109" s="29">
        <f t="shared" si="407"/>
        <v>8973.2000000000007</v>
      </c>
      <c r="Y109" s="29">
        <v>12642</v>
      </c>
      <c r="Z109" s="29">
        <v>12091</v>
      </c>
      <c r="AA109" s="29">
        <f t="shared" si="408"/>
        <v>12642</v>
      </c>
      <c r="AB109" s="29">
        <f t="shared" si="408"/>
        <v>12091</v>
      </c>
      <c r="AC109" s="29">
        <v>5508</v>
      </c>
      <c r="AD109" s="29">
        <v>5426</v>
      </c>
      <c r="AE109" s="29">
        <f t="shared" si="409"/>
        <v>5508</v>
      </c>
      <c r="AF109" s="29">
        <f t="shared" si="409"/>
        <v>5426</v>
      </c>
      <c r="AG109" s="29">
        <v>1817.2</v>
      </c>
      <c r="AH109" s="29">
        <v>1774</v>
      </c>
      <c r="AI109" s="29">
        <f t="shared" si="410"/>
        <v>1817.2</v>
      </c>
      <c r="AJ109" s="29">
        <f t="shared" si="410"/>
        <v>1774</v>
      </c>
      <c r="AK109" s="29">
        <v>3384.6</v>
      </c>
      <c r="AL109" s="29">
        <v>3008</v>
      </c>
      <c r="AM109" s="29">
        <f t="shared" si="411"/>
        <v>3384.6</v>
      </c>
      <c r="AN109" s="29">
        <f t="shared" si="411"/>
        <v>3008</v>
      </c>
      <c r="AO109" s="29">
        <v>2946.5</v>
      </c>
      <c r="AP109" s="29">
        <v>2842</v>
      </c>
      <c r="AQ109" s="29">
        <f t="shared" si="412"/>
        <v>2946.5</v>
      </c>
      <c r="AR109" s="29">
        <f t="shared" si="412"/>
        <v>2842</v>
      </c>
      <c r="AS109" s="29">
        <v>6902.7</v>
      </c>
      <c r="AT109" s="29">
        <v>4955.1000000000004</v>
      </c>
      <c r="AU109" s="29">
        <f t="shared" si="413"/>
        <v>6902.7</v>
      </c>
      <c r="AV109" s="29">
        <f t="shared" si="413"/>
        <v>4955.1000000000004</v>
      </c>
      <c r="AW109" s="30">
        <v>1362.4</v>
      </c>
      <c r="AX109" s="30">
        <v>1362.4</v>
      </c>
      <c r="AY109" s="42" t="s">
        <v>51</v>
      </c>
      <c r="AZ109" s="42" t="s">
        <v>51</v>
      </c>
      <c r="BA109" s="24" t="s">
        <v>51</v>
      </c>
      <c r="BB109" s="24" t="s">
        <v>51</v>
      </c>
      <c r="BC109" s="30">
        <v>123.2</v>
      </c>
      <c r="BD109" s="30">
        <v>60</v>
      </c>
      <c r="BE109" s="29">
        <v>71.8</v>
      </c>
      <c r="BF109" s="29">
        <v>16.7</v>
      </c>
      <c r="BG109" s="29">
        <f t="shared" si="414"/>
        <v>71.8</v>
      </c>
      <c r="BH109" s="29">
        <f t="shared" si="414"/>
        <v>16.7</v>
      </c>
      <c r="BI109" s="24" t="s">
        <v>51</v>
      </c>
      <c r="BJ109" s="24" t="s">
        <v>51</v>
      </c>
      <c r="BK109" s="30">
        <v>0</v>
      </c>
      <c r="BL109" s="98">
        <v>123.1</v>
      </c>
      <c r="BM109" s="29">
        <f t="shared" si="415"/>
        <v>0</v>
      </c>
      <c r="BN109" s="29">
        <f t="shared" si="415"/>
        <v>123.1</v>
      </c>
      <c r="BO109" s="24" t="s">
        <v>51</v>
      </c>
      <c r="BP109" s="24" t="s">
        <v>51</v>
      </c>
      <c r="BQ109" s="29"/>
      <c r="BR109" s="29"/>
      <c r="BS109" s="29">
        <f t="shared" si="416"/>
        <v>0</v>
      </c>
      <c r="BT109" s="29">
        <f t="shared" si="416"/>
        <v>0</v>
      </c>
      <c r="BU109" s="24" t="s">
        <v>51</v>
      </c>
      <c r="BV109" s="24" t="s">
        <v>51</v>
      </c>
      <c r="BW109" s="29"/>
      <c r="BX109" s="29"/>
      <c r="BY109" s="29">
        <f t="shared" si="417"/>
        <v>0</v>
      </c>
      <c r="BZ109" s="29">
        <f t="shared" si="417"/>
        <v>0</v>
      </c>
      <c r="CA109" s="24" t="s">
        <v>51</v>
      </c>
      <c r="CB109" s="24" t="s">
        <v>51</v>
      </c>
      <c r="CC109" s="29"/>
      <c r="CD109" s="29"/>
      <c r="CE109" s="29">
        <f t="shared" si="418"/>
        <v>0</v>
      </c>
      <c r="CF109" s="29">
        <f t="shared" si="418"/>
        <v>0</v>
      </c>
      <c r="CG109" s="24" t="s">
        <v>51</v>
      </c>
      <c r="CH109" s="24" t="s">
        <v>51</v>
      </c>
      <c r="CI109" s="29"/>
      <c r="CJ109" s="29"/>
      <c r="CK109" s="29">
        <f t="shared" si="419"/>
        <v>0</v>
      </c>
      <c r="CL109" s="29">
        <f t="shared" si="419"/>
        <v>0</v>
      </c>
      <c r="CM109" s="24" t="s">
        <v>51</v>
      </c>
      <c r="CN109" s="24" t="s">
        <v>51</v>
      </c>
      <c r="CO109" s="29"/>
      <c r="CP109" s="29"/>
      <c r="CQ109" s="29">
        <f t="shared" si="420"/>
        <v>0</v>
      </c>
      <c r="CR109" s="29">
        <f t="shared" si="420"/>
        <v>0</v>
      </c>
      <c r="CS109" s="24" t="s">
        <v>51</v>
      </c>
      <c r="CT109" s="24" t="s">
        <v>51</v>
      </c>
      <c r="CU109" s="29"/>
      <c r="CV109" s="29"/>
      <c r="CW109" s="29">
        <f t="shared" si="421"/>
        <v>0</v>
      </c>
      <c r="CX109" s="29">
        <f t="shared" si="421"/>
        <v>0</v>
      </c>
      <c r="CY109" s="24" t="s">
        <v>51</v>
      </c>
      <c r="CZ109" s="24" t="s">
        <v>51</v>
      </c>
      <c r="DA109" s="29"/>
      <c r="DB109" s="29"/>
      <c r="DC109" s="29">
        <f t="shared" si="422"/>
        <v>0</v>
      </c>
      <c r="DD109" s="29">
        <f t="shared" si="422"/>
        <v>0</v>
      </c>
      <c r="DE109" s="24" t="s">
        <v>51</v>
      </c>
      <c r="DF109" s="24" t="s">
        <v>51</v>
      </c>
      <c r="DG109" s="29"/>
      <c r="DH109" s="29"/>
      <c r="DI109" s="29">
        <f t="shared" si="423"/>
        <v>0</v>
      </c>
      <c r="DJ109" s="29">
        <f t="shared" si="423"/>
        <v>0</v>
      </c>
      <c r="DK109" s="24" t="s">
        <v>51</v>
      </c>
      <c r="DL109" s="24" t="s">
        <v>51</v>
      </c>
      <c r="DM109" s="29"/>
      <c r="DN109" s="29"/>
      <c r="DO109" s="30"/>
      <c r="DP109" s="30"/>
      <c r="DQ109" s="30"/>
      <c r="DR109" s="30"/>
      <c r="DS109" s="24" t="s">
        <v>51</v>
      </c>
      <c r="DT109" s="24" t="s">
        <v>51</v>
      </c>
      <c r="DU109" s="24" t="s">
        <v>51</v>
      </c>
      <c r="DV109" s="24" t="s">
        <v>51</v>
      </c>
      <c r="DW109" s="43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  <c r="IW109" s="65"/>
      <c r="IX109" s="65"/>
      <c r="IY109" s="65"/>
      <c r="IZ109" s="65"/>
      <c r="JA109" s="65"/>
      <c r="JB109" s="65"/>
      <c r="JC109" s="65"/>
      <c r="JD109" s="65"/>
      <c r="JE109" s="65"/>
      <c r="JF109" s="65"/>
      <c r="JG109" s="65"/>
      <c r="JH109" s="65"/>
    </row>
    <row r="110" spans="1:268" s="87" customFormat="1" ht="15.75" customHeight="1">
      <c r="A110" s="385" t="s">
        <v>79</v>
      </c>
      <c r="B110" s="386"/>
      <c r="C110" s="17">
        <f>'[1]прогноз '!B102</f>
        <v>0</v>
      </c>
      <c r="D110" s="17">
        <f>'[1]прогноз '!C102</f>
        <v>0</v>
      </c>
      <c r="E110" s="17"/>
      <c r="F110" s="17"/>
      <c r="G110" s="17"/>
      <c r="H110" s="17"/>
      <c r="I110" s="17"/>
      <c r="J110" s="17"/>
      <c r="K110" s="17">
        <f t="shared" si="404"/>
        <v>0</v>
      </c>
      <c r="L110" s="17">
        <f t="shared" si="404"/>
        <v>0</v>
      </c>
      <c r="M110" s="17"/>
      <c r="N110" s="17"/>
      <c r="O110" s="17">
        <f t="shared" si="405"/>
        <v>0</v>
      </c>
      <c r="P110" s="17">
        <f t="shared" si="405"/>
        <v>0</v>
      </c>
      <c r="Q110" s="17"/>
      <c r="R110" s="17"/>
      <c r="S110" s="17">
        <f t="shared" si="406"/>
        <v>0</v>
      </c>
      <c r="T110" s="17">
        <f t="shared" si="406"/>
        <v>0</v>
      </c>
      <c r="U110" s="17"/>
      <c r="V110" s="17"/>
      <c r="W110" s="17">
        <f t="shared" si="407"/>
        <v>0</v>
      </c>
      <c r="X110" s="17">
        <f t="shared" si="407"/>
        <v>0</v>
      </c>
      <c r="Y110" s="17"/>
      <c r="Z110" s="17"/>
      <c r="AA110" s="17">
        <f t="shared" si="408"/>
        <v>0</v>
      </c>
      <c r="AB110" s="17">
        <f t="shared" si="408"/>
        <v>0</v>
      </c>
      <c r="AC110" s="17"/>
      <c r="AD110" s="17"/>
      <c r="AE110" s="17">
        <f t="shared" si="409"/>
        <v>0</v>
      </c>
      <c r="AF110" s="17">
        <f t="shared" si="409"/>
        <v>0</v>
      </c>
      <c r="AG110" s="17"/>
      <c r="AH110" s="17"/>
      <c r="AI110" s="17">
        <f t="shared" si="410"/>
        <v>0</v>
      </c>
      <c r="AJ110" s="17">
        <f t="shared" si="410"/>
        <v>0</v>
      </c>
      <c r="AK110" s="17"/>
      <c r="AL110" s="17"/>
      <c r="AM110" s="17">
        <f t="shared" si="411"/>
        <v>0</v>
      </c>
      <c r="AN110" s="17">
        <f t="shared" si="411"/>
        <v>0</v>
      </c>
      <c r="AO110" s="17"/>
      <c r="AP110" s="17"/>
      <c r="AQ110" s="17">
        <f t="shared" si="412"/>
        <v>0</v>
      </c>
      <c r="AR110" s="17">
        <f t="shared" si="412"/>
        <v>0</v>
      </c>
      <c r="AS110" s="17"/>
      <c r="AT110" s="17"/>
      <c r="AU110" s="17">
        <f t="shared" si="413"/>
        <v>0</v>
      </c>
      <c r="AV110" s="17">
        <f t="shared" si="413"/>
        <v>0</v>
      </c>
      <c r="AW110" s="17"/>
      <c r="AX110" s="17"/>
      <c r="AY110" s="17" t="s">
        <v>51</v>
      </c>
      <c r="AZ110" s="17" t="s">
        <v>51</v>
      </c>
      <c r="BA110" s="20" t="s">
        <v>51</v>
      </c>
      <c r="BB110" s="20" t="s">
        <v>51</v>
      </c>
      <c r="BC110" s="17"/>
      <c r="BD110" s="17"/>
      <c r="BE110" s="17"/>
      <c r="BF110" s="17"/>
      <c r="BG110" s="17">
        <f t="shared" si="414"/>
        <v>0</v>
      </c>
      <c r="BH110" s="17">
        <f t="shared" si="414"/>
        <v>0</v>
      </c>
      <c r="BI110" s="20" t="s">
        <v>51</v>
      </c>
      <c r="BJ110" s="20" t="s">
        <v>51</v>
      </c>
      <c r="BK110" s="17"/>
      <c r="BL110" s="99"/>
      <c r="BM110" s="17">
        <f t="shared" si="415"/>
        <v>0</v>
      </c>
      <c r="BN110" s="17">
        <f t="shared" si="415"/>
        <v>0</v>
      </c>
      <c r="BO110" s="20" t="s">
        <v>51</v>
      </c>
      <c r="BP110" s="20" t="s">
        <v>51</v>
      </c>
      <c r="BQ110" s="17"/>
      <c r="BR110" s="17"/>
      <c r="BS110" s="17">
        <f t="shared" si="416"/>
        <v>0</v>
      </c>
      <c r="BT110" s="17">
        <f t="shared" si="416"/>
        <v>0</v>
      </c>
      <c r="BU110" s="20" t="s">
        <v>51</v>
      </c>
      <c r="BV110" s="20" t="s">
        <v>51</v>
      </c>
      <c r="BW110" s="17"/>
      <c r="BX110" s="17"/>
      <c r="BY110" s="17">
        <f t="shared" si="417"/>
        <v>0</v>
      </c>
      <c r="BZ110" s="17">
        <f t="shared" si="417"/>
        <v>0</v>
      </c>
      <c r="CA110" s="20" t="s">
        <v>51</v>
      </c>
      <c r="CB110" s="20" t="s">
        <v>51</v>
      </c>
      <c r="CC110" s="17"/>
      <c r="CD110" s="17"/>
      <c r="CE110" s="17">
        <f t="shared" si="418"/>
        <v>0</v>
      </c>
      <c r="CF110" s="17">
        <f t="shared" si="418"/>
        <v>0</v>
      </c>
      <c r="CG110" s="20" t="s">
        <v>51</v>
      </c>
      <c r="CH110" s="20" t="s">
        <v>51</v>
      </c>
      <c r="CI110" s="17"/>
      <c r="CJ110" s="17"/>
      <c r="CK110" s="17">
        <f t="shared" si="419"/>
        <v>0</v>
      </c>
      <c r="CL110" s="17">
        <f t="shared" si="419"/>
        <v>0</v>
      </c>
      <c r="CM110" s="20" t="s">
        <v>51</v>
      </c>
      <c r="CN110" s="20" t="s">
        <v>51</v>
      </c>
      <c r="CO110" s="17"/>
      <c r="CP110" s="17"/>
      <c r="CQ110" s="17">
        <f t="shared" si="420"/>
        <v>0</v>
      </c>
      <c r="CR110" s="17">
        <f t="shared" si="420"/>
        <v>0</v>
      </c>
      <c r="CS110" s="20" t="s">
        <v>51</v>
      </c>
      <c r="CT110" s="20" t="s">
        <v>51</v>
      </c>
      <c r="CU110" s="17"/>
      <c r="CV110" s="17"/>
      <c r="CW110" s="17">
        <f t="shared" si="421"/>
        <v>0</v>
      </c>
      <c r="CX110" s="17">
        <f t="shared" si="421"/>
        <v>0</v>
      </c>
      <c r="CY110" s="20" t="s">
        <v>51</v>
      </c>
      <c r="CZ110" s="20" t="s">
        <v>51</v>
      </c>
      <c r="DA110" s="17"/>
      <c r="DB110" s="17"/>
      <c r="DC110" s="17">
        <f t="shared" si="422"/>
        <v>0</v>
      </c>
      <c r="DD110" s="17">
        <f t="shared" si="422"/>
        <v>0</v>
      </c>
      <c r="DE110" s="20" t="s">
        <v>51</v>
      </c>
      <c r="DF110" s="20" t="s">
        <v>51</v>
      </c>
      <c r="DG110" s="17"/>
      <c r="DH110" s="17"/>
      <c r="DI110" s="17">
        <f t="shared" si="423"/>
        <v>0</v>
      </c>
      <c r="DJ110" s="17">
        <f t="shared" si="423"/>
        <v>0</v>
      </c>
      <c r="DK110" s="20" t="s">
        <v>51</v>
      </c>
      <c r="DL110" s="20" t="s">
        <v>51</v>
      </c>
      <c r="DM110" s="17"/>
      <c r="DN110" s="17"/>
      <c r="DO110" s="17"/>
      <c r="DP110" s="17"/>
      <c r="DQ110" s="17"/>
      <c r="DR110" s="17"/>
      <c r="DS110" s="20" t="s">
        <v>51</v>
      </c>
      <c r="DT110" s="20" t="s">
        <v>51</v>
      </c>
      <c r="DU110" s="20" t="s">
        <v>51</v>
      </c>
      <c r="DV110" s="20" t="s">
        <v>51</v>
      </c>
      <c r="DW110" s="44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  <c r="EL110" s="88"/>
      <c r="EM110" s="88"/>
      <c r="EN110" s="88"/>
      <c r="EO110" s="88"/>
      <c r="EP110" s="88"/>
      <c r="EQ110" s="88"/>
      <c r="ER110" s="88"/>
      <c r="ES110" s="88"/>
      <c r="ET110" s="88"/>
      <c r="EU110" s="88"/>
      <c r="EV110" s="88"/>
      <c r="EW110" s="88"/>
      <c r="EX110" s="88"/>
      <c r="EY110" s="88"/>
      <c r="EZ110" s="88"/>
      <c r="FA110" s="88"/>
      <c r="FB110" s="88"/>
      <c r="FC110" s="88"/>
      <c r="FD110" s="88"/>
      <c r="FE110" s="88"/>
      <c r="FF110" s="88"/>
      <c r="FG110" s="88"/>
      <c r="FH110" s="88"/>
      <c r="FI110" s="88"/>
      <c r="FJ110" s="88"/>
      <c r="FK110" s="88"/>
      <c r="FL110" s="88"/>
      <c r="FM110" s="88"/>
      <c r="FN110" s="88"/>
      <c r="FO110" s="88"/>
      <c r="FP110" s="88"/>
      <c r="FQ110" s="88"/>
      <c r="FR110" s="88"/>
      <c r="FS110" s="88"/>
      <c r="FT110" s="88"/>
      <c r="FU110" s="88"/>
      <c r="FV110" s="88"/>
      <c r="FW110" s="88"/>
      <c r="FX110" s="88"/>
      <c r="FY110" s="88"/>
      <c r="FZ110" s="88"/>
      <c r="GA110" s="88"/>
      <c r="GB110" s="88"/>
      <c r="GC110" s="88"/>
      <c r="GD110" s="88"/>
      <c r="GE110" s="88"/>
      <c r="GF110" s="88"/>
      <c r="GG110" s="88"/>
      <c r="GH110" s="88"/>
      <c r="GI110" s="88"/>
      <c r="GJ110" s="88"/>
      <c r="GK110" s="88"/>
      <c r="GL110" s="88"/>
      <c r="GM110" s="88"/>
      <c r="GN110" s="88"/>
      <c r="GO110" s="88"/>
      <c r="GP110" s="88"/>
      <c r="GQ110" s="88"/>
      <c r="GR110" s="88"/>
      <c r="GS110" s="88"/>
      <c r="GT110" s="88"/>
      <c r="GU110" s="88"/>
      <c r="GV110" s="88"/>
      <c r="GW110" s="88"/>
      <c r="GX110" s="88"/>
      <c r="GY110" s="88"/>
      <c r="GZ110" s="88"/>
      <c r="HA110" s="88"/>
      <c r="HB110" s="88"/>
      <c r="HC110" s="88"/>
      <c r="HD110" s="88"/>
      <c r="HE110" s="88"/>
      <c r="HF110" s="88"/>
      <c r="HG110" s="88"/>
      <c r="HH110" s="88"/>
      <c r="HI110" s="88"/>
      <c r="HJ110" s="88"/>
      <c r="HK110" s="88"/>
      <c r="HL110" s="88"/>
      <c r="HM110" s="88"/>
      <c r="HN110" s="88"/>
      <c r="HO110" s="88"/>
      <c r="HP110" s="88"/>
      <c r="HQ110" s="88"/>
      <c r="HR110" s="88"/>
      <c r="HS110" s="88"/>
      <c r="HT110" s="88"/>
      <c r="HU110" s="88"/>
      <c r="HV110" s="88"/>
      <c r="HW110" s="88"/>
      <c r="HX110" s="88"/>
      <c r="HY110" s="88"/>
      <c r="HZ110" s="88"/>
      <c r="IA110" s="88"/>
      <c r="IB110" s="88"/>
      <c r="IC110" s="88"/>
      <c r="ID110" s="88"/>
      <c r="IE110" s="88"/>
      <c r="IF110" s="88"/>
      <c r="IG110" s="88"/>
      <c r="IH110" s="88"/>
      <c r="II110" s="88"/>
      <c r="IJ110" s="88"/>
      <c r="IK110" s="88"/>
      <c r="IL110" s="88"/>
      <c r="IM110" s="88"/>
      <c r="IN110" s="88"/>
      <c r="IO110" s="88"/>
      <c r="IP110" s="88"/>
      <c r="IQ110" s="88"/>
      <c r="IR110" s="88"/>
      <c r="IS110" s="88"/>
      <c r="IT110" s="88"/>
      <c r="IU110" s="88"/>
      <c r="IV110" s="88"/>
      <c r="IW110" s="88"/>
      <c r="IX110" s="88"/>
      <c r="IY110" s="88"/>
      <c r="IZ110" s="88"/>
      <c r="JA110" s="88"/>
      <c r="JB110" s="88"/>
      <c r="JC110" s="88"/>
      <c r="JD110" s="88"/>
      <c r="JE110" s="88"/>
      <c r="JF110" s="88"/>
      <c r="JG110" s="88"/>
      <c r="JH110" s="88"/>
    </row>
    <row r="111" spans="1:268" s="82" customFormat="1" ht="17.25">
      <c r="A111" s="286" t="s">
        <v>134</v>
      </c>
      <c r="B111" s="287"/>
      <c r="C111" s="115"/>
      <c r="D111" s="115"/>
      <c r="E111" s="115"/>
      <c r="F111" s="115"/>
      <c r="G111" s="115"/>
      <c r="H111" s="115"/>
      <c r="I111" s="115"/>
      <c r="J111" s="115"/>
      <c r="K111" s="117">
        <f t="shared" ref="K111:L111" si="424">G111+I111</f>
        <v>0</v>
      </c>
      <c r="L111" s="117">
        <f t="shared" si="424"/>
        <v>0</v>
      </c>
      <c r="M111" s="115"/>
      <c r="N111" s="115"/>
      <c r="O111" s="117">
        <f t="shared" ref="O111:P111" si="425">K111+M111</f>
        <v>0</v>
      </c>
      <c r="P111" s="117">
        <f t="shared" si="425"/>
        <v>0</v>
      </c>
      <c r="Q111" s="115"/>
      <c r="R111" s="115"/>
      <c r="S111" s="117">
        <f t="shared" ref="S111:T111" si="426">O111+Q111</f>
        <v>0</v>
      </c>
      <c r="T111" s="117">
        <f t="shared" si="426"/>
        <v>0</v>
      </c>
      <c r="U111" s="115"/>
      <c r="V111" s="115"/>
      <c r="W111" s="117">
        <f t="shared" ref="W111:X111" si="427">S111+U111</f>
        <v>0</v>
      </c>
      <c r="X111" s="117">
        <f t="shared" si="427"/>
        <v>0</v>
      </c>
      <c r="Y111" s="115"/>
      <c r="Z111" s="115"/>
      <c r="AA111" s="117">
        <f t="shared" ref="AA111:AB111" si="428">W111+Y111</f>
        <v>0</v>
      </c>
      <c r="AB111" s="117">
        <f t="shared" si="428"/>
        <v>0</v>
      </c>
      <c r="AC111" s="115"/>
      <c r="AD111" s="115"/>
      <c r="AE111" s="117">
        <f t="shared" ref="AE111:AF111" si="429">AA111+AC111</f>
        <v>0</v>
      </c>
      <c r="AF111" s="117">
        <f t="shared" si="429"/>
        <v>0</v>
      </c>
      <c r="AG111" s="115"/>
      <c r="AH111" s="115"/>
      <c r="AI111" s="117">
        <f t="shared" ref="AI111:AJ111" si="430">AE111+AG111</f>
        <v>0</v>
      </c>
      <c r="AJ111" s="117">
        <f t="shared" si="430"/>
        <v>0</v>
      </c>
      <c r="AK111" s="115"/>
      <c r="AL111" s="116"/>
      <c r="AM111" s="117">
        <f t="shared" ref="AM111:AN111" si="431">AI111+AK111</f>
        <v>0</v>
      </c>
      <c r="AN111" s="117">
        <f t="shared" si="431"/>
        <v>0</v>
      </c>
      <c r="AO111" s="115"/>
      <c r="AP111" s="115"/>
      <c r="AQ111" s="117">
        <f t="shared" ref="AQ111:AR111" si="432">AM111+AO111</f>
        <v>0</v>
      </c>
      <c r="AR111" s="117">
        <f t="shared" si="432"/>
        <v>0</v>
      </c>
      <c r="AS111" s="115"/>
      <c r="AT111" s="115"/>
      <c r="AU111" s="117">
        <f t="shared" ref="AU111:AV111" si="433">AQ111+AS111</f>
        <v>0</v>
      </c>
      <c r="AV111" s="117">
        <f t="shared" si="433"/>
        <v>0</v>
      </c>
      <c r="AW111" s="115"/>
      <c r="AX111" s="115"/>
      <c r="AY111" s="115"/>
      <c r="AZ111" s="115"/>
      <c r="BA111" s="19">
        <f t="shared" ref="BA111:BB111" si="434">IF(E111=0,1,AY111/E111-1)</f>
        <v>1</v>
      </c>
      <c r="BB111" s="19">
        <f t="shared" si="434"/>
        <v>1</v>
      </c>
      <c r="BC111" s="115"/>
      <c r="BD111" s="115"/>
      <c r="BE111" s="115"/>
      <c r="BF111" s="115"/>
      <c r="BG111" s="117">
        <f t="shared" ref="BG111:BH111" si="435">BC111+BE111</f>
        <v>0</v>
      </c>
      <c r="BH111" s="117">
        <f t="shared" si="435"/>
        <v>0</v>
      </c>
      <c r="BI111" s="19">
        <f t="shared" ref="BI111:BJ111" si="436">IF(K111=0,1,BG111/K111-1)</f>
        <v>1</v>
      </c>
      <c r="BJ111" s="19">
        <f t="shared" si="436"/>
        <v>1</v>
      </c>
      <c r="BK111" s="115"/>
      <c r="BL111" s="115"/>
      <c r="BM111" s="117">
        <f t="shared" ref="BM111:BN111" si="437">BG111+BK111</f>
        <v>0</v>
      </c>
      <c r="BN111" s="117">
        <f t="shared" si="437"/>
        <v>0</v>
      </c>
      <c r="BO111" s="19">
        <f t="shared" ref="BO111:BP111" si="438">IF(O111=0,1,BM111/O111-1)</f>
        <v>1</v>
      </c>
      <c r="BP111" s="19">
        <f t="shared" si="438"/>
        <v>1</v>
      </c>
      <c r="BQ111" s="115"/>
      <c r="BR111" s="115"/>
      <c r="BS111" s="117">
        <f t="shared" ref="BS111:BT111" si="439">BM111+BQ111</f>
        <v>0</v>
      </c>
      <c r="BT111" s="117">
        <f t="shared" si="439"/>
        <v>0</v>
      </c>
      <c r="BU111" s="19">
        <f t="shared" ref="BU111:BV111" si="440">IF(S111=0,1,BS111/S111-1)</f>
        <v>1</v>
      </c>
      <c r="BV111" s="19">
        <f t="shared" si="440"/>
        <v>1</v>
      </c>
      <c r="BW111" s="115"/>
      <c r="BX111" s="115"/>
      <c r="BY111" s="117">
        <f t="shared" ref="BY111:BZ111" si="441">BS111+BW111</f>
        <v>0</v>
      </c>
      <c r="BZ111" s="117">
        <f t="shared" si="441"/>
        <v>0</v>
      </c>
      <c r="CA111" s="19">
        <f t="shared" ref="CA111:CB111" si="442">IF(W111=0,1,BY111/W111-1)</f>
        <v>1</v>
      </c>
      <c r="CB111" s="19">
        <f t="shared" si="442"/>
        <v>1</v>
      </c>
      <c r="CC111" s="115"/>
      <c r="CD111" s="115"/>
      <c r="CE111" s="117">
        <f t="shared" ref="CE111:CF111" si="443">BY111+CC111</f>
        <v>0</v>
      </c>
      <c r="CF111" s="117">
        <f t="shared" si="443"/>
        <v>0</v>
      </c>
      <c r="CG111" s="19">
        <f t="shared" ref="CG111:CH111" si="444">IF(AA111=0,1,CE111/AA111-1)</f>
        <v>1</v>
      </c>
      <c r="CH111" s="19">
        <f t="shared" si="444"/>
        <v>1</v>
      </c>
      <c r="CI111" s="115"/>
      <c r="CJ111" s="115"/>
      <c r="CK111" s="117">
        <f t="shared" ref="CK111:CL111" si="445">CE111+CI111</f>
        <v>0</v>
      </c>
      <c r="CL111" s="117">
        <f t="shared" si="445"/>
        <v>0</v>
      </c>
      <c r="CM111" s="19">
        <f t="shared" ref="CM111:CN111" si="446">IF(AE111=0,1,CK111/AE111-1)</f>
        <v>1</v>
      </c>
      <c r="CN111" s="19">
        <f t="shared" si="446"/>
        <v>1</v>
      </c>
      <c r="CO111" s="115"/>
      <c r="CP111" s="115"/>
      <c r="CQ111" s="117">
        <f t="shared" ref="CQ111:CR111" si="447">CK111+CO111</f>
        <v>0</v>
      </c>
      <c r="CR111" s="117">
        <f t="shared" si="447"/>
        <v>0</v>
      </c>
      <c r="CS111" s="19">
        <f t="shared" ref="CS111:CT111" si="448">IF(AI111=0,1,CQ111/AI111-1)</f>
        <v>1</v>
      </c>
      <c r="CT111" s="19">
        <f t="shared" si="448"/>
        <v>1</v>
      </c>
      <c r="CU111" s="115"/>
      <c r="CV111" s="115"/>
      <c r="CW111" s="117">
        <f t="shared" ref="CW111:CX111" si="449">CQ111+CU111</f>
        <v>0</v>
      </c>
      <c r="CX111" s="117">
        <f t="shared" si="449"/>
        <v>0</v>
      </c>
      <c r="CY111" s="19">
        <f t="shared" ref="CY111:CZ111" si="450">IF(AM111=0,1,CW111/AM111-1)</f>
        <v>1</v>
      </c>
      <c r="CZ111" s="19">
        <f t="shared" si="450"/>
        <v>1</v>
      </c>
      <c r="DA111" s="115"/>
      <c r="DB111" s="115"/>
      <c r="DC111" s="117">
        <f t="shared" ref="DC111:DD111" si="451">CW111+DA111</f>
        <v>0</v>
      </c>
      <c r="DD111" s="117">
        <f t="shared" si="451"/>
        <v>0</v>
      </c>
      <c r="DE111" s="19">
        <f t="shared" ref="DE111:DF111" si="452">IF(AQ111=0,1,DC111/AQ111-1)</f>
        <v>1</v>
      </c>
      <c r="DF111" s="19">
        <f t="shared" si="452"/>
        <v>1</v>
      </c>
      <c r="DG111" s="115"/>
      <c r="DH111" s="115"/>
      <c r="DI111" s="117">
        <f t="shared" ref="DI111:DJ111" si="453">DC111+DG111</f>
        <v>0</v>
      </c>
      <c r="DJ111" s="117">
        <f t="shared" si="453"/>
        <v>0</v>
      </c>
      <c r="DK111" s="19">
        <f t="shared" ref="DK111:DL111" si="454">IF(AU111=0,1,DI111/AU111-1)</f>
        <v>1</v>
      </c>
      <c r="DL111" s="19">
        <f t="shared" si="454"/>
        <v>1</v>
      </c>
      <c r="DM111" s="115"/>
      <c r="DN111" s="115"/>
      <c r="DO111" s="115"/>
      <c r="DP111" s="115"/>
      <c r="DQ111" s="115"/>
      <c r="DR111" s="115"/>
      <c r="DS111" s="19">
        <f>IF($AY$23=0,1,DQ111/$AY$23-1)</f>
        <v>1</v>
      </c>
      <c r="DT111" s="19">
        <f>IF($AZ$23=0,1,DR111/$AZ$23-1)</f>
        <v>1</v>
      </c>
      <c r="DU111" s="19">
        <f>IF($E$23=0,1,DQ111/$E$23-1)</f>
        <v>1</v>
      </c>
      <c r="DV111" s="19">
        <f>IF($E$23=0,1,DR111/$E$23-1)</f>
        <v>1</v>
      </c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83"/>
      <c r="GI111" s="83"/>
      <c r="GJ111" s="83"/>
      <c r="GK111" s="83"/>
      <c r="GL111" s="83"/>
      <c r="GM111" s="83"/>
      <c r="GN111" s="83"/>
      <c r="GO111" s="83"/>
      <c r="GP111" s="83"/>
      <c r="GQ111" s="83"/>
      <c r="GR111" s="83"/>
      <c r="GS111" s="83"/>
      <c r="GT111" s="83"/>
      <c r="GU111" s="83"/>
      <c r="GV111" s="83"/>
      <c r="GW111" s="83"/>
      <c r="GX111" s="83"/>
      <c r="GY111" s="83"/>
      <c r="GZ111" s="83"/>
      <c r="HA111" s="83"/>
      <c r="HB111" s="83"/>
      <c r="HC111" s="83"/>
      <c r="HD111" s="83"/>
      <c r="HE111" s="83"/>
      <c r="HF111" s="83"/>
      <c r="HG111" s="83"/>
      <c r="HH111" s="83"/>
      <c r="HI111" s="83"/>
      <c r="HJ111" s="83"/>
      <c r="HK111" s="83"/>
      <c r="HL111" s="83"/>
      <c r="HM111" s="83"/>
      <c r="HN111" s="83"/>
      <c r="HO111" s="83"/>
      <c r="HP111" s="83"/>
      <c r="HQ111" s="83"/>
      <c r="HR111" s="83"/>
      <c r="HS111" s="83"/>
      <c r="HT111" s="83"/>
      <c r="HU111" s="83"/>
      <c r="HV111" s="83"/>
      <c r="HW111" s="83"/>
      <c r="HX111" s="83"/>
      <c r="HY111" s="83"/>
      <c r="HZ111" s="83"/>
      <c r="IA111" s="83"/>
      <c r="IB111" s="83"/>
      <c r="IC111" s="83"/>
      <c r="ID111" s="83"/>
      <c r="IE111" s="83"/>
      <c r="IF111" s="83"/>
      <c r="IG111" s="83"/>
      <c r="IH111" s="83"/>
      <c r="II111" s="83"/>
      <c r="IJ111" s="83"/>
      <c r="IK111" s="83"/>
      <c r="IL111" s="83"/>
      <c r="IM111" s="83"/>
      <c r="IN111" s="83"/>
      <c r="IO111" s="83"/>
      <c r="IP111" s="83"/>
      <c r="IQ111" s="83"/>
      <c r="IR111" s="83"/>
      <c r="IS111" s="83"/>
      <c r="IT111" s="83"/>
      <c r="IU111" s="83"/>
      <c r="IV111" s="83"/>
      <c r="IW111" s="83"/>
      <c r="IX111" s="83"/>
      <c r="IY111" s="83"/>
      <c r="IZ111" s="83"/>
      <c r="JA111" s="83"/>
      <c r="JB111" s="83"/>
      <c r="JC111" s="83"/>
      <c r="JD111" s="83"/>
      <c r="JE111" s="83"/>
      <c r="JF111" s="83"/>
      <c r="JG111" s="83"/>
      <c r="JH111" s="83"/>
    </row>
    <row r="112" spans="1:268" s="66" customFormat="1">
      <c r="A112" s="89"/>
      <c r="B112" s="89"/>
      <c r="C112" s="89"/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91"/>
      <c r="DW112" s="91"/>
      <c r="DX112" s="91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  <c r="IW112" s="65"/>
      <c r="IX112" s="65"/>
      <c r="IY112" s="65"/>
      <c r="IZ112" s="65"/>
      <c r="JA112" s="65"/>
      <c r="JB112" s="65"/>
      <c r="JC112" s="65"/>
      <c r="JD112" s="65"/>
      <c r="JE112" s="65"/>
      <c r="JF112" s="65"/>
      <c r="JG112" s="65"/>
      <c r="JH112" s="65"/>
    </row>
    <row r="113" spans="1:268" s="66" customFormat="1">
      <c r="A113" s="89"/>
      <c r="B113" s="89"/>
      <c r="C113" s="89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91"/>
      <c r="DW113" s="91"/>
      <c r="DX113" s="91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  <c r="IW113" s="65"/>
      <c r="IX113" s="65"/>
      <c r="IY113" s="65"/>
      <c r="IZ113" s="65"/>
      <c r="JA113" s="65"/>
      <c r="JB113" s="65"/>
      <c r="JC113" s="65"/>
      <c r="JD113" s="65"/>
      <c r="JE113" s="65"/>
      <c r="JF113" s="65"/>
      <c r="JG113" s="65"/>
      <c r="JH113" s="65"/>
    </row>
    <row r="114" spans="1:268" s="66" customFormat="1">
      <c r="A114" s="89"/>
      <c r="B114" s="89"/>
      <c r="C114" s="89"/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91"/>
      <c r="DW114" s="91"/>
      <c r="DX114" s="91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  <c r="IW114" s="65"/>
      <c r="IX114" s="65"/>
      <c r="IY114" s="65"/>
      <c r="IZ114" s="65"/>
      <c r="JA114" s="65"/>
      <c r="JB114" s="65"/>
      <c r="JC114" s="65"/>
      <c r="JD114" s="65"/>
      <c r="JE114" s="65"/>
      <c r="JF114" s="65"/>
      <c r="JG114" s="65"/>
      <c r="JH114" s="65"/>
    </row>
    <row r="115" spans="1:268" s="66" customFormat="1">
      <c r="A115" s="89"/>
      <c r="B115" s="89"/>
      <c r="C115" s="89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91"/>
      <c r="DW115" s="91"/>
      <c r="DX115" s="91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5"/>
      <c r="IW115" s="65"/>
      <c r="IX115" s="65"/>
      <c r="IY115" s="65"/>
      <c r="IZ115" s="65"/>
      <c r="JA115" s="65"/>
      <c r="JB115" s="65"/>
      <c r="JC115" s="65"/>
      <c r="JD115" s="65"/>
      <c r="JE115" s="65"/>
      <c r="JF115" s="65"/>
      <c r="JG115" s="65"/>
      <c r="JH115" s="65"/>
    </row>
    <row r="116" spans="1:268" s="66" customFormat="1">
      <c r="A116" s="89"/>
      <c r="B116" s="89"/>
      <c r="C116" s="89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91"/>
      <c r="DW116" s="91"/>
      <c r="DX116" s="91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  <c r="IW116" s="65"/>
      <c r="IX116" s="65"/>
      <c r="IY116" s="65"/>
      <c r="IZ116" s="65"/>
      <c r="JA116" s="65"/>
      <c r="JB116" s="65"/>
      <c r="JC116" s="65"/>
      <c r="JD116" s="65"/>
      <c r="JE116" s="65"/>
      <c r="JF116" s="65"/>
      <c r="JG116" s="65"/>
      <c r="JH116" s="65"/>
    </row>
    <row r="117" spans="1:268" s="66" customFormat="1">
      <c r="A117" s="89"/>
      <c r="B117" s="89"/>
      <c r="C117" s="89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91"/>
      <c r="DW117" s="91"/>
      <c r="DX117" s="91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  <c r="IS117" s="65"/>
      <c r="IT117" s="65"/>
      <c r="IU117" s="65"/>
      <c r="IV117" s="65"/>
      <c r="IW117" s="65"/>
      <c r="IX117" s="65"/>
      <c r="IY117" s="65"/>
      <c r="IZ117" s="65"/>
      <c r="JA117" s="65"/>
      <c r="JB117" s="65"/>
      <c r="JC117" s="65"/>
      <c r="JD117" s="65"/>
      <c r="JE117" s="65"/>
      <c r="JF117" s="65"/>
      <c r="JG117" s="65"/>
      <c r="JH117" s="65"/>
    </row>
    <row r="118" spans="1:268" s="66" customFormat="1">
      <c r="A118" s="89"/>
      <c r="B118" s="89"/>
      <c r="C118" s="89"/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91"/>
      <c r="DW118" s="91"/>
      <c r="DX118" s="91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  <c r="IW118" s="65"/>
      <c r="IX118" s="65"/>
      <c r="IY118" s="65"/>
      <c r="IZ118" s="65"/>
      <c r="JA118" s="65"/>
      <c r="JB118" s="65"/>
      <c r="JC118" s="65"/>
      <c r="JD118" s="65"/>
      <c r="JE118" s="65"/>
      <c r="JF118" s="65"/>
      <c r="JG118" s="65"/>
      <c r="JH118" s="65"/>
    </row>
    <row r="119" spans="1:268" s="66" customFormat="1">
      <c r="A119" s="89"/>
      <c r="B119" s="89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91"/>
      <c r="DW119" s="91"/>
      <c r="DX119" s="91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  <c r="IW119" s="65"/>
      <c r="IX119" s="65"/>
      <c r="IY119" s="65"/>
      <c r="IZ119" s="65"/>
      <c r="JA119" s="65"/>
      <c r="JB119" s="65"/>
      <c r="JC119" s="65"/>
      <c r="JD119" s="65"/>
      <c r="JE119" s="65"/>
      <c r="JF119" s="65"/>
      <c r="JG119" s="65"/>
      <c r="JH119" s="65"/>
    </row>
    <row r="120" spans="1:268" s="66" customFormat="1">
      <c r="A120" s="89"/>
      <c r="B120" s="89"/>
      <c r="C120" s="89"/>
      <c r="D120" s="8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91"/>
      <c r="DW120" s="91"/>
      <c r="DX120" s="91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  <c r="IW120" s="65"/>
      <c r="IX120" s="65"/>
      <c r="IY120" s="65"/>
      <c r="IZ120" s="65"/>
      <c r="JA120" s="65"/>
      <c r="JB120" s="65"/>
      <c r="JC120" s="65"/>
      <c r="JD120" s="65"/>
      <c r="JE120" s="65"/>
      <c r="JF120" s="65"/>
      <c r="JG120" s="65"/>
      <c r="JH120" s="65"/>
    </row>
    <row r="121" spans="1:268" s="66" customFormat="1">
      <c r="A121" s="89"/>
      <c r="B121" s="89"/>
      <c r="C121" s="89"/>
      <c r="D121" s="89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91"/>
      <c r="DW121" s="91"/>
      <c r="DX121" s="91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65"/>
      <c r="IZ121" s="65"/>
      <c r="JA121" s="65"/>
      <c r="JB121" s="65"/>
      <c r="JC121" s="65"/>
      <c r="JD121" s="65"/>
      <c r="JE121" s="65"/>
      <c r="JF121" s="65"/>
      <c r="JG121" s="65"/>
      <c r="JH121" s="65"/>
    </row>
    <row r="122" spans="1:268" s="66" customFormat="1">
      <c r="A122" s="89"/>
      <c r="B122" s="89"/>
      <c r="C122" s="89"/>
      <c r="D122" s="89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91"/>
      <c r="DW122" s="91"/>
      <c r="DX122" s="91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  <c r="IW122" s="65"/>
      <c r="IX122" s="65"/>
      <c r="IY122" s="65"/>
      <c r="IZ122" s="65"/>
      <c r="JA122" s="65"/>
      <c r="JB122" s="65"/>
      <c r="JC122" s="65"/>
      <c r="JD122" s="65"/>
      <c r="JE122" s="65"/>
      <c r="JF122" s="65"/>
      <c r="JG122" s="65"/>
      <c r="JH122" s="65"/>
    </row>
    <row r="123" spans="1:268" s="66" customFormat="1">
      <c r="A123" s="89"/>
      <c r="B123" s="89"/>
      <c r="C123" s="89"/>
      <c r="D123" s="89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91"/>
      <c r="DW123" s="91"/>
      <c r="DX123" s="91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  <c r="IW123" s="65"/>
      <c r="IX123" s="65"/>
      <c r="IY123" s="65"/>
      <c r="IZ123" s="65"/>
      <c r="JA123" s="65"/>
      <c r="JB123" s="65"/>
      <c r="JC123" s="65"/>
      <c r="JD123" s="65"/>
      <c r="JE123" s="65"/>
      <c r="JF123" s="65"/>
      <c r="JG123" s="65"/>
      <c r="JH123" s="65"/>
    </row>
    <row r="124" spans="1:268" s="66" customFormat="1">
      <c r="A124" s="89"/>
      <c r="B124" s="89"/>
      <c r="C124" s="89"/>
      <c r="D124" s="89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91"/>
      <c r="DW124" s="91"/>
      <c r="DX124" s="91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  <c r="IW124" s="65"/>
      <c r="IX124" s="65"/>
      <c r="IY124" s="65"/>
      <c r="IZ124" s="65"/>
      <c r="JA124" s="65"/>
      <c r="JB124" s="65"/>
      <c r="JC124" s="65"/>
      <c r="JD124" s="65"/>
      <c r="JE124" s="65"/>
      <c r="JF124" s="65"/>
      <c r="JG124" s="65"/>
      <c r="JH124" s="65"/>
    </row>
    <row r="125" spans="1:268" s="66" customFormat="1">
      <c r="A125" s="89"/>
      <c r="B125" s="89"/>
      <c r="C125" s="89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91"/>
      <c r="DW125" s="91"/>
      <c r="DX125" s="91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  <c r="IW125" s="65"/>
      <c r="IX125" s="65"/>
      <c r="IY125" s="65"/>
      <c r="IZ125" s="65"/>
      <c r="JA125" s="65"/>
      <c r="JB125" s="65"/>
      <c r="JC125" s="65"/>
      <c r="JD125" s="65"/>
      <c r="JE125" s="65"/>
      <c r="JF125" s="65"/>
      <c r="JG125" s="65"/>
      <c r="JH125" s="65"/>
    </row>
    <row r="126" spans="1:268" s="66" customFormat="1">
      <c r="A126" s="89"/>
      <c r="B126" s="89"/>
      <c r="C126" s="89"/>
      <c r="D126" s="89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91"/>
      <c r="DW126" s="91"/>
      <c r="DX126" s="91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  <c r="IW126" s="65"/>
      <c r="IX126" s="65"/>
      <c r="IY126" s="65"/>
      <c r="IZ126" s="65"/>
      <c r="JA126" s="65"/>
      <c r="JB126" s="65"/>
      <c r="JC126" s="65"/>
      <c r="JD126" s="65"/>
      <c r="JE126" s="65"/>
      <c r="JF126" s="65"/>
      <c r="JG126" s="65"/>
      <c r="JH126" s="65"/>
    </row>
    <row r="127" spans="1:268" s="66" customFormat="1">
      <c r="A127" s="89"/>
      <c r="B127" s="89"/>
      <c r="C127" s="89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91"/>
      <c r="DW127" s="91"/>
      <c r="DX127" s="91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  <c r="IW127" s="65"/>
      <c r="IX127" s="65"/>
      <c r="IY127" s="65"/>
      <c r="IZ127" s="65"/>
      <c r="JA127" s="65"/>
      <c r="JB127" s="65"/>
      <c r="JC127" s="65"/>
      <c r="JD127" s="65"/>
      <c r="JE127" s="65"/>
      <c r="JF127" s="65"/>
      <c r="JG127" s="65"/>
      <c r="JH127" s="65"/>
    </row>
    <row r="128" spans="1:268" s="66" customFormat="1">
      <c r="A128" s="89"/>
      <c r="B128" s="89"/>
      <c r="C128" s="89"/>
      <c r="D128" s="89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91"/>
      <c r="DW128" s="91"/>
      <c r="DX128" s="91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  <c r="IW128" s="65"/>
      <c r="IX128" s="65"/>
      <c r="IY128" s="65"/>
      <c r="IZ128" s="65"/>
      <c r="JA128" s="65"/>
      <c r="JB128" s="65"/>
      <c r="JC128" s="65"/>
      <c r="JD128" s="65"/>
      <c r="JE128" s="65"/>
      <c r="JF128" s="65"/>
      <c r="JG128" s="65"/>
      <c r="JH128" s="65"/>
    </row>
    <row r="129" spans="1:268" s="66" customFormat="1">
      <c r="A129" s="89"/>
      <c r="B129" s="89"/>
      <c r="C129" s="89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91"/>
      <c r="DW129" s="91"/>
      <c r="DX129" s="91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  <c r="IW129" s="65"/>
      <c r="IX129" s="65"/>
      <c r="IY129" s="65"/>
      <c r="IZ129" s="65"/>
      <c r="JA129" s="65"/>
      <c r="JB129" s="65"/>
      <c r="JC129" s="65"/>
      <c r="JD129" s="65"/>
      <c r="JE129" s="65"/>
      <c r="JF129" s="65"/>
      <c r="JG129" s="65"/>
      <c r="JH129" s="65"/>
    </row>
    <row r="130" spans="1:268" s="66" customFormat="1">
      <c r="A130" s="89"/>
      <c r="B130" s="89"/>
      <c r="C130" s="89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91"/>
      <c r="DW130" s="91"/>
      <c r="DX130" s="91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  <c r="IW130" s="65"/>
      <c r="IX130" s="65"/>
      <c r="IY130" s="65"/>
      <c r="IZ130" s="65"/>
      <c r="JA130" s="65"/>
      <c r="JB130" s="65"/>
      <c r="JC130" s="65"/>
      <c r="JD130" s="65"/>
      <c r="JE130" s="65"/>
      <c r="JF130" s="65"/>
      <c r="JG130" s="65"/>
      <c r="JH130" s="65"/>
    </row>
    <row r="131" spans="1:268" s="66" customFormat="1">
      <c r="A131" s="89"/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91"/>
      <c r="DW131" s="91"/>
      <c r="DX131" s="91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  <c r="IW131" s="65"/>
      <c r="IX131" s="65"/>
      <c r="IY131" s="65"/>
      <c r="IZ131" s="65"/>
      <c r="JA131" s="65"/>
      <c r="JB131" s="65"/>
      <c r="JC131" s="65"/>
      <c r="JD131" s="65"/>
      <c r="JE131" s="65"/>
      <c r="JF131" s="65"/>
      <c r="JG131" s="65"/>
      <c r="JH131" s="65"/>
    </row>
    <row r="132" spans="1:268" s="66" customFormat="1">
      <c r="A132" s="89"/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91"/>
      <c r="DW132" s="91"/>
      <c r="DX132" s="91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</row>
    <row r="133" spans="1:268" s="66" customFormat="1">
      <c r="A133" s="89"/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91"/>
      <c r="DW133" s="91"/>
      <c r="DX133" s="91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  <c r="IX133" s="65"/>
      <c r="IY133" s="65"/>
      <c r="IZ133" s="65"/>
      <c r="JA133" s="65"/>
      <c r="JB133" s="65"/>
      <c r="JC133" s="65"/>
      <c r="JD133" s="65"/>
      <c r="JE133" s="65"/>
      <c r="JF133" s="65"/>
      <c r="JG133" s="65"/>
      <c r="JH133" s="65"/>
    </row>
    <row r="134" spans="1:268" s="66" customFormat="1">
      <c r="A134" s="89"/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91"/>
      <c r="DW134" s="91"/>
      <c r="DX134" s="91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  <c r="IX134" s="65"/>
      <c r="IY134" s="65"/>
      <c r="IZ134" s="65"/>
      <c r="JA134" s="65"/>
      <c r="JB134" s="65"/>
      <c r="JC134" s="65"/>
      <c r="JD134" s="65"/>
      <c r="JE134" s="65"/>
      <c r="JF134" s="65"/>
      <c r="JG134" s="65"/>
      <c r="JH134" s="65"/>
    </row>
    <row r="135" spans="1:268" s="66" customFormat="1">
      <c r="A135" s="89"/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91"/>
      <c r="DW135" s="91"/>
      <c r="DX135" s="91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5"/>
      <c r="JA135" s="65"/>
      <c r="JB135" s="65"/>
      <c r="JC135" s="65"/>
      <c r="JD135" s="65"/>
      <c r="JE135" s="65"/>
      <c r="JF135" s="65"/>
      <c r="JG135" s="65"/>
      <c r="JH135" s="65"/>
    </row>
    <row r="136" spans="1:268" s="66" customFormat="1">
      <c r="A136" s="89"/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91"/>
      <c r="DW136" s="91"/>
      <c r="DX136" s="91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  <c r="IW136" s="65"/>
      <c r="IX136" s="65"/>
      <c r="IY136" s="65"/>
      <c r="IZ136" s="65"/>
      <c r="JA136" s="65"/>
      <c r="JB136" s="65"/>
      <c r="JC136" s="65"/>
      <c r="JD136" s="65"/>
      <c r="JE136" s="65"/>
      <c r="JF136" s="65"/>
      <c r="JG136" s="65"/>
      <c r="JH136" s="65"/>
    </row>
    <row r="137" spans="1:268" s="66" customFormat="1">
      <c r="A137" s="89"/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91"/>
      <c r="DW137" s="91"/>
      <c r="DX137" s="91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  <c r="IW137" s="65"/>
      <c r="IX137" s="65"/>
      <c r="IY137" s="65"/>
      <c r="IZ137" s="65"/>
      <c r="JA137" s="65"/>
      <c r="JB137" s="65"/>
      <c r="JC137" s="65"/>
      <c r="JD137" s="65"/>
      <c r="JE137" s="65"/>
      <c r="JF137" s="65"/>
      <c r="JG137" s="65"/>
      <c r="JH137" s="65"/>
    </row>
    <row r="138" spans="1:268" s="66" customFormat="1">
      <c r="A138" s="89"/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91"/>
      <c r="DW138" s="91"/>
      <c r="DX138" s="91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  <c r="IW138" s="65"/>
      <c r="IX138" s="65"/>
      <c r="IY138" s="65"/>
      <c r="IZ138" s="65"/>
      <c r="JA138" s="65"/>
      <c r="JB138" s="65"/>
      <c r="JC138" s="65"/>
      <c r="JD138" s="65"/>
      <c r="JE138" s="65"/>
      <c r="JF138" s="65"/>
      <c r="JG138" s="65"/>
      <c r="JH138" s="65"/>
    </row>
    <row r="139" spans="1:268" s="66" customFormat="1">
      <c r="A139" s="89"/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91"/>
      <c r="DW139" s="91"/>
      <c r="DX139" s="91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  <c r="IW139" s="65"/>
      <c r="IX139" s="65"/>
      <c r="IY139" s="65"/>
      <c r="IZ139" s="65"/>
      <c r="JA139" s="65"/>
      <c r="JB139" s="65"/>
      <c r="JC139" s="65"/>
      <c r="JD139" s="65"/>
      <c r="JE139" s="65"/>
      <c r="JF139" s="65"/>
      <c r="JG139" s="65"/>
      <c r="JH139" s="65"/>
    </row>
    <row r="140" spans="1:268" s="66" customFormat="1">
      <c r="A140" s="89"/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91"/>
      <c r="DW140" s="91"/>
      <c r="DX140" s="91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  <c r="IW140" s="65"/>
      <c r="IX140" s="65"/>
      <c r="IY140" s="65"/>
      <c r="IZ140" s="65"/>
      <c r="JA140" s="65"/>
      <c r="JB140" s="65"/>
      <c r="JC140" s="65"/>
      <c r="JD140" s="65"/>
      <c r="JE140" s="65"/>
      <c r="JF140" s="65"/>
      <c r="JG140" s="65"/>
      <c r="JH140" s="65"/>
    </row>
    <row r="141" spans="1:268" s="66" customFormat="1">
      <c r="A141" s="89"/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91"/>
      <c r="DW141" s="91"/>
      <c r="DX141" s="91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  <c r="IW141" s="65"/>
      <c r="IX141" s="65"/>
      <c r="IY141" s="65"/>
      <c r="IZ141" s="65"/>
      <c r="JA141" s="65"/>
      <c r="JB141" s="65"/>
      <c r="JC141" s="65"/>
      <c r="JD141" s="65"/>
      <c r="JE141" s="65"/>
      <c r="JF141" s="65"/>
      <c r="JG141" s="65"/>
      <c r="JH141" s="65"/>
    </row>
    <row r="142" spans="1:268" s="66" customFormat="1">
      <c r="A142" s="89"/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91"/>
      <c r="DW142" s="91"/>
      <c r="DX142" s="91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  <c r="IW142" s="65"/>
      <c r="IX142" s="65"/>
      <c r="IY142" s="65"/>
      <c r="IZ142" s="65"/>
      <c r="JA142" s="65"/>
      <c r="JB142" s="65"/>
      <c r="JC142" s="65"/>
      <c r="JD142" s="65"/>
      <c r="JE142" s="65"/>
      <c r="JF142" s="65"/>
      <c r="JG142" s="65"/>
      <c r="JH142" s="65"/>
    </row>
    <row r="143" spans="1:268" s="66" customFormat="1">
      <c r="A143" s="89"/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91"/>
      <c r="DW143" s="91"/>
      <c r="DX143" s="91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65"/>
      <c r="JA143" s="65"/>
      <c r="JB143" s="65"/>
      <c r="JC143" s="65"/>
      <c r="JD143" s="65"/>
      <c r="JE143" s="65"/>
      <c r="JF143" s="65"/>
      <c r="JG143" s="65"/>
      <c r="JH143" s="65"/>
    </row>
    <row r="144" spans="1:268" s="66" customFormat="1">
      <c r="A144" s="89"/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91"/>
      <c r="DW144" s="91"/>
      <c r="DX144" s="91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65"/>
      <c r="JA144" s="65"/>
      <c r="JB144" s="65"/>
      <c r="JC144" s="65"/>
      <c r="JD144" s="65"/>
      <c r="JE144" s="65"/>
      <c r="JF144" s="65"/>
      <c r="JG144" s="65"/>
      <c r="JH144" s="65"/>
    </row>
    <row r="145" spans="1:268" s="66" customFormat="1">
      <c r="A145" s="89"/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91"/>
      <c r="DW145" s="91"/>
      <c r="DX145" s="91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65"/>
      <c r="JA145" s="65"/>
      <c r="JB145" s="65"/>
      <c r="JC145" s="65"/>
      <c r="JD145" s="65"/>
      <c r="JE145" s="65"/>
      <c r="JF145" s="65"/>
      <c r="JG145" s="65"/>
      <c r="JH145" s="65"/>
    </row>
    <row r="146" spans="1:268" s="66" customFormat="1">
      <c r="A146" s="89"/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91"/>
      <c r="DW146" s="91"/>
      <c r="DX146" s="91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65"/>
      <c r="JA146" s="65"/>
      <c r="JB146" s="65"/>
      <c r="JC146" s="65"/>
      <c r="JD146" s="65"/>
      <c r="JE146" s="65"/>
      <c r="JF146" s="65"/>
      <c r="JG146" s="65"/>
      <c r="JH146" s="65"/>
    </row>
    <row r="147" spans="1:268" s="66" customFormat="1">
      <c r="A147" s="89"/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91"/>
      <c r="DW147" s="91"/>
      <c r="DX147" s="91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65"/>
      <c r="JA147" s="65"/>
      <c r="JB147" s="65"/>
      <c r="JC147" s="65"/>
      <c r="JD147" s="65"/>
      <c r="JE147" s="65"/>
      <c r="JF147" s="65"/>
      <c r="JG147" s="65"/>
      <c r="JH147" s="65"/>
    </row>
    <row r="148" spans="1:268" s="66" customFormat="1">
      <c r="A148" s="89"/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91"/>
      <c r="DW148" s="91"/>
      <c r="DX148" s="91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65"/>
      <c r="JA148" s="65"/>
      <c r="JB148" s="65"/>
      <c r="JC148" s="65"/>
      <c r="JD148" s="65"/>
      <c r="JE148" s="65"/>
      <c r="JF148" s="65"/>
      <c r="JG148" s="65"/>
      <c r="JH148" s="65"/>
    </row>
    <row r="149" spans="1:268" s="66" customFormat="1">
      <c r="A149" s="89"/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91"/>
      <c r="DW149" s="91"/>
      <c r="DX149" s="91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65"/>
      <c r="JA149" s="65"/>
      <c r="JB149" s="65"/>
      <c r="JC149" s="65"/>
      <c r="JD149" s="65"/>
      <c r="JE149" s="65"/>
      <c r="JF149" s="65"/>
      <c r="JG149" s="65"/>
      <c r="JH149" s="65"/>
    </row>
    <row r="150" spans="1:268" s="66" customFormat="1">
      <c r="A150" s="89"/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91"/>
      <c r="DW150" s="91"/>
      <c r="DX150" s="91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65"/>
      <c r="JA150" s="65"/>
      <c r="JB150" s="65"/>
      <c r="JC150" s="65"/>
      <c r="JD150" s="65"/>
      <c r="JE150" s="65"/>
      <c r="JF150" s="65"/>
      <c r="JG150" s="65"/>
      <c r="JH150" s="65"/>
    </row>
    <row r="151" spans="1:268" s="66" customFormat="1">
      <c r="A151" s="89"/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91"/>
      <c r="DW151" s="91"/>
      <c r="DX151" s="91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65"/>
      <c r="JA151" s="65"/>
      <c r="JB151" s="65"/>
      <c r="JC151" s="65"/>
      <c r="JD151" s="65"/>
      <c r="JE151" s="65"/>
      <c r="JF151" s="65"/>
      <c r="JG151" s="65"/>
      <c r="JH151" s="65"/>
    </row>
    <row r="152" spans="1:268" s="66" customFormat="1">
      <c r="A152" s="89"/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91"/>
      <c r="DW152" s="91"/>
      <c r="DX152" s="91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65"/>
      <c r="JA152" s="65"/>
      <c r="JB152" s="65"/>
      <c r="JC152" s="65"/>
      <c r="JD152" s="65"/>
      <c r="JE152" s="65"/>
      <c r="JF152" s="65"/>
      <c r="JG152" s="65"/>
      <c r="JH152" s="65"/>
    </row>
    <row r="153" spans="1:268" s="66" customFormat="1">
      <c r="A153" s="89"/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91"/>
      <c r="DW153" s="91"/>
      <c r="DX153" s="91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65"/>
      <c r="JA153" s="65"/>
      <c r="JB153" s="65"/>
      <c r="JC153" s="65"/>
      <c r="JD153" s="65"/>
      <c r="JE153" s="65"/>
      <c r="JF153" s="65"/>
      <c r="JG153" s="65"/>
      <c r="JH153" s="65"/>
    </row>
    <row r="154" spans="1:268" s="66" customFormat="1">
      <c r="A154" s="89"/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91"/>
      <c r="DW154" s="91"/>
      <c r="DX154" s="91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65"/>
      <c r="JA154" s="65"/>
      <c r="JB154" s="65"/>
      <c r="JC154" s="65"/>
      <c r="JD154" s="65"/>
      <c r="JE154" s="65"/>
      <c r="JF154" s="65"/>
      <c r="JG154" s="65"/>
      <c r="JH154" s="65"/>
    </row>
    <row r="155" spans="1:268" s="66" customFormat="1">
      <c r="A155" s="89"/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91"/>
      <c r="DW155" s="91"/>
      <c r="DX155" s="91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65"/>
      <c r="JA155" s="65"/>
      <c r="JB155" s="65"/>
      <c r="JC155" s="65"/>
      <c r="JD155" s="65"/>
      <c r="JE155" s="65"/>
      <c r="JF155" s="65"/>
      <c r="JG155" s="65"/>
      <c r="JH155" s="65"/>
    </row>
    <row r="156" spans="1:268" s="34" customFormat="1">
      <c r="A156" s="45"/>
      <c r="B156" s="45"/>
      <c r="C156" s="45"/>
      <c r="D156" s="45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47"/>
      <c r="DW156" s="47"/>
      <c r="DX156" s="47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  <c r="IS156" s="35"/>
      <c r="IT156" s="35"/>
      <c r="IU156" s="35"/>
      <c r="IV156" s="35"/>
      <c r="IW156" s="35"/>
      <c r="IX156" s="35"/>
      <c r="IY156" s="35"/>
      <c r="IZ156" s="35"/>
      <c r="JA156" s="35"/>
      <c r="JB156" s="35"/>
      <c r="JC156" s="35"/>
      <c r="JD156" s="35"/>
      <c r="JE156" s="35"/>
      <c r="JF156" s="35"/>
      <c r="JG156" s="35"/>
      <c r="JH156" s="35"/>
    </row>
    <row r="157" spans="1:268" s="34" customFormat="1">
      <c r="A157" s="45"/>
      <c r="B157" s="45"/>
      <c r="C157" s="45"/>
      <c r="D157" s="45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47"/>
      <c r="DW157" s="47"/>
      <c r="DX157" s="47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  <c r="IS157" s="35"/>
      <c r="IT157" s="35"/>
      <c r="IU157" s="35"/>
      <c r="IV157" s="35"/>
      <c r="IW157" s="35"/>
      <c r="IX157" s="35"/>
      <c r="IY157" s="35"/>
      <c r="IZ157" s="35"/>
      <c r="JA157" s="35"/>
      <c r="JB157" s="35"/>
      <c r="JC157" s="35"/>
      <c r="JD157" s="35"/>
      <c r="JE157" s="35"/>
      <c r="JF157" s="35"/>
      <c r="JG157" s="35"/>
      <c r="JH157" s="35"/>
    </row>
    <row r="158" spans="1:268" s="34" customFormat="1">
      <c r="A158" s="45"/>
      <c r="B158" s="45"/>
      <c r="C158" s="45"/>
      <c r="D158" s="45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47"/>
      <c r="DW158" s="47"/>
      <c r="DX158" s="47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  <c r="IS158" s="35"/>
      <c r="IT158" s="35"/>
      <c r="IU158" s="35"/>
      <c r="IV158" s="35"/>
      <c r="IW158" s="35"/>
      <c r="IX158" s="35"/>
      <c r="IY158" s="35"/>
      <c r="IZ158" s="35"/>
      <c r="JA158" s="35"/>
      <c r="JB158" s="35"/>
      <c r="JC158" s="35"/>
      <c r="JD158" s="35"/>
      <c r="JE158" s="35"/>
      <c r="JF158" s="35"/>
      <c r="JG158" s="35"/>
      <c r="JH158" s="35"/>
    </row>
    <row r="159" spans="1:268" s="34" customFormat="1">
      <c r="A159" s="45"/>
      <c r="B159" s="45"/>
      <c r="C159" s="45"/>
      <c r="D159" s="45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47"/>
      <c r="DW159" s="47"/>
      <c r="DX159" s="47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  <c r="IU159" s="35"/>
      <c r="IV159" s="35"/>
      <c r="IW159" s="35"/>
      <c r="IX159" s="35"/>
      <c r="IY159" s="35"/>
      <c r="IZ159" s="35"/>
      <c r="JA159" s="35"/>
      <c r="JB159" s="35"/>
      <c r="JC159" s="35"/>
      <c r="JD159" s="35"/>
      <c r="JE159" s="35"/>
      <c r="JF159" s="35"/>
      <c r="JG159" s="35"/>
      <c r="JH159" s="35"/>
    </row>
    <row r="160" spans="1:268" s="34" customFormat="1">
      <c r="A160" s="45"/>
      <c r="B160" s="45"/>
      <c r="C160" s="45"/>
      <c r="D160" s="45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47"/>
      <c r="DW160" s="47"/>
      <c r="DX160" s="47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  <c r="IU160" s="35"/>
      <c r="IV160" s="35"/>
      <c r="IW160" s="35"/>
      <c r="IX160" s="35"/>
      <c r="IY160" s="35"/>
      <c r="IZ160" s="35"/>
      <c r="JA160" s="35"/>
      <c r="JB160" s="35"/>
      <c r="JC160" s="35"/>
      <c r="JD160" s="35"/>
      <c r="JE160" s="35"/>
      <c r="JF160" s="35"/>
      <c r="JG160" s="35"/>
      <c r="JH160" s="35"/>
    </row>
    <row r="161" spans="1:268" s="34" customFormat="1">
      <c r="A161" s="45"/>
      <c r="B161" s="45"/>
      <c r="C161" s="45"/>
      <c r="D161" s="45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47"/>
      <c r="DW161" s="47"/>
      <c r="DX161" s="47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5"/>
      <c r="IW161" s="35"/>
      <c r="IX161" s="35"/>
      <c r="IY161" s="35"/>
      <c r="IZ161" s="35"/>
      <c r="JA161" s="35"/>
      <c r="JB161" s="35"/>
      <c r="JC161" s="35"/>
      <c r="JD161" s="35"/>
      <c r="JE161" s="35"/>
      <c r="JF161" s="35"/>
      <c r="JG161" s="35"/>
      <c r="JH161" s="35"/>
    </row>
    <row r="162" spans="1:268" s="34" customFormat="1">
      <c r="A162" s="45"/>
      <c r="B162" s="45"/>
      <c r="C162" s="45"/>
      <c r="D162" s="45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47"/>
      <c r="DW162" s="47"/>
      <c r="DX162" s="47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  <c r="IU162" s="35"/>
      <c r="IV162" s="35"/>
      <c r="IW162" s="35"/>
      <c r="IX162" s="35"/>
      <c r="IY162" s="35"/>
      <c r="IZ162" s="35"/>
      <c r="JA162" s="35"/>
      <c r="JB162" s="35"/>
      <c r="JC162" s="35"/>
      <c r="JD162" s="35"/>
      <c r="JE162" s="35"/>
      <c r="JF162" s="35"/>
      <c r="JG162" s="35"/>
      <c r="JH162" s="35"/>
    </row>
    <row r="163" spans="1:268" s="34" customFormat="1">
      <c r="A163" s="45"/>
      <c r="B163" s="45"/>
      <c r="C163" s="45"/>
      <c r="D163" s="45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47"/>
      <c r="DW163" s="47"/>
      <c r="DX163" s="47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  <c r="IU163" s="35"/>
      <c r="IV163" s="35"/>
      <c r="IW163" s="35"/>
      <c r="IX163" s="35"/>
      <c r="IY163" s="35"/>
      <c r="IZ163" s="35"/>
      <c r="JA163" s="35"/>
      <c r="JB163" s="35"/>
      <c r="JC163" s="35"/>
      <c r="JD163" s="35"/>
      <c r="JE163" s="35"/>
      <c r="JF163" s="35"/>
      <c r="JG163" s="35"/>
      <c r="JH163" s="35"/>
    </row>
    <row r="164" spans="1:268" s="34" customFormat="1">
      <c r="A164" s="45"/>
      <c r="B164" s="45"/>
      <c r="C164" s="45"/>
      <c r="D164" s="45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47"/>
      <c r="DW164" s="47"/>
      <c r="DX164" s="47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  <c r="IW164" s="35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</row>
    <row r="165" spans="1:268" s="34" customFormat="1">
      <c r="A165" s="45"/>
      <c r="B165" s="45"/>
      <c r="C165" s="45"/>
      <c r="D165" s="45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47"/>
      <c r="DW165" s="47"/>
      <c r="DX165" s="47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  <c r="IU165" s="35"/>
      <c r="IV165" s="35"/>
      <c r="IW165" s="35"/>
      <c r="IX165" s="35"/>
      <c r="IY165" s="35"/>
      <c r="IZ165" s="35"/>
      <c r="JA165" s="35"/>
      <c r="JB165" s="35"/>
      <c r="JC165" s="35"/>
      <c r="JD165" s="35"/>
      <c r="JE165" s="35"/>
      <c r="JF165" s="35"/>
      <c r="JG165" s="35"/>
      <c r="JH165" s="35"/>
    </row>
    <row r="166" spans="1:268" s="34" customFormat="1">
      <c r="A166" s="45"/>
      <c r="B166" s="45"/>
      <c r="C166" s="45"/>
      <c r="D166" s="45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47"/>
      <c r="DW166" s="47"/>
      <c r="DX166" s="47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  <c r="IU166" s="35"/>
      <c r="IV166" s="35"/>
      <c r="IW166" s="35"/>
      <c r="IX166" s="35"/>
      <c r="IY166" s="35"/>
      <c r="IZ166" s="35"/>
      <c r="JA166" s="35"/>
      <c r="JB166" s="35"/>
      <c r="JC166" s="35"/>
      <c r="JD166" s="35"/>
      <c r="JE166" s="35"/>
      <c r="JF166" s="35"/>
      <c r="JG166" s="35"/>
      <c r="JH166" s="35"/>
    </row>
    <row r="167" spans="1:268" s="34" customFormat="1">
      <c r="A167" s="45"/>
      <c r="B167" s="45"/>
      <c r="C167" s="45"/>
      <c r="D167" s="45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47"/>
      <c r="DW167" s="47"/>
      <c r="DX167" s="47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5"/>
      <c r="IW167" s="35"/>
      <c r="IX167" s="35"/>
      <c r="IY167" s="35"/>
      <c r="IZ167" s="35"/>
      <c r="JA167" s="35"/>
      <c r="JB167" s="35"/>
      <c r="JC167" s="35"/>
      <c r="JD167" s="35"/>
      <c r="JE167" s="35"/>
      <c r="JF167" s="35"/>
      <c r="JG167" s="35"/>
      <c r="JH167" s="35"/>
    </row>
    <row r="168" spans="1:268" s="34" customFormat="1">
      <c r="A168" s="45"/>
      <c r="B168" s="45"/>
      <c r="C168" s="45"/>
      <c r="D168" s="45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47"/>
      <c r="DW168" s="47"/>
      <c r="DX168" s="47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  <c r="IU168" s="35"/>
      <c r="IV168" s="35"/>
      <c r="IW168" s="35"/>
      <c r="IX168" s="35"/>
      <c r="IY168" s="35"/>
      <c r="IZ168" s="35"/>
      <c r="JA168" s="35"/>
      <c r="JB168" s="35"/>
      <c r="JC168" s="35"/>
      <c r="JD168" s="35"/>
      <c r="JE168" s="35"/>
      <c r="JF168" s="35"/>
      <c r="JG168" s="35"/>
      <c r="JH168" s="35"/>
    </row>
    <row r="169" spans="1:268" s="34" customFormat="1">
      <c r="A169" s="45"/>
      <c r="B169" s="45"/>
      <c r="C169" s="45"/>
      <c r="D169" s="45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47"/>
      <c r="DW169" s="47"/>
      <c r="DX169" s="47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  <c r="IU169" s="35"/>
      <c r="IV169" s="35"/>
      <c r="IW169" s="35"/>
      <c r="IX169" s="35"/>
      <c r="IY169" s="35"/>
      <c r="IZ169" s="35"/>
      <c r="JA169" s="35"/>
      <c r="JB169" s="35"/>
      <c r="JC169" s="35"/>
      <c r="JD169" s="35"/>
      <c r="JE169" s="35"/>
      <c r="JF169" s="35"/>
      <c r="JG169" s="35"/>
      <c r="JH169" s="35"/>
    </row>
    <row r="170" spans="1:268" s="34" customFormat="1">
      <c r="A170" s="45"/>
      <c r="B170" s="45"/>
      <c r="C170" s="45"/>
      <c r="D170" s="45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47"/>
      <c r="DW170" s="47"/>
      <c r="DX170" s="47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  <c r="IU170" s="35"/>
      <c r="IV170" s="35"/>
      <c r="IW170" s="35"/>
      <c r="IX170" s="35"/>
      <c r="IY170" s="35"/>
      <c r="IZ170" s="35"/>
      <c r="JA170" s="35"/>
      <c r="JB170" s="35"/>
      <c r="JC170" s="35"/>
      <c r="JD170" s="35"/>
      <c r="JE170" s="35"/>
      <c r="JF170" s="35"/>
      <c r="JG170" s="35"/>
      <c r="JH170" s="35"/>
    </row>
    <row r="171" spans="1:268" s="34" customFormat="1">
      <c r="A171" s="45"/>
      <c r="B171" s="45"/>
      <c r="C171" s="45"/>
      <c r="D171" s="45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47"/>
      <c r="DW171" s="47"/>
      <c r="DX171" s="47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  <c r="IS171" s="35"/>
      <c r="IT171" s="35"/>
      <c r="IU171" s="35"/>
      <c r="IV171" s="35"/>
      <c r="IW171" s="35"/>
      <c r="IX171" s="35"/>
      <c r="IY171" s="35"/>
      <c r="IZ171" s="35"/>
      <c r="JA171" s="35"/>
      <c r="JB171" s="35"/>
      <c r="JC171" s="35"/>
      <c r="JD171" s="35"/>
      <c r="JE171" s="35"/>
      <c r="JF171" s="35"/>
      <c r="JG171" s="35"/>
      <c r="JH171" s="35"/>
    </row>
    <row r="172" spans="1:268" s="34" customFormat="1">
      <c r="A172" s="45"/>
      <c r="B172" s="45"/>
      <c r="C172" s="45"/>
      <c r="D172" s="45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47"/>
      <c r="DW172" s="47"/>
      <c r="DX172" s="47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  <c r="IS172" s="35"/>
      <c r="IT172" s="35"/>
      <c r="IU172" s="35"/>
      <c r="IV172" s="35"/>
      <c r="IW172" s="35"/>
      <c r="IX172" s="35"/>
      <c r="IY172" s="35"/>
      <c r="IZ172" s="35"/>
      <c r="JA172" s="35"/>
      <c r="JB172" s="35"/>
      <c r="JC172" s="35"/>
      <c r="JD172" s="35"/>
      <c r="JE172" s="35"/>
      <c r="JF172" s="35"/>
      <c r="JG172" s="35"/>
      <c r="JH172" s="35"/>
    </row>
    <row r="173" spans="1:268" s="34" customFormat="1">
      <c r="A173" s="45"/>
      <c r="B173" s="45"/>
      <c r="C173" s="45"/>
      <c r="D173" s="45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47"/>
      <c r="DW173" s="47"/>
      <c r="DX173" s="47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  <c r="IU173" s="35"/>
      <c r="IV173" s="35"/>
      <c r="IW173" s="35"/>
      <c r="IX173" s="35"/>
      <c r="IY173" s="35"/>
      <c r="IZ173" s="35"/>
      <c r="JA173" s="35"/>
      <c r="JB173" s="35"/>
      <c r="JC173" s="35"/>
      <c r="JD173" s="35"/>
      <c r="JE173" s="35"/>
      <c r="JF173" s="35"/>
      <c r="JG173" s="35"/>
      <c r="JH173" s="35"/>
    </row>
    <row r="174" spans="1:268" s="34" customFormat="1">
      <c r="A174" s="45"/>
      <c r="B174" s="45"/>
      <c r="C174" s="45"/>
      <c r="D174" s="45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47"/>
      <c r="DW174" s="47"/>
      <c r="DX174" s="47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  <c r="IU174" s="35"/>
      <c r="IV174" s="35"/>
      <c r="IW174" s="35"/>
      <c r="IX174" s="35"/>
      <c r="IY174" s="35"/>
      <c r="IZ174" s="35"/>
      <c r="JA174" s="35"/>
      <c r="JB174" s="35"/>
      <c r="JC174" s="35"/>
      <c r="JD174" s="35"/>
      <c r="JE174" s="35"/>
      <c r="JF174" s="35"/>
      <c r="JG174" s="35"/>
      <c r="JH174" s="35"/>
    </row>
    <row r="175" spans="1:268" s="34" customFormat="1">
      <c r="A175" s="45"/>
      <c r="B175" s="45"/>
      <c r="C175" s="45"/>
      <c r="D175" s="45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47"/>
      <c r="DW175" s="47"/>
      <c r="DX175" s="47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</row>
    <row r="176" spans="1:268" s="34" customFormat="1">
      <c r="A176" s="45"/>
      <c r="B176" s="45"/>
      <c r="C176" s="45"/>
      <c r="D176" s="45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47"/>
      <c r="DW176" s="47"/>
      <c r="DX176" s="47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</row>
    <row r="177" spans="1:268" s="34" customFormat="1">
      <c r="A177" s="45"/>
      <c r="B177" s="45"/>
      <c r="C177" s="45"/>
      <c r="D177" s="45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47"/>
      <c r="DW177" s="47"/>
      <c r="DX177" s="47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</row>
    <row r="178" spans="1:268" s="34" customFormat="1">
      <c r="A178" s="45"/>
      <c r="B178" s="45"/>
      <c r="C178" s="45"/>
      <c r="D178" s="45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47"/>
      <c r="DW178" s="47"/>
      <c r="DX178" s="47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</row>
    <row r="179" spans="1:268" s="34" customFormat="1">
      <c r="A179" s="45"/>
      <c r="B179" s="45"/>
      <c r="C179" s="45"/>
      <c r="D179" s="45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47"/>
      <c r="DW179" s="47"/>
      <c r="DX179" s="47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</row>
    <row r="180" spans="1:268" s="34" customFormat="1">
      <c r="A180" s="45"/>
      <c r="B180" s="45"/>
      <c r="C180" s="45"/>
      <c r="D180" s="45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47"/>
      <c r="DW180" s="47"/>
      <c r="DX180" s="47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</row>
    <row r="181" spans="1:268" s="34" customFormat="1">
      <c r="A181" s="45"/>
      <c r="B181" s="45"/>
      <c r="C181" s="45"/>
      <c r="D181" s="45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47"/>
      <c r="DW181" s="47"/>
      <c r="DX181" s="47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</row>
    <row r="182" spans="1:268" s="34" customFormat="1">
      <c r="A182" s="45"/>
      <c r="B182" s="45"/>
      <c r="C182" s="45"/>
      <c r="D182" s="45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47"/>
      <c r="DW182" s="47"/>
      <c r="DX182" s="47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</row>
    <row r="183" spans="1:268" s="34" customFormat="1">
      <c r="A183" s="45"/>
      <c r="B183" s="45"/>
      <c r="C183" s="45"/>
      <c r="D183" s="45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47"/>
      <c r="DW183" s="47"/>
      <c r="DX183" s="47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</row>
    <row r="184" spans="1:268" s="34" customFormat="1">
      <c r="A184" s="45"/>
      <c r="B184" s="45"/>
      <c r="C184" s="45"/>
      <c r="D184" s="45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47"/>
      <c r="DW184" s="47"/>
      <c r="DX184" s="47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</row>
    <row r="185" spans="1:268" s="34" customFormat="1">
      <c r="A185" s="45"/>
      <c r="B185" s="45"/>
      <c r="C185" s="45"/>
      <c r="D185" s="45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47"/>
      <c r="DW185" s="47"/>
      <c r="DX185" s="47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</row>
    <row r="186" spans="1:268" s="34" customFormat="1">
      <c r="A186" s="45"/>
      <c r="B186" s="45"/>
      <c r="C186" s="45"/>
      <c r="D186" s="45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47"/>
      <c r="DW186" s="47"/>
      <c r="DX186" s="47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</row>
    <row r="187" spans="1:268" s="34" customFormat="1">
      <c r="A187" s="45"/>
      <c r="B187" s="45"/>
      <c r="C187" s="45"/>
      <c r="D187" s="45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47"/>
      <c r="DW187" s="47"/>
      <c r="DX187" s="47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</row>
    <row r="188" spans="1:268" s="34" customFormat="1">
      <c r="A188" s="45"/>
      <c r="B188" s="45"/>
      <c r="C188" s="45"/>
      <c r="D188" s="45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47"/>
      <c r="DW188" s="47"/>
      <c r="DX188" s="47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</row>
    <row r="189" spans="1:268" s="34" customFormat="1">
      <c r="A189" s="45"/>
      <c r="B189" s="45"/>
      <c r="C189" s="45"/>
      <c r="D189" s="45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47"/>
      <c r="DW189" s="47"/>
      <c r="DX189" s="47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</row>
    <row r="190" spans="1:268" s="34" customFormat="1">
      <c r="A190" s="45"/>
      <c r="B190" s="45"/>
      <c r="C190" s="45"/>
      <c r="D190" s="45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47"/>
      <c r="DW190" s="47"/>
      <c r="DX190" s="47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</row>
    <row r="191" spans="1:268" s="34" customFormat="1">
      <c r="A191" s="45"/>
      <c r="B191" s="45"/>
      <c r="C191" s="45"/>
      <c r="D191" s="45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47"/>
      <c r="DW191" s="47"/>
      <c r="DX191" s="47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</row>
    <row r="192" spans="1:268" s="34" customFormat="1">
      <c r="A192" s="45"/>
      <c r="B192" s="45"/>
      <c r="C192" s="45"/>
      <c r="D192" s="45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47"/>
      <c r="DW192" s="47"/>
      <c r="DX192" s="47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</row>
    <row r="193" spans="1:268" s="34" customFormat="1">
      <c r="A193" s="45"/>
      <c r="B193" s="45"/>
      <c r="C193" s="45"/>
      <c r="D193" s="45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47"/>
      <c r="DW193" s="47"/>
      <c r="DX193" s="47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</row>
    <row r="194" spans="1:268" s="34" customFormat="1">
      <c r="A194" s="45"/>
      <c r="B194" s="45"/>
      <c r="C194" s="45"/>
      <c r="D194" s="45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47"/>
      <c r="DW194" s="47"/>
      <c r="DX194" s="47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</row>
    <row r="195" spans="1:268" s="34" customFormat="1">
      <c r="A195" s="45"/>
      <c r="B195" s="45"/>
      <c r="C195" s="45"/>
      <c r="D195" s="45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47"/>
      <c r="DW195" s="47"/>
      <c r="DX195" s="47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</row>
    <row r="196" spans="1:268" s="34" customFormat="1">
      <c r="A196" s="45"/>
      <c r="B196" s="45"/>
      <c r="C196" s="45"/>
      <c r="D196" s="45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47"/>
      <c r="DW196" s="47"/>
      <c r="DX196" s="47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</row>
    <row r="197" spans="1:268" s="34" customFormat="1">
      <c r="A197" s="45"/>
      <c r="B197" s="45"/>
      <c r="C197" s="45"/>
      <c r="D197" s="45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47"/>
      <c r="DW197" s="47"/>
      <c r="DX197" s="47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</row>
    <row r="198" spans="1:268" s="34" customFormat="1">
      <c r="A198" s="45"/>
      <c r="B198" s="45"/>
      <c r="C198" s="45"/>
      <c r="D198" s="45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47"/>
      <c r="DW198" s="47"/>
      <c r="DX198" s="47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</row>
    <row r="199" spans="1:268" s="34" customFormat="1">
      <c r="A199" s="45"/>
      <c r="B199" s="45"/>
      <c r="C199" s="45"/>
      <c r="D199" s="45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47"/>
      <c r="DW199" s="47"/>
      <c r="DX199" s="47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</row>
    <row r="200" spans="1:268" s="34" customFormat="1">
      <c r="A200" s="45"/>
      <c r="B200" s="45"/>
      <c r="C200" s="45"/>
      <c r="D200" s="45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47"/>
      <c r="DW200" s="47"/>
      <c r="DX200" s="47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</row>
    <row r="201" spans="1:268" s="34" customFormat="1">
      <c r="A201" s="45"/>
      <c r="B201" s="45"/>
      <c r="C201" s="45"/>
      <c r="D201" s="45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47"/>
      <c r="DW201" s="47"/>
      <c r="DX201" s="47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</row>
    <row r="202" spans="1:268" s="34" customFormat="1">
      <c r="A202" s="45"/>
      <c r="B202" s="45"/>
      <c r="C202" s="45"/>
      <c r="D202" s="45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47"/>
      <c r="DW202" s="47"/>
      <c r="DX202" s="47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</row>
    <row r="203" spans="1:268" s="34" customFormat="1">
      <c r="A203" s="45"/>
      <c r="B203" s="45"/>
      <c r="C203" s="45"/>
      <c r="D203" s="45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47"/>
      <c r="DW203" s="47"/>
      <c r="DX203" s="47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</row>
    <row r="204" spans="1:268" s="34" customFormat="1">
      <c r="A204" s="45"/>
      <c r="B204" s="45"/>
      <c r="C204" s="45"/>
      <c r="D204" s="45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47"/>
      <c r="DW204" s="47"/>
      <c r="DX204" s="47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</row>
    <row r="205" spans="1:268" s="34" customFormat="1">
      <c r="A205" s="45"/>
      <c r="B205" s="45"/>
      <c r="C205" s="45"/>
      <c r="D205" s="45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47"/>
      <c r="DW205" s="47"/>
      <c r="DX205" s="47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</row>
    <row r="206" spans="1:268" s="34" customFormat="1">
      <c r="A206" s="45"/>
      <c r="B206" s="45"/>
      <c r="C206" s="45"/>
      <c r="D206" s="45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47"/>
      <c r="DW206" s="47"/>
      <c r="DX206" s="47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</row>
    <row r="207" spans="1:268" s="34" customFormat="1">
      <c r="A207" s="45"/>
      <c r="B207" s="45"/>
      <c r="C207" s="45"/>
      <c r="D207" s="45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47"/>
      <c r="DW207" s="47"/>
      <c r="DX207" s="47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</row>
    <row r="208" spans="1:268" s="34" customFormat="1">
      <c r="A208" s="45"/>
      <c r="B208" s="45"/>
      <c r="C208" s="45"/>
      <c r="D208" s="45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47"/>
      <c r="DW208" s="47"/>
      <c r="DX208" s="47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</row>
    <row r="209" spans="1:268" s="34" customFormat="1">
      <c r="A209" s="45"/>
      <c r="B209" s="45"/>
      <c r="C209" s="45"/>
      <c r="D209" s="45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47"/>
      <c r="DW209" s="47"/>
      <c r="DX209" s="47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</row>
    <row r="210" spans="1:268" s="34" customFormat="1">
      <c r="A210" s="45"/>
      <c r="B210" s="45"/>
      <c r="C210" s="45"/>
      <c r="D210" s="45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47"/>
      <c r="DW210" s="47"/>
      <c r="DX210" s="47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</row>
    <row r="211" spans="1:268" s="34" customFormat="1">
      <c r="A211" s="45"/>
      <c r="B211" s="45"/>
      <c r="C211" s="45"/>
      <c r="D211" s="45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47"/>
      <c r="DW211" s="47"/>
      <c r="DX211" s="47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</row>
    <row r="212" spans="1:268" s="34" customFormat="1">
      <c r="A212" s="45"/>
      <c r="B212" s="45"/>
      <c r="C212" s="45"/>
      <c r="D212" s="45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47"/>
      <c r="DW212" s="47"/>
      <c r="DX212" s="47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</row>
    <row r="213" spans="1:268" s="34" customFormat="1">
      <c r="A213" s="45"/>
      <c r="B213" s="45"/>
      <c r="C213" s="45"/>
      <c r="D213" s="45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47"/>
      <c r="DW213" s="47"/>
      <c r="DX213" s="47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</row>
    <row r="214" spans="1:268" s="34" customFormat="1">
      <c r="A214" s="45"/>
      <c r="B214" s="45"/>
      <c r="C214" s="45"/>
      <c r="D214" s="45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47"/>
      <c r="DW214" s="47"/>
      <c r="DX214" s="47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</row>
    <row r="215" spans="1:268" s="34" customFormat="1">
      <c r="A215" s="45"/>
      <c r="B215" s="45"/>
      <c r="C215" s="45"/>
      <c r="D215" s="45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47"/>
      <c r="DW215" s="47"/>
      <c r="DX215" s="47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</row>
    <row r="216" spans="1:268" s="34" customFormat="1">
      <c r="A216" s="45"/>
      <c r="B216" s="45"/>
      <c r="C216" s="45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47"/>
      <c r="DW216" s="47"/>
      <c r="DX216" s="47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</row>
    <row r="217" spans="1:268" s="34" customFormat="1">
      <c r="A217" s="45"/>
      <c r="B217" s="45"/>
      <c r="C217" s="45"/>
      <c r="D217" s="45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47"/>
      <c r="DW217" s="47"/>
      <c r="DX217" s="47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</row>
    <row r="218" spans="1:268" s="34" customFormat="1">
      <c r="A218" s="45"/>
      <c r="B218" s="45"/>
      <c r="C218" s="45"/>
      <c r="D218" s="45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47"/>
      <c r="DW218" s="47"/>
      <c r="DX218" s="47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</row>
    <row r="219" spans="1:268" s="34" customFormat="1">
      <c r="A219" s="45"/>
      <c r="B219" s="45"/>
      <c r="C219" s="45"/>
      <c r="D219" s="45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47"/>
      <c r="DW219" s="47"/>
      <c r="DX219" s="47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</row>
    <row r="220" spans="1:268" s="34" customFormat="1">
      <c r="A220" s="45"/>
      <c r="B220" s="45"/>
      <c r="C220" s="45"/>
      <c r="D220" s="45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47"/>
      <c r="DW220" s="47"/>
      <c r="DX220" s="47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</row>
    <row r="221" spans="1:268" s="34" customFormat="1">
      <c r="A221" s="45"/>
      <c r="B221" s="45"/>
      <c r="C221" s="45"/>
      <c r="D221" s="45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47"/>
      <c r="DW221" s="47"/>
      <c r="DX221" s="47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</row>
    <row r="222" spans="1:268" s="34" customFormat="1">
      <c r="A222" s="45"/>
      <c r="B222" s="45"/>
      <c r="C222" s="45"/>
      <c r="D222" s="45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47"/>
      <c r="DW222" s="47"/>
      <c r="DX222" s="47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</row>
    <row r="223" spans="1:268" s="34" customFormat="1">
      <c r="A223" s="45"/>
      <c r="B223" s="45"/>
      <c r="C223" s="45"/>
      <c r="D223" s="45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47"/>
      <c r="DW223" s="47"/>
      <c r="DX223" s="47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</row>
    <row r="224" spans="1:268" s="34" customFormat="1">
      <c r="A224" s="45"/>
      <c r="B224" s="45"/>
      <c r="C224" s="45"/>
      <c r="D224" s="45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47"/>
      <c r="DW224" s="47"/>
      <c r="DX224" s="47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</row>
    <row r="225" spans="1:268" s="34" customFormat="1">
      <c r="A225" s="45"/>
      <c r="B225" s="45"/>
      <c r="C225" s="45"/>
      <c r="D225" s="45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47"/>
      <c r="DW225" s="47"/>
      <c r="DX225" s="47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</row>
    <row r="226" spans="1:268" s="34" customFormat="1">
      <c r="A226" s="45"/>
      <c r="B226" s="45"/>
      <c r="C226" s="45"/>
      <c r="D226" s="45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47"/>
      <c r="DW226" s="47"/>
      <c r="DX226" s="47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</row>
    <row r="227" spans="1:268" s="34" customFormat="1">
      <c r="A227" s="45"/>
      <c r="B227" s="45"/>
      <c r="C227" s="45"/>
      <c r="D227" s="45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47"/>
      <c r="DW227" s="47"/>
      <c r="DX227" s="47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</row>
    <row r="228" spans="1:268" s="34" customFormat="1">
      <c r="A228" s="45"/>
      <c r="B228" s="45"/>
      <c r="C228" s="45"/>
      <c r="D228" s="45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47"/>
      <c r="DW228" s="47"/>
      <c r="DX228" s="47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</row>
    <row r="229" spans="1:268" s="34" customFormat="1">
      <c r="A229" s="45"/>
      <c r="B229" s="45"/>
      <c r="C229" s="45"/>
      <c r="D229" s="45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47"/>
      <c r="DW229" s="47"/>
      <c r="DX229" s="47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</row>
    <row r="230" spans="1:268" s="34" customFormat="1">
      <c r="A230" s="45"/>
      <c r="B230" s="45"/>
      <c r="C230" s="45"/>
      <c r="D230" s="45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47"/>
      <c r="DW230" s="47"/>
      <c r="DX230" s="47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</row>
    <row r="231" spans="1:268" s="34" customFormat="1">
      <c r="A231" s="45"/>
      <c r="B231" s="45"/>
      <c r="C231" s="45"/>
      <c r="D231" s="45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47"/>
      <c r="DW231" s="47"/>
      <c r="DX231" s="47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</row>
    <row r="232" spans="1:268" s="34" customFormat="1">
      <c r="A232" s="45"/>
      <c r="B232" s="45"/>
      <c r="C232" s="45"/>
      <c r="D232" s="45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47"/>
      <c r="DW232" s="47"/>
      <c r="DX232" s="47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</row>
    <row r="233" spans="1:268" s="34" customFormat="1">
      <c r="A233" s="45"/>
      <c r="B233" s="45"/>
      <c r="C233" s="45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47"/>
      <c r="DW233" s="47"/>
      <c r="DX233" s="47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</row>
    <row r="234" spans="1:268" s="34" customFormat="1">
      <c r="A234" s="45"/>
      <c r="B234" s="45"/>
      <c r="C234" s="45"/>
      <c r="D234" s="45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47"/>
      <c r="DW234" s="47"/>
      <c r="DX234" s="47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</row>
    <row r="235" spans="1:268" s="34" customFormat="1">
      <c r="A235" s="45"/>
      <c r="B235" s="45"/>
      <c r="C235" s="45"/>
      <c r="D235" s="45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47"/>
      <c r="DW235" s="47"/>
      <c r="DX235" s="47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</row>
    <row r="236" spans="1:268" s="34" customFormat="1">
      <c r="A236" s="45"/>
      <c r="B236" s="45"/>
      <c r="C236" s="45"/>
      <c r="D236" s="45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47"/>
      <c r="DW236" s="47"/>
      <c r="DX236" s="47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</row>
    <row r="237" spans="1:268" s="34" customFormat="1">
      <c r="A237" s="45"/>
      <c r="B237" s="45"/>
      <c r="C237" s="45"/>
      <c r="D237" s="45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47"/>
      <c r="DW237" s="47"/>
      <c r="DX237" s="47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</row>
    <row r="238" spans="1:268" s="34" customFormat="1">
      <c r="A238" s="45"/>
      <c r="B238" s="45"/>
      <c r="C238" s="45"/>
      <c r="D238" s="45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47"/>
      <c r="DW238" s="47"/>
      <c r="DX238" s="47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</row>
    <row r="239" spans="1:268" s="34" customFormat="1">
      <c r="A239" s="45"/>
      <c r="B239" s="45"/>
      <c r="C239" s="45"/>
      <c r="D239" s="45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47"/>
      <c r="DW239" s="47"/>
      <c r="DX239" s="47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</row>
    <row r="240" spans="1:268" s="34" customFormat="1">
      <c r="A240" s="45"/>
      <c r="B240" s="45"/>
      <c r="C240" s="45"/>
      <c r="D240" s="45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47"/>
      <c r="DW240" s="47"/>
      <c r="DX240" s="47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</row>
    <row r="241" spans="1:268" s="34" customFormat="1">
      <c r="A241" s="45"/>
      <c r="B241" s="45"/>
      <c r="C241" s="45"/>
      <c r="D241" s="45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47"/>
      <c r="DW241" s="47"/>
      <c r="DX241" s="47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</row>
    <row r="242" spans="1:268" s="34" customFormat="1">
      <c r="A242" s="45"/>
      <c r="B242" s="45"/>
      <c r="C242" s="45"/>
      <c r="D242" s="45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47"/>
      <c r="DW242" s="47"/>
      <c r="DX242" s="47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</row>
    <row r="243" spans="1:268" s="34" customFormat="1">
      <c r="A243" s="45"/>
      <c r="B243" s="45"/>
      <c r="C243" s="45"/>
      <c r="D243" s="45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47"/>
      <c r="DW243" s="47"/>
      <c r="DX243" s="47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</row>
    <row r="244" spans="1:268" s="34" customFormat="1">
      <c r="A244" s="45"/>
      <c r="B244" s="45"/>
      <c r="C244" s="45"/>
      <c r="D244" s="45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47"/>
      <c r="DW244" s="47"/>
      <c r="DX244" s="47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</row>
    <row r="245" spans="1:268" s="34" customFormat="1">
      <c r="A245" s="45"/>
      <c r="B245" s="45"/>
      <c r="C245" s="45"/>
      <c r="D245" s="45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47"/>
      <c r="DW245" s="47"/>
      <c r="DX245" s="47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</row>
    <row r="246" spans="1:268" s="34" customFormat="1">
      <c r="A246" s="45"/>
      <c r="B246" s="45"/>
      <c r="C246" s="45"/>
      <c r="D246" s="45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47"/>
      <c r="DW246" s="47"/>
      <c r="DX246" s="47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</row>
    <row r="247" spans="1:268" s="34" customFormat="1">
      <c r="A247" s="45"/>
      <c r="B247" s="45"/>
      <c r="C247" s="45"/>
      <c r="D247" s="45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47"/>
      <c r="DW247" s="47"/>
      <c r="DX247" s="47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</row>
    <row r="248" spans="1:268" s="34" customFormat="1">
      <c r="A248" s="45"/>
      <c r="B248" s="45"/>
      <c r="C248" s="45"/>
      <c r="D248" s="45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47"/>
      <c r="DW248" s="47"/>
      <c r="DX248" s="47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</row>
    <row r="249" spans="1:268" s="34" customFormat="1">
      <c r="A249" s="45"/>
      <c r="B249" s="45"/>
      <c r="C249" s="45"/>
      <c r="D249" s="45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47"/>
      <c r="DW249" s="47"/>
      <c r="DX249" s="47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</row>
    <row r="250" spans="1:268" s="34" customFormat="1">
      <c r="A250" s="45"/>
      <c r="B250" s="45"/>
      <c r="C250" s="45"/>
      <c r="D250" s="45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47"/>
      <c r="DW250" s="47"/>
      <c r="DX250" s="47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</row>
    <row r="251" spans="1:268" s="34" customFormat="1">
      <c r="A251" s="45"/>
      <c r="B251" s="45"/>
      <c r="C251" s="45"/>
      <c r="D251" s="45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47"/>
      <c r="DW251" s="47"/>
      <c r="DX251" s="47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</row>
    <row r="252" spans="1:268" s="34" customFormat="1">
      <c r="A252" s="45"/>
      <c r="B252" s="45"/>
      <c r="C252" s="45"/>
      <c r="D252" s="45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47"/>
      <c r="DW252" s="47"/>
      <c r="DX252" s="47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</row>
    <row r="253" spans="1:268" s="34" customFormat="1">
      <c r="A253" s="45"/>
      <c r="B253" s="45"/>
      <c r="C253" s="45"/>
      <c r="D253" s="45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47"/>
      <c r="DW253" s="47"/>
      <c r="DX253" s="47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</row>
    <row r="254" spans="1:268" s="34" customFormat="1">
      <c r="A254" s="45"/>
      <c r="B254" s="45"/>
      <c r="C254" s="45"/>
      <c r="D254" s="45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47"/>
      <c r="DW254" s="47"/>
      <c r="DX254" s="47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</row>
    <row r="255" spans="1:268" s="34" customFormat="1">
      <c r="A255" s="45"/>
      <c r="B255" s="45"/>
      <c r="C255" s="45"/>
      <c r="D255" s="45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47"/>
      <c r="DW255" s="47"/>
      <c r="DX255" s="47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</row>
    <row r="256" spans="1:268" s="34" customFormat="1">
      <c r="A256" s="45"/>
      <c r="B256" s="45"/>
      <c r="C256" s="45"/>
      <c r="D256" s="45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47"/>
      <c r="DW256" s="47"/>
      <c r="DX256" s="47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</row>
    <row r="257" spans="1:268" s="34" customFormat="1">
      <c r="A257" s="45"/>
      <c r="B257" s="45"/>
      <c r="C257" s="45"/>
      <c r="D257" s="45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47"/>
      <c r="DW257" s="47"/>
      <c r="DX257" s="47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</row>
    <row r="258" spans="1:268" s="34" customFormat="1">
      <c r="A258" s="45"/>
      <c r="B258" s="45"/>
      <c r="C258" s="45"/>
      <c r="D258" s="45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47"/>
      <c r="DW258" s="47"/>
      <c r="DX258" s="47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</row>
    <row r="259" spans="1:268" s="34" customFormat="1">
      <c r="A259" s="45"/>
      <c r="B259" s="45"/>
      <c r="C259" s="45"/>
      <c r="D259" s="45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47"/>
      <c r="DW259" s="47"/>
      <c r="DX259" s="47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</row>
    <row r="260" spans="1:268" s="34" customFormat="1">
      <c r="A260" s="45"/>
      <c r="B260" s="45"/>
      <c r="C260" s="45"/>
      <c r="D260" s="45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47"/>
      <c r="DW260" s="47"/>
      <c r="DX260" s="47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</row>
    <row r="261" spans="1:268" s="34" customFormat="1">
      <c r="A261" s="45"/>
      <c r="B261" s="45"/>
      <c r="C261" s="45"/>
      <c r="D261" s="45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47"/>
      <c r="DW261" s="47"/>
      <c r="DX261" s="47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</row>
    <row r="262" spans="1:268" s="34" customFormat="1">
      <c r="A262" s="45"/>
      <c r="B262" s="45"/>
      <c r="C262" s="45"/>
      <c r="D262" s="45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47"/>
      <c r="DW262" s="47"/>
      <c r="DX262" s="47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</row>
    <row r="263" spans="1:268" s="34" customFormat="1">
      <c r="A263" s="45"/>
      <c r="B263" s="45"/>
      <c r="C263" s="45"/>
      <c r="D263" s="45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47"/>
      <c r="DW263" s="47"/>
      <c r="DX263" s="47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</row>
    <row r="264" spans="1:268" s="34" customFormat="1">
      <c r="A264" s="45"/>
      <c r="B264" s="45"/>
      <c r="C264" s="45"/>
      <c r="D264" s="45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47"/>
      <c r="DW264" s="47"/>
      <c r="DX264" s="47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</row>
    <row r="265" spans="1:268" s="2" customFormat="1">
      <c r="A265" s="48"/>
      <c r="B265" s="48"/>
      <c r="C265" s="48"/>
      <c r="D265" s="48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DV265" s="1"/>
      <c r="DW265" s="1"/>
      <c r="DX265" s="1"/>
    </row>
    <row r="266" spans="1:268" s="2" customFormat="1">
      <c r="A266" s="48"/>
      <c r="B266" s="48"/>
      <c r="C266" s="48"/>
      <c r="D266" s="48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DV266" s="1"/>
      <c r="DW266" s="1"/>
      <c r="DX266" s="1"/>
    </row>
    <row r="267" spans="1:268" s="2" customFormat="1">
      <c r="A267" s="48"/>
      <c r="B267" s="48"/>
      <c r="C267" s="48"/>
      <c r="D267" s="48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DV267" s="1"/>
      <c r="DW267" s="1"/>
      <c r="DX267" s="1"/>
    </row>
    <row r="268" spans="1:268" s="2" customFormat="1">
      <c r="A268" s="48"/>
      <c r="B268" s="48"/>
      <c r="C268" s="48"/>
      <c r="D268" s="48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DV268" s="1"/>
      <c r="DW268" s="1"/>
      <c r="DX268" s="1"/>
    </row>
    <row r="269" spans="1:268" s="2" customFormat="1">
      <c r="A269" s="48"/>
      <c r="B269" s="48"/>
      <c r="C269" s="48"/>
      <c r="D269" s="48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DV269" s="1"/>
      <c r="DW269" s="1"/>
      <c r="DX269" s="1"/>
    </row>
    <row r="270" spans="1:268" s="2" customFormat="1">
      <c r="A270" s="48"/>
      <c r="B270" s="48"/>
      <c r="C270" s="48"/>
      <c r="D270" s="48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DV270" s="1"/>
      <c r="DW270" s="1"/>
      <c r="DX270" s="1"/>
    </row>
    <row r="271" spans="1:268" s="2" customFormat="1">
      <c r="A271" s="48"/>
      <c r="B271" s="48"/>
      <c r="C271" s="48"/>
      <c r="D271" s="48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DV271" s="1"/>
      <c r="DW271" s="1"/>
      <c r="DX271" s="1"/>
    </row>
    <row r="272" spans="1:268" s="2" customFormat="1">
      <c r="A272" s="48"/>
      <c r="B272" s="48"/>
      <c r="C272" s="48"/>
      <c r="D272" s="48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DV272" s="1"/>
      <c r="DW272" s="1"/>
      <c r="DX272" s="1"/>
    </row>
    <row r="273" spans="1:128" s="2" customFormat="1">
      <c r="A273" s="48"/>
      <c r="B273" s="48"/>
      <c r="C273" s="48"/>
      <c r="D273" s="48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DV273" s="1"/>
      <c r="DW273" s="1"/>
      <c r="DX273" s="1"/>
    </row>
    <row r="274" spans="1:128" s="2" customFormat="1">
      <c r="A274" s="48"/>
      <c r="B274" s="48"/>
      <c r="C274" s="48"/>
      <c r="D274" s="48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DV274" s="1"/>
      <c r="DW274" s="1"/>
      <c r="DX274" s="1"/>
    </row>
    <row r="275" spans="1:128" s="2" customFormat="1">
      <c r="A275" s="48"/>
      <c r="B275" s="48"/>
      <c r="C275" s="48"/>
      <c r="D275" s="48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DV275" s="1"/>
      <c r="DW275" s="1"/>
      <c r="DX275" s="1"/>
    </row>
    <row r="276" spans="1:128" s="2" customFormat="1">
      <c r="A276" s="48"/>
      <c r="B276" s="48"/>
      <c r="C276" s="48"/>
      <c r="D276" s="48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DV276" s="1"/>
      <c r="DW276" s="1"/>
      <c r="DX276" s="1"/>
    </row>
    <row r="277" spans="1:128" s="2" customFormat="1">
      <c r="A277" s="48"/>
      <c r="B277" s="48"/>
      <c r="C277" s="48"/>
      <c r="D277" s="48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DV277" s="1"/>
      <c r="DW277" s="1"/>
      <c r="DX277" s="1"/>
    </row>
    <row r="278" spans="1:128" s="2" customFormat="1">
      <c r="A278" s="48"/>
      <c r="B278" s="48"/>
      <c r="C278" s="48"/>
      <c r="D278" s="48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DV278" s="1"/>
      <c r="DW278" s="1"/>
      <c r="DX278" s="1"/>
    </row>
    <row r="279" spans="1:128" s="2" customFormat="1">
      <c r="A279" s="48"/>
      <c r="B279" s="48"/>
      <c r="C279" s="48"/>
      <c r="D279" s="48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DV279" s="1"/>
      <c r="DW279" s="1"/>
      <c r="DX279" s="1"/>
    </row>
    <row r="280" spans="1:128" s="2" customFormat="1">
      <c r="A280" s="48"/>
      <c r="B280" s="48"/>
      <c r="C280" s="48"/>
      <c r="D280" s="48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DV280" s="1"/>
      <c r="DW280" s="1"/>
      <c r="DX280" s="1"/>
    </row>
    <row r="281" spans="1:128" s="2" customFormat="1">
      <c r="A281" s="48"/>
      <c r="B281" s="48"/>
      <c r="C281" s="48"/>
      <c r="D281" s="48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DV281" s="1"/>
      <c r="DW281" s="1"/>
      <c r="DX281" s="1"/>
    </row>
    <row r="282" spans="1:128" s="2" customFormat="1">
      <c r="A282" s="48"/>
      <c r="B282" s="48"/>
      <c r="C282" s="48"/>
      <c r="D282" s="48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DV282" s="1"/>
      <c r="DW282" s="1"/>
      <c r="DX282" s="1"/>
    </row>
    <row r="283" spans="1:128" s="2" customFormat="1">
      <c r="A283" s="48"/>
      <c r="B283" s="48"/>
      <c r="C283" s="48"/>
      <c r="D283" s="48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DV283" s="1"/>
      <c r="DW283" s="1"/>
      <c r="DX283" s="1"/>
    </row>
    <row r="284" spans="1:128" s="2" customFormat="1">
      <c r="A284" s="48"/>
      <c r="B284" s="48"/>
      <c r="C284" s="48"/>
      <c r="D284" s="48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DV284" s="1"/>
      <c r="DW284" s="1"/>
      <c r="DX284" s="1"/>
    </row>
    <row r="285" spans="1:128" s="2" customFormat="1">
      <c r="A285" s="48"/>
      <c r="B285" s="48"/>
      <c r="C285" s="48"/>
      <c r="D285" s="48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DV285" s="1"/>
      <c r="DW285" s="1"/>
      <c r="DX285" s="1"/>
    </row>
    <row r="286" spans="1:128" s="2" customFormat="1">
      <c r="A286" s="48"/>
      <c r="B286" s="48"/>
      <c r="C286" s="48"/>
      <c r="D286" s="48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DV286" s="1"/>
      <c r="DW286" s="1"/>
      <c r="DX286" s="1"/>
    </row>
    <row r="287" spans="1:128" s="2" customFormat="1">
      <c r="A287" s="48"/>
      <c r="B287" s="48"/>
      <c r="C287" s="48"/>
      <c r="D287" s="48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DV287" s="1"/>
      <c r="DW287" s="1"/>
      <c r="DX287" s="1"/>
    </row>
    <row r="288" spans="1:128" s="2" customFormat="1">
      <c r="A288" s="48"/>
      <c r="B288" s="48"/>
      <c r="C288" s="48"/>
      <c r="D288" s="48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DV288" s="1"/>
      <c r="DW288" s="1"/>
      <c r="DX288" s="1"/>
    </row>
    <row r="289" spans="1:128" s="2" customFormat="1">
      <c r="A289" s="48"/>
      <c r="B289" s="48"/>
      <c r="C289" s="48"/>
      <c r="D289" s="48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DV289" s="1"/>
      <c r="DW289" s="1"/>
      <c r="DX289" s="1"/>
    </row>
    <row r="290" spans="1:128" s="2" customFormat="1">
      <c r="A290" s="48"/>
      <c r="B290" s="48"/>
      <c r="C290" s="48"/>
      <c r="D290" s="48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DV290" s="1"/>
      <c r="DW290" s="1"/>
      <c r="DX290" s="1"/>
    </row>
    <row r="291" spans="1:128" s="2" customFormat="1">
      <c r="A291" s="48"/>
      <c r="B291" s="48"/>
      <c r="C291" s="48"/>
      <c r="D291" s="48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DV291" s="1"/>
      <c r="DW291" s="1"/>
      <c r="DX291" s="1"/>
    </row>
    <row r="292" spans="1:128" s="2" customFormat="1">
      <c r="A292" s="48"/>
      <c r="B292" s="48"/>
      <c r="C292" s="48"/>
      <c r="D292" s="48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DV292" s="1"/>
      <c r="DW292" s="1"/>
      <c r="DX292" s="1"/>
    </row>
    <row r="293" spans="1:128" s="2" customFormat="1">
      <c r="A293" s="48"/>
      <c r="B293" s="48"/>
      <c r="C293" s="48"/>
      <c r="D293" s="48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DV293" s="1"/>
      <c r="DW293" s="1"/>
      <c r="DX293" s="1"/>
    </row>
    <row r="294" spans="1:128" s="2" customFormat="1">
      <c r="A294" s="48"/>
      <c r="B294" s="48"/>
      <c r="C294" s="48"/>
      <c r="D294" s="48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DV294" s="1"/>
      <c r="DW294" s="1"/>
      <c r="DX294" s="1"/>
    </row>
    <row r="295" spans="1:128" s="2" customFormat="1">
      <c r="A295" s="48"/>
      <c r="B295" s="48"/>
      <c r="C295" s="48"/>
      <c r="D295" s="48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DV295" s="1"/>
      <c r="DW295" s="1"/>
      <c r="DX295" s="1"/>
    </row>
    <row r="296" spans="1:128" s="2" customFormat="1">
      <c r="A296" s="48"/>
      <c r="B296" s="48"/>
      <c r="C296" s="48"/>
      <c r="D296" s="48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DV296" s="1"/>
      <c r="DW296" s="1"/>
      <c r="DX296" s="1"/>
    </row>
    <row r="297" spans="1:128" s="2" customFormat="1">
      <c r="A297" s="48"/>
      <c r="B297" s="48"/>
      <c r="C297" s="48"/>
      <c r="D297" s="48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DV297" s="1"/>
      <c r="DW297" s="1"/>
      <c r="DX297" s="1"/>
    </row>
    <row r="298" spans="1:128" s="2" customFormat="1">
      <c r="A298" s="48"/>
      <c r="B298" s="48"/>
      <c r="C298" s="48"/>
      <c r="D298" s="48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DV298" s="1"/>
      <c r="DW298" s="1"/>
      <c r="DX298" s="1"/>
    </row>
    <row r="299" spans="1:128" s="2" customFormat="1">
      <c r="A299" s="48"/>
      <c r="B299" s="48"/>
      <c r="C299" s="48"/>
      <c r="D299" s="48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DV299" s="1"/>
      <c r="DW299" s="1"/>
      <c r="DX299" s="1"/>
    </row>
    <row r="300" spans="1:128" s="2" customFormat="1">
      <c r="A300" s="48"/>
      <c r="B300" s="48"/>
      <c r="C300" s="48"/>
      <c r="D300" s="48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DV300" s="1"/>
      <c r="DW300" s="1"/>
      <c r="DX300" s="1"/>
    </row>
    <row r="301" spans="1:128" s="2" customFormat="1">
      <c r="A301" s="48"/>
      <c r="B301" s="48"/>
      <c r="C301" s="48"/>
      <c r="D301" s="48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DV301" s="1"/>
      <c r="DW301" s="1"/>
      <c r="DX301" s="1"/>
    </row>
    <row r="302" spans="1:128" s="2" customFormat="1">
      <c r="A302" s="48"/>
      <c r="B302" s="48"/>
      <c r="C302" s="48"/>
      <c r="D302" s="48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DV302" s="1"/>
      <c r="DW302" s="1"/>
      <c r="DX302" s="1"/>
    </row>
    <row r="303" spans="1:128" s="2" customFormat="1">
      <c r="A303" s="48"/>
      <c r="B303" s="48"/>
      <c r="C303" s="48"/>
      <c r="D303" s="48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DV303" s="1"/>
      <c r="DW303" s="1"/>
      <c r="DX303" s="1"/>
    </row>
    <row r="304" spans="1:128" s="2" customFormat="1">
      <c r="A304" s="48"/>
      <c r="B304" s="48"/>
      <c r="C304" s="48"/>
      <c r="D304" s="48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DV304" s="1"/>
      <c r="DW304" s="1"/>
      <c r="DX304" s="1"/>
    </row>
    <row r="305" spans="1:128" s="2" customFormat="1">
      <c r="A305" s="48"/>
      <c r="B305" s="48"/>
      <c r="C305" s="48"/>
      <c r="D305" s="48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DV305" s="1"/>
      <c r="DW305" s="1"/>
      <c r="DX305" s="1"/>
    </row>
  </sheetData>
  <mergeCells count="232">
    <mergeCell ref="DK6:DL6"/>
    <mergeCell ref="CO6:CP6"/>
    <mergeCell ref="CQ6:CR6"/>
    <mergeCell ref="CS6:CT6"/>
    <mergeCell ref="CU6:CV6"/>
    <mergeCell ref="CW6:CX6"/>
    <mergeCell ref="CY6:CZ6"/>
    <mergeCell ref="CC6:CD6"/>
    <mergeCell ref="CE6:CF6"/>
    <mergeCell ref="CG6:CH6"/>
    <mergeCell ref="CI6:CJ6"/>
    <mergeCell ref="DA6:DB6"/>
    <mergeCell ref="DC6:DD6"/>
    <mergeCell ref="DE6:DF6"/>
    <mergeCell ref="DG6:DH6"/>
    <mergeCell ref="DI6:DJ6"/>
    <mergeCell ref="AC6:AD6"/>
    <mergeCell ref="AE6:AF6"/>
    <mergeCell ref="AG6:AH6"/>
    <mergeCell ref="AI6:AJ6"/>
    <mergeCell ref="AK6:AL6"/>
    <mergeCell ref="AM6:AN6"/>
    <mergeCell ref="BQ6:BR6"/>
    <mergeCell ref="BG6:BH6"/>
    <mergeCell ref="BI6:BJ6"/>
    <mergeCell ref="BK6:BL6"/>
    <mergeCell ref="K6:L6"/>
    <mergeCell ref="DM6:DN6"/>
    <mergeCell ref="DO6:DP6"/>
    <mergeCell ref="M6:N6"/>
    <mergeCell ref="O6:P6"/>
    <mergeCell ref="CK6:CL6"/>
    <mergeCell ref="CM6:CN6"/>
    <mergeCell ref="C1:DV1"/>
    <mergeCell ref="C2:DV2"/>
    <mergeCell ref="Q6:R6"/>
    <mergeCell ref="S6:T6"/>
    <mergeCell ref="U6:V6"/>
    <mergeCell ref="W6:X6"/>
    <mergeCell ref="Y6:Z6"/>
    <mergeCell ref="AA6:AB6"/>
    <mergeCell ref="BA5:BB6"/>
    <mergeCell ref="BC5:DP5"/>
    <mergeCell ref="DQ5:DR6"/>
    <mergeCell ref="AO6:AP6"/>
    <mergeCell ref="AQ6:AR6"/>
    <mergeCell ref="AS6:AT6"/>
    <mergeCell ref="AU6:AV6"/>
    <mergeCell ref="AW6:AX6"/>
    <mergeCell ref="BC6:BD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8:B8"/>
    <mergeCell ref="A9:B9"/>
    <mergeCell ref="A10:B10"/>
    <mergeCell ref="A12:B12"/>
    <mergeCell ref="BS6:BT6"/>
    <mergeCell ref="BU6:BV6"/>
    <mergeCell ref="BW6:BX6"/>
    <mergeCell ref="BY6:BZ6"/>
    <mergeCell ref="CA6:CB6"/>
    <mergeCell ref="BE6:BF6"/>
    <mergeCell ref="A4:B7"/>
    <mergeCell ref="C4:D4"/>
    <mergeCell ref="BM6:BN6"/>
    <mergeCell ref="BO6:BP6"/>
    <mergeCell ref="E4:AX4"/>
    <mergeCell ref="AY4:DV4"/>
    <mergeCell ref="C5:D6"/>
    <mergeCell ref="E5:F6"/>
    <mergeCell ref="G5:AX5"/>
    <mergeCell ref="AY5:AZ6"/>
    <mergeCell ref="DS5:DT6"/>
    <mergeCell ref="DU5:DV6"/>
    <mergeCell ref="G6:H6"/>
    <mergeCell ref="I6:J6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M97:N97"/>
    <mergeCell ref="O97:P97"/>
    <mergeCell ref="Q97:R97"/>
    <mergeCell ref="S97:T97"/>
    <mergeCell ref="U97:V97"/>
    <mergeCell ref="W97:X97"/>
    <mergeCell ref="A97:B97"/>
    <mergeCell ref="C97:D97"/>
    <mergeCell ref="E97:F97"/>
    <mergeCell ref="G97:H97"/>
    <mergeCell ref="I97:J97"/>
    <mergeCell ref="K97:L97"/>
    <mergeCell ref="AK97:AL97"/>
    <mergeCell ref="AM97:AN97"/>
    <mergeCell ref="AO97:AP97"/>
    <mergeCell ref="AQ97:AR97"/>
    <mergeCell ref="AS97:AT97"/>
    <mergeCell ref="AU97:AV97"/>
    <mergeCell ref="Y97:Z97"/>
    <mergeCell ref="AA97:AB97"/>
    <mergeCell ref="AC97:AD97"/>
    <mergeCell ref="AE97:AF97"/>
    <mergeCell ref="AG97:AH97"/>
    <mergeCell ref="AI97:AJ97"/>
    <mergeCell ref="BI97:BJ97"/>
    <mergeCell ref="BK97:BL97"/>
    <mergeCell ref="BM97:BN97"/>
    <mergeCell ref="BO97:BP97"/>
    <mergeCell ref="BQ97:BR97"/>
    <mergeCell ref="BS97:BT97"/>
    <mergeCell ref="AW97:AX97"/>
    <mergeCell ref="AY97:AZ97"/>
    <mergeCell ref="BA97:BB97"/>
    <mergeCell ref="BC97:BD97"/>
    <mergeCell ref="BE97:BF97"/>
    <mergeCell ref="BG97:BH97"/>
    <mergeCell ref="CG97:CH97"/>
    <mergeCell ref="CI97:CJ97"/>
    <mergeCell ref="CK97:CL97"/>
    <mergeCell ref="CM97:CN97"/>
    <mergeCell ref="CO97:CP97"/>
    <mergeCell ref="CQ97:CR97"/>
    <mergeCell ref="BU97:BV97"/>
    <mergeCell ref="BW97:BX97"/>
    <mergeCell ref="BY97:BZ97"/>
    <mergeCell ref="CA97:CB97"/>
    <mergeCell ref="CC97:CD97"/>
    <mergeCell ref="CE97:CF97"/>
    <mergeCell ref="DK97:DL97"/>
    <mergeCell ref="DM97:DN97"/>
    <mergeCell ref="DO97:DP97"/>
    <mergeCell ref="DQ97:DR97"/>
    <mergeCell ref="DS97:DT97"/>
    <mergeCell ref="DU97:DV97"/>
    <mergeCell ref="CS97:CT97"/>
    <mergeCell ref="CU97:CV97"/>
    <mergeCell ref="CY97:CZ97"/>
    <mergeCell ref="DA97:DB97"/>
    <mergeCell ref="DE97:DF97"/>
    <mergeCell ref="DG97:DH97"/>
    <mergeCell ref="A110:B110"/>
    <mergeCell ref="A111:B111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</mergeCells>
  <printOptions horizontalCentered="1"/>
  <pageMargins left="0.15748031496062992" right="0.15748031496062992" top="0.26" bottom="0.17" header="0.15748031496062992" footer="0.15748031496062992"/>
  <pageSetup paperSize="8" scale="65" fitToWidth="3" fitToHeight="5" orientation="landscape" r:id="rId1"/>
  <headerFooter alignWithMargins="0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25"/>
  <sheetViews>
    <sheetView view="pageBreakPreview" zoomScale="75" zoomScaleNormal="70" zoomScaleSheetLayoutView="75" workbookViewId="0">
      <pane xSplit="2" ySplit="8" topLeftCell="C9" activePane="bottomRight" state="frozen"/>
      <selection activeCell="BJ118" sqref="BJ118"/>
      <selection pane="topRight" activeCell="BJ118" sqref="BJ118"/>
      <selection pane="bottomLeft" activeCell="BJ118" sqref="BJ118"/>
      <selection pane="bottomRight" activeCell="D31" sqref="D31"/>
    </sheetView>
  </sheetViews>
  <sheetFormatPr defaultColWidth="9.33203125" defaultRowHeight="15"/>
  <cols>
    <col min="1" max="1" width="60.6640625" style="50" customWidth="1"/>
    <col min="2" max="2" width="5.5" style="50" customWidth="1"/>
    <col min="3" max="3" width="16.6640625" style="50" hidden="1" customWidth="1"/>
    <col min="4" max="6" width="16.6640625" style="51" customWidth="1"/>
    <col min="7" max="24" width="16.6640625" style="51" hidden="1" customWidth="1"/>
    <col min="25" max="26" width="16.6640625" style="51" customWidth="1"/>
    <col min="27" max="30" width="16.6640625" style="3" customWidth="1"/>
    <col min="31" max="57" width="16.6640625" style="3" hidden="1" customWidth="1"/>
    <col min="58" max="64" width="16.6640625" style="3" customWidth="1"/>
    <col min="65" max="65" width="16.6640625" style="1" customWidth="1"/>
    <col min="66" max="66" width="12.33203125" style="1" customWidth="1"/>
    <col min="67" max="87" width="12.33203125" style="2" customWidth="1"/>
    <col min="88" max="206" width="9.33203125" style="2"/>
    <col min="207" max="16384" width="9.33203125" style="3"/>
  </cols>
  <sheetData>
    <row r="1" spans="1:206" ht="57" customHeight="1">
      <c r="A1" s="334" t="s">
        <v>159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206" ht="21.75" customHeight="1">
      <c r="A2" s="3"/>
      <c r="C2" s="340" t="s">
        <v>168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</row>
    <row r="3" spans="1:206" ht="15.75" customHeight="1"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</row>
    <row r="4" spans="1:206" ht="15" customHeigh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L4" s="7" t="s">
        <v>2</v>
      </c>
    </row>
    <row r="5" spans="1:206" ht="15.75" customHeight="1">
      <c r="A5" s="323" t="s">
        <v>3</v>
      </c>
      <c r="B5" s="324"/>
      <c r="C5" s="100" t="s">
        <v>4</v>
      </c>
      <c r="D5" s="331" t="s">
        <v>171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 t="s">
        <v>172</v>
      </c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9"/>
    </row>
    <row r="6" spans="1:206" s="120" customFormat="1" ht="16.5" customHeight="1">
      <c r="A6" s="325"/>
      <c r="B6" s="326"/>
      <c r="C6" s="332" t="s">
        <v>149</v>
      </c>
      <c r="D6" s="333" t="s">
        <v>149</v>
      </c>
      <c r="E6" s="332" t="s">
        <v>8</v>
      </c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 t="s">
        <v>150</v>
      </c>
      <c r="AB6" s="321" t="s">
        <v>96</v>
      </c>
      <c r="AC6" s="322" t="s">
        <v>10</v>
      </c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35" t="s">
        <v>125</v>
      </c>
      <c r="BK6" s="339" t="s">
        <v>126</v>
      </c>
      <c r="BL6" s="339" t="s">
        <v>96</v>
      </c>
      <c r="BM6" s="163"/>
      <c r="BN6" s="118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</row>
    <row r="7" spans="1:206" s="120" customFormat="1" ht="51.75" customHeight="1">
      <c r="A7" s="325"/>
      <c r="B7" s="326"/>
      <c r="C7" s="332"/>
      <c r="D7" s="333"/>
      <c r="E7" s="102" t="s">
        <v>11</v>
      </c>
      <c r="F7" s="102" t="s">
        <v>12</v>
      </c>
      <c r="G7" s="126" t="s">
        <v>70</v>
      </c>
      <c r="H7" s="102" t="s">
        <v>13</v>
      </c>
      <c r="I7" s="126" t="s">
        <v>14</v>
      </c>
      <c r="J7" s="102" t="s">
        <v>15</v>
      </c>
      <c r="K7" s="126" t="s">
        <v>81</v>
      </c>
      <c r="L7" s="102" t="s">
        <v>16</v>
      </c>
      <c r="M7" s="126" t="s">
        <v>82</v>
      </c>
      <c r="N7" s="102" t="s">
        <v>17</v>
      </c>
      <c r="O7" s="126" t="s">
        <v>83</v>
      </c>
      <c r="P7" s="102" t="s">
        <v>18</v>
      </c>
      <c r="Q7" s="126" t="s">
        <v>84</v>
      </c>
      <c r="R7" s="102" t="s">
        <v>19</v>
      </c>
      <c r="S7" s="126" t="s">
        <v>85</v>
      </c>
      <c r="T7" s="102" t="s">
        <v>20</v>
      </c>
      <c r="U7" s="126" t="s">
        <v>86</v>
      </c>
      <c r="V7" s="102" t="s">
        <v>21</v>
      </c>
      <c r="W7" s="126" t="s">
        <v>87</v>
      </c>
      <c r="X7" s="102" t="s">
        <v>22</v>
      </c>
      <c r="Y7" s="126" t="s">
        <v>88</v>
      </c>
      <c r="Z7" s="102" t="s">
        <v>23</v>
      </c>
      <c r="AA7" s="332"/>
      <c r="AB7" s="321"/>
      <c r="AC7" s="102" t="s">
        <v>11</v>
      </c>
      <c r="AD7" s="102" t="s">
        <v>12</v>
      </c>
      <c r="AE7" s="126" t="s">
        <v>70</v>
      </c>
      <c r="AF7" s="127" t="s">
        <v>96</v>
      </c>
      <c r="AG7" s="102" t="s">
        <v>13</v>
      </c>
      <c r="AH7" s="126" t="s">
        <v>14</v>
      </c>
      <c r="AI7" s="127" t="s">
        <v>96</v>
      </c>
      <c r="AJ7" s="102" t="s">
        <v>15</v>
      </c>
      <c r="AK7" s="126" t="s">
        <v>81</v>
      </c>
      <c r="AL7" s="127" t="s">
        <v>96</v>
      </c>
      <c r="AM7" s="102" t="s">
        <v>141</v>
      </c>
      <c r="AN7" s="126" t="s">
        <v>82</v>
      </c>
      <c r="AO7" s="127" t="s">
        <v>96</v>
      </c>
      <c r="AP7" s="102" t="s">
        <v>17</v>
      </c>
      <c r="AQ7" s="126" t="s">
        <v>83</v>
      </c>
      <c r="AR7" s="127" t="s">
        <v>96</v>
      </c>
      <c r="AS7" s="102" t="s">
        <v>18</v>
      </c>
      <c r="AT7" s="126" t="s">
        <v>84</v>
      </c>
      <c r="AU7" s="127" t="s">
        <v>96</v>
      </c>
      <c r="AV7" s="102" t="s">
        <v>19</v>
      </c>
      <c r="AW7" s="126" t="s">
        <v>85</v>
      </c>
      <c r="AX7" s="127" t="s">
        <v>96</v>
      </c>
      <c r="AY7" s="102" t="s">
        <v>20</v>
      </c>
      <c r="AZ7" s="126" t="s">
        <v>86</v>
      </c>
      <c r="BA7" s="179" t="s">
        <v>96</v>
      </c>
      <c r="BB7" s="102" t="s">
        <v>21</v>
      </c>
      <c r="BC7" s="126" t="s">
        <v>87</v>
      </c>
      <c r="BD7" s="127" t="s">
        <v>96</v>
      </c>
      <c r="BE7" s="102" t="s">
        <v>22</v>
      </c>
      <c r="BF7" s="126" t="s">
        <v>88</v>
      </c>
      <c r="BG7" s="127" t="s">
        <v>96</v>
      </c>
      <c r="BH7" s="102" t="s">
        <v>23</v>
      </c>
      <c r="BI7" s="112" t="s">
        <v>117</v>
      </c>
      <c r="BJ7" s="337"/>
      <c r="BK7" s="339"/>
      <c r="BL7" s="339"/>
      <c r="BM7" s="164"/>
      <c r="BN7" s="118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</row>
    <row r="8" spans="1:206" s="12" customFormat="1" ht="52.5" hidden="1" customHeight="1">
      <c r="A8" s="327"/>
      <c r="B8" s="328"/>
      <c r="C8" s="95" t="s">
        <v>26</v>
      </c>
      <c r="D8" s="128" t="s">
        <v>26</v>
      </c>
      <c r="E8" s="95" t="str">
        <f t="shared" ref="E8:Z8" si="0">D8</f>
        <v>консолиди-                       рованный бюджет района</v>
      </c>
      <c r="F8" s="95" t="str">
        <f t="shared" si="0"/>
        <v>консолиди-                       рованный бюджет района</v>
      </c>
      <c r="G8" s="128" t="str">
        <f t="shared" si="0"/>
        <v>консолиди-                       рованный бюджет района</v>
      </c>
      <c r="H8" s="95" t="str">
        <f t="shared" si="0"/>
        <v>консолиди-                       рованный бюджет района</v>
      </c>
      <c r="I8" s="128" t="str">
        <f t="shared" si="0"/>
        <v>консолиди-                       рованный бюджет района</v>
      </c>
      <c r="J8" s="95" t="str">
        <f t="shared" si="0"/>
        <v>консолиди-                       рованный бюджет района</v>
      </c>
      <c r="K8" s="128" t="str">
        <f t="shared" si="0"/>
        <v>консолиди-                       рованный бюджет района</v>
      </c>
      <c r="L8" s="95" t="str">
        <f t="shared" si="0"/>
        <v>консолиди-                       рованный бюджет района</v>
      </c>
      <c r="M8" s="128" t="str">
        <f t="shared" si="0"/>
        <v>консолиди-                       рованный бюджет района</v>
      </c>
      <c r="N8" s="95" t="str">
        <f t="shared" si="0"/>
        <v>консолиди-                       рованный бюджет района</v>
      </c>
      <c r="O8" s="128" t="str">
        <f t="shared" si="0"/>
        <v>консолиди-                       рованный бюджет района</v>
      </c>
      <c r="P8" s="95" t="str">
        <f t="shared" si="0"/>
        <v>консолиди-                       рованный бюджет района</v>
      </c>
      <c r="Q8" s="128" t="str">
        <f t="shared" si="0"/>
        <v>консолиди-                       рованный бюджет района</v>
      </c>
      <c r="R8" s="95" t="str">
        <f t="shared" si="0"/>
        <v>консолиди-                       рованный бюджет района</v>
      </c>
      <c r="S8" s="128" t="str">
        <f t="shared" si="0"/>
        <v>консолиди-                       рованный бюджет района</v>
      </c>
      <c r="T8" s="95" t="str">
        <f t="shared" si="0"/>
        <v>консолиди-                       рованный бюджет района</v>
      </c>
      <c r="U8" s="128" t="str">
        <f t="shared" si="0"/>
        <v>консолиди-                       рованный бюджет района</v>
      </c>
      <c r="V8" s="95" t="str">
        <f t="shared" si="0"/>
        <v>консолиди-                       рованный бюджет района</v>
      </c>
      <c r="W8" s="128" t="str">
        <f t="shared" si="0"/>
        <v>консолиди-                       рованный бюджет района</v>
      </c>
      <c r="X8" s="95" t="str">
        <f t="shared" si="0"/>
        <v>консолиди-                       рованный бюджет района</v>
      </c>
      <c r="Y8" s="128" t="str">
        <f t="shared" si="0"/>
        <v>консолиди-                       рованный бюджет района</v>
      </c>
      <c r="Z8" s="95" t="str">
        <f t="shared" si="0"/>
        <v>консолиди-                       рованный бюджет района</v>
      </c>
      <c r="AA8" s="95" t="str">
        <f>D8</f>
        <v>консолиди-                       рованный бюджет района</v>
      </c>
      <c r="AB8" s="128" t="str">
        <f>AA8</f>
        <v>консолиди-                       рованный бюджет района</v>
      </c>
      <c r="AC8" s="95" t="s">
        <v>27</v>
      </c>
      <c r="AD8" s="95" t="s">
        <v>27</v>
      </c>
      <c r="AE8" s="128" t="str">
        <f>AD8</f>
        <v>консолидированный бюджет района</v>
      </c>
      <c r="AF8" s="128" t="str">
        <f>AE8</f>
        <v>консолидированный бюджет района</v>
      </c>
      <c r="AG8" s="95" t="s">
        <v>27</v>
      </c>
      <c r="AH8" s="128" t="str">
        <f>AG8</f>
        <v>консолидированный бюджет района</v>
      </c>
      <c r="AI8" s="128" t="str">
        <f>AH8</f>
        <v>консолидированный бюджет района</v>
      </c>
      <c r="AJ8" s="95" t="str">
        <f>AH8</f>
        <v>консолидированный бюджет района</v>
      </c>
      <c r="AK8" s="128" t="str">
        <f>AJ8</f>
        <v>консолидированный бюджет района</v>
      </c>
      <c r="AL8" s="128" t="str">
        <f>AK8</f>
        <v>консолидированный бюджет района</v>
      </c>
      <c r="AM8" s="95" t="str">
        <f>AK8</f>
        <v>консолидированный бюджет района</v>
      </c>
      <c r="AN8" s="128" t="str">
        <f>AM8</f>
        <v>консолидированный бюджет района</v>
      </c>
      <c r="AO8" s="128" t="str">
        <f>AN8</f>
        <v>консолидированный бюджет района</v>
      </c>
      <c r="AP8" s="95" t="str">
        <f>AN8</f>
        <v>консолидированный бюджет района</v>
      </c>
      <c r="AQ8" s="128" t="str">
        <f>AP8</f>
        <v>консолидированный бюджет района</v>
      </c>
      <c r="AR8" s="128" t="str">
        <f>AQ8</f>
        <v>консолидированный бюджет района</v>
      </c>
      <c r="AS8" s="95" t="str">
        <f>AQ8</f>
        <v>консолидированный бюджет района</v>
      </c>
      <c r="AT8" s="128" t="str">
        <f>AS8</f>
        <v>консолидированный бюджет района</v>
      </c>
      <c r="AU8" s="128" t="str">
        <f>AT8</f>
        <v>консолидированный бюджет района</v>
      </c>
      <c r="AV8" s="95" t="str">
        <f>AT8</f>
        <v>консолидированный бюджет района</v>
      </c>
      <c r="AW8" s="128" t="str">
        <f>AV8</f>
        <v>консолидированный бюджет района</v>
      </c>
      <c r="AX8" s="128" t="str">
        <f>AW8</f>
        <v>консолидированный бюджет района</v>
      </c>
      <c r="AY8" s="95" t="str">
        <f>AW8</f>
        <v>консолидированный бюджет района</v>
      </c>
      <c r="AZ8" s="128" t="str">
        <f>AY8</f>
        <v>консолидированный бюджет района</v>
      </c>
      <c r="BA8" s="128" t="str">
        <f>AZ8</f>
        <v>консолидированный бюджет района</v>
      </c>
      <c r="BB8" s="95" t="str">
        <f>AZ8</f>
        <v>консолидированный бюджет района</v>
      </c>
      <c r="BC8" s="128" t="str">
        <f>BB8</f>
        <v>консолидированный бюджет района</v>
      </c>
      <c r="BD8" s="128" t="str">
        <f>BC8</f>
        <v>консолидированный бюджет района</v>
      </c>
      <c r="BE8" s="95" t="str">
        <f>BC8</f>
        <v>консолидированный бюджет района</v>
      </c>
      <c r="BF8" s="128" t="str">
        <f>BE8</f>
        <v>консолидированный бюджет района</v>
      </c>
      <c r="BG8" s="128" t="str">
        <f>BF8</f>
        <v>консолидированный бюджет района</v>
      </c>
      <c r="BH8" s="95" t="str">
        <f>BF8</f>
        <v>консолидированный бюджет района</v>
      </c>
      <c r="BI8" s="95" t="s">
        <v>27</v>
      </c>
      <c r="BJ8" s="95" t="s">
        <v>27</v>
      </c>
      <c r="BK8" s="128" t="s">
        <v>28</v>
      </c>
      <c r="BL8" s="128" t="s">
        <v>28</v>
      </c>
      <c r="BM8" s="14"/>
      <c r="BN8" s="1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</row>
    <row r="9" spans="1:206" s="18" customFormat="1" ht="23.25" customHeight="1">
      <c r="A9" s="279" t="s">
        <v>29</v>
      </c>
      <c r="B9" s="280"/>
      <c r="C9" s="130">
        <f>C10+C27</f>
        <v>0</v>
      </c>
      <c r="D9" s="130">
        <f t="shared" ref="D9:Z9" si="1">D10+D27</f>
        <v>0</v>
      </c>
      <c r="E9" s="130">
        <f t="shared" si="1"/>
        <v>0</v>
      </c>
      <c r="F9" s="130">
        <f t="shared" si="1"/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 t="shared" si="1"/>
        <v>0</v>
      </c>
      <c r="L9" s="130">
        <f t="shared" si="1"/>
        <v>0</v>
      </c>
      <c r="M9" s="130">
        <f t="shared" si="1"/>
        <v>0</v>
      </c>
      <c r="N9" s="130">
        <f t="shared" si="1"/>
        <v>0</v>
      </c>
      <c r="O9" s="130">
        <f t="shared" si="1"/>
        <v>0</v>
      </c>
      <c r="P9" s="130">
        <f t="shared" si="1"/>
        <v>0</v>
      </c>
      <c r="Q9" s="130">
        <f t="shared" si="1"/>
        <v>0</v>
      </c>
      <c r="R9" s="130">
        <f t="shared" si="1"/>
        <v>0</v>
      </c>
      <c r="S9" s="130">
        <f t="shared" si="1"/>
        <v>0</v>
      </c>
      <c r="T9" s="130">
        <f t="shared" si="1"/>
        <v>0</v>
      </c>
      <c r="U9" s="130">
        <f t="shared" si="1"/>
        <v>0</v>
      </c>
      <c r="V9" s="130">
        <f t="shared" si="1"/>
        <v>0</v>
      </c>
      <c r="W9" s="130">
        <f t="shared" si="1"/>
        <v>0</v>
      </c>
      <c r="X9" s="130">
        <f t="shared" si="1"/>
        <v>0</v>
      </c>
      <c r="Y9" s="130">
        <f t="shared" si="1"/>
        <v>0</v>
      </c>
      <c r="Z9" s="130">
        <f t="shared" si="1"/>
        <v>0</v>
      </c>
      <c r="AA9" s="130">
        <f>AA10+AA27</f>
        <v>0</v>
      </c>
      <c r="AB9" s="131">
        <f t="shared" ref="AB9:AB40" si="2">IF(D9=0,1,AA9/D9-1)</f>
        <v>1</v>
      </c>
      <c r="AC9" s="130">
        <f t="shared" ref="AC9:AE9" si="3">AC10+AC27</f>
        <v>0</v>
      </c>
      <c r="AD9" s="130">
        <f t="shared" si="3"/>
        <v>0</v>
      </c>
      <c r="AE9" s="130">
        <f t="shared" si="3"/>
        <v>0</v>
      </c>
      <c r="AF9" s="131">
        <f t="shared" ref="AF9:AF40" si="4">IF(G9=0,1,AE9/G9-1)</f>
        <v>1</v>
      </c>
      <c r="AG9" s="130">
        <f t="shared" ref="AG9:BF9" si="5">AG10+AG27</f>
        <v>0</v>
      </c>
      <c r="AH9" s="130">
        <f t="shared" si="5"/>
        <v>0</v>
      </c>
      <c r="AI9" s="131">
        <f t="shared" ref="AI9:AI40" si="6">IF(I9=0,1,AH9/I9-1)</f>
        <v>1</v>
      </c>
      <c r="AJ9" s="130">
        <f t="shared" ref="AJ9" si="7">AJ10+AJ27</f>
        <v>0</v>
      </c>
      <c r="AK9" s="130">
        <f t="shared" si="5"/>
        <v>0</v>
      </c>
      <c r="AL9" s="131">
        <f t="shared" ref="AL9:AL40" si="8">IF(K9=0,1,AK9/K9-1)</f>
        <v>1</v>
      </c>
      <c r="AM9" s="130">
        <f t="shared" ref="AM9" si="9">AM10+AM27</f>
        <v>0</v>
      </c>
      <c r="AN9" s="130">
        <f t="shared" si="5"/>
        <v>0</v>
      </c>
      <c r="AO9" s="131">
        <f t="shared" ref="AO9:AO40" si="10">IF(M9=0,1,AN9/M9-1)</f>
        <v>1</v>
      </c>
      <c r="AP9" s="130">
        <f t="shared" ref="AP9" si="11">AP10+AP27</f>
        <v>0</v>
      </c>
      <c r="AQ9" s="130">
        <f t="shared" si="5"/>
        <v>0</v>
      </c>
      <c r="AR9" s="131">
        <f t="shared" ref="AR9:AR40" si="12">IF(O9=0,1,AQ9/O9-1)</f>
        <v>1</v>
      </c>
      <c r="AS9" s="130">
        <f t="shared" ref="AS9" si="13">AS10+AS27</f>
        <v>0</v>
      </c>
      <c r="AT9" s="130">
        <f t="shared" si="5"/>
        <v>0</v>
      </c>
      <c r="AU9" s="131">
        <f t="shared" ref="AU9:AU40" si="14">IF(Q9=0,1,AT9/Q9-1)</f>
        <v>1</v>
      </c>
      <c r="AV9" s="130">
        <f t="shared" ref="AV9" si="15">AV10+AV27</f>
        <v>0</v>
      </c>
      <c r="AW9" s="130">
        <f t="shared" si="5"/>
        <v>0</v>
      </c>
      <c r="AX9" s="131">
        <f t="shared" ref="AX9:AX40" si="16">IF(S9=0,1,AW9/S9-1)</f>
        <v>1</v>
      </c>
      <c r="AY9" s="130">
        <f t="shared" ref="AY9" si="17">AY10+AY27</f>
        <v>0</v>
      </c>
      <c r="AZ9" s="130">
        <f t="shared" si="5"/>
        <v>0</v>
      </c>
      <c r="BA9" s="131">
        <f t="shared" ref="BA9:BA40" si="18">IF(U9=0,1,AZ9/U9-1)</f>
        <v>1</v>
      </c>
      <c r="BB9" s="130">
        <f t="shared" ref="BB9" si="19">BB10+BB27</f>
        <v>0</v>
      </c>
      <c r="BC9" s="130">
        <f t="shared" si="5"/>
        <v>0</v>
      </c>
      <c r="BD9" s="131">
        <f t="shared" ref="BD9:BD40" si="20">IF(W9=0,1,BC9/W9-1)</f>
        <v>1</v>
      </c>
      <c r="BE9" s="130">
        <f t="shared" ref="BE9" si="21">BE10+BE27</f>
        <v>0</v>
      </c>
      <c r="BF9" s="130">
        <f t="shared" si="5"/>
        <v>0</v>
      </c>
      <c r="BG9" s="131">
        <f t="shared" ref="BG9:BG40" si="22">IF(Y9=0,1,BF9/Y9-1)</f>
        <v>1</v>
      </c>
      <c r="BH9" s="130">
        <f t="shared" ref="BH9" si="23">BH10+BH27</f>
        <v>0</v>
      </c>
      <c r="BI9" s="130">
        <f>BI10+BI27</f>
        <v>0</v>
      </c>
      <c r="BJ9" s="130">
        <f>BJ10+BJ27</f>
        <v>0</v>
      </c>
      <c r="BK9" s="131">
        <f>IF($AA$9=0,1,BJ9/$AA$9-1)</f>
        <v>1</v>
      </c>
      <c r="BL9" s="131">
        <f t="shared" ref="BL9:BL63" si="24">IF($D9=0,1,BJ9/$D9-1)</f>
        <v>1</v>
      </c>
      <c r="BM9" s="165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</row>
    <row r="10" spans="1:206" s="59" customFormat="1" ht="18" customHeight="1">
      <c r="A10" s="314" t="s">
        <v>30</v>
      </c>
      <c r="B10" s="315"/>
      <c r="C10" s="132">
        <f t="shared" ref="C10" si="25">C11+C13+C14+C15+C16+C17+C18+C19+C20+C21+C22+C23+C25+C26+C24</f>
        <v>0</v>
      </c>
      <c r="D10" s="132">
        <f t="shared" ref="D10" si="26">D11+D13+D14+D15+D16+D17+D18+D19+D20+D21+D22+D23+D25+D26+D24</f>
        <v>0</v>
      </c>
      <c r="E10" s="132">
        <f t="shared" ref="E10:F10" si="27">E11+E13+E14+E15+E16+E17+E18+E19+E20+E21+E22+E23+E25+E26+E24</f>
        <v>0</v>
      </c>
      <c r="F10" s="132">
        <f t="shared" si="27"/>
        <v>0</v>
      </c>
      <c r="G10" s="132">
        <f t="shared" ref="G10" si="28">G11+G13+G14+G15+G16+G17+G18+G19+G20+G21+G22+G23+G25+G26+G24</f>
        <v>0</v>
      </c>
      <c r="H10" s="132">
        <f t="shared" ref="H10" si="29">H11+H13+H14+H15+H16+H17+H18+H19+H20+H21+H22+H23+H25+H26+H24</f>
        <v>0</v>
      </c>
      <c r="I10" s="132">
        <f t="shared" ref="I10" si="30">I11+I13+I14+I15+I16+I17+I18+I19+I20+I21+I22+I23+I25+I26+I24</f>
        <v>0</v>
      </c>
      <c r="J10" s="132">
        <f t="shared" ref="J10" si="31">J11+J13+J14+J15+J16+J17+J18+J19+J20+J21+J22+J23+J25+J26+J24</f>
        <v>0</v>
      </c>
      <c r="K10" s="132">
        <f t="shared" ref="K10" si="32">K11+K13+K14+K15+K16+K17+K18+K19+K20+K21+K22+K23+K25+K26+K24</f>
        <v>0</v>
      </c>
      <c r="L10" s="132">
        <f t="shared" ref="L10" si="33">L11+L13+L14+L15+L16+L17+L18+L19+L20+L21+L22+L23+L25+L26+L24</f>
        <v>0</v>
      </c>
      <c r="M10" s="132">
        <f t="shared" ref="M10" si="34">M11+M13+M14+M15+M16+M17+M18+M19+M20+M21+M22+M23+M25+M26+M24</f>
        <v>0</v>
      </c>
      <c r="N10" s="132">
        <f t="shared" ref="N10" si="35">N11+N13+N14+N15+N16+N17+N18+N19+N20+N21+N22+N23+N25+N26+N24</f>
        <v>0</v>
      </c>
      <c r="O10" s="132">
        <f t="shared" ref="O10" si="36">O11+O13+O14+O15+O16+O17+O18+O19+O20+O21+O22+O23+O25+O26+O24</f>
        <v>0</v>
      </c>
      <c r="P10" s="132">
        <f t="shared" ref="P10" si="37">P11+P13+P14+P15+P16+P17+P18+P19+P20+P21+P22+P23+P25+P26+P24</f>
        <v>0</v>
      </c>
      <c r="Q10" s="132">
        <f t="shared" ref="Q10" si="38">Q11+Q13+Q14+Q15+Q16+Q17+Q18+Q19+Q20+Q21+Q22+Q23+Q25+Q26+Q24</f>
        <v>0</v>
      </c>
      <c r="R10" s="132">
        <f t="shared" ref="R10" si="39">R11+R13+R14+R15+R16+R17+R18+R19+R20+R21+R22+R23+R25+R26+R24</f>
        <v>0</v>
      </c>
      <c r="S10" s="132">
        <f t="shared" ref="S10" si="40">S11+S13+S14+S15+S16+S17+S18+S19+S20+S21+S22+S23+S25+S26+S24</f>
        <v>0</v>
      </c>
      <c r="T10" s="132">
        <f t="shared" ref="T10" si="41">T11+T13+T14+T15+T16+T17+T18+T19+T20+T21+T22+T23+T25+T26+T24</f>
        <v>0</v>
      </c>
      <c r="U10" s="132">
        <f t="shared" ref="U10" si="42">U11+U13+U14+U15+U16+U17+U18+U19+U20+U21+U22+U23+U25+U26+U24</f>
        <v>0</v>
      </c>
      <c r="V10" s="132">
        <f t="shared" ref="V10" si="43">V11+V13+V14+V15+V16+V17+V18+V19+V20+V21+V22+V23+V25+V26+V24</f>
        <v>0</v>
      </c>
      <c r="W10" s="132">
        <f t="shared" ref="W10" si="44">W11+W13+W14+W15+W16+W17+W18+W19+W20+W21+W22+W23+W25+W26+W24</f>
        <v>0</v>
      </c>
      <c r="X10" s="132">
        <f t="shared" ref="X10" si="45">X11+X13+X14+X15+X16+X17+X18+X19+X20+X21+X22+X23+X25+X26+X24</f>
        <v>0</v>
      </c>
      <c r="Y10" s="132">
        <f t="shared" ref="Y10" si="46">Y11+Y13+Y14+Y15+Y16+Y17+Y18+Y19+Y20+Y21+Y22+Y23+Y25+Y26+Y24</f>
        <v>0</v>
      </c>
      <c r="Z10" s="132">
        <f t="shared" ref="Z10" si="47">Z11+Z13+Z14+Z15+Z16+Z17+Z18+Z19+Z20+Z21+Z22+Z23+Z25+Z26+Z24</f>
        <v>0</v>
      </c>
      <c r="AA10" s="132">
        <f t="shared" ref="AA10" si="48">AA11+AA13+AA14+AA15+AA16+AA17+AA18+AA19+AA20+AA21+AA22+AA23+AA25+AA26+AA24</f>
        <v>0</v>
      </c>
      <c r="AB10" s="133">
        <f t="shared" si="2"/>
        <v>1</v>
      </c>
      <c r="AC10" s="132">
        <f t="shared" ref="AC10" si="49">AC11+AC13+AC14+AC15+AC16+AC17+AC18+AC19+AC20+AC21+AC22+AC23+AC25+AC26+AC24</f>
        <v>0</v>
      </c>
      <c r="AD10" s="132">
        <f t="shared" ref="AD10" si="50">AD11+AD13+AD14+AD15+AD16+AD17+AD18+AD19+AD20+AD21+AD22+AD23+AD25+AD26+AD24</f>
        <v>0</v>
      </c>
      <c r="AE10" s="132">
        <f t="shared" ref="AE10:BI10" si="51">AE11+AE13+AE14+AE15+AE16+AE17+AE18+AE19+AE20+AE21+AE22+AE23+AE25+AE26+AE24</f>
        <v>0</v>
      </c>
      <c r="AF10" s="133">
        <f t="shared" si="4"/>
        <v>1</v>
      </c>
      <c r="AG10" s="132">
        <f t="shared" ref="AG10" si="52">AG11+AG13+AG14+AG15+AG16+AG17+AG18+AG19+AG20+AG21+AG22+AG23+AG25+AG26+AG24</f>
        <v>0</v>
      </c>
      <c r="AH10" s="132">
        <f t="shared" si="51"/>
        <v>0</v>
      </c>
      <c r="AI10" s="133">
        <f t="shared" si="6"/>
        <v>1</v>
      </c>
      <c r="AJ10" s="132">
        <f t="shared" ref="AJ10" si="53">AJ11+AJ13+AJ14+AJ15+AJ16+AJ17+AJ18+AJ19+AJ20+AJ21+AJ22+AJ23+AJ25+AJ26+AJ24</f>
        <v>0</v>
      </c>
      <c r="AK10" s="132">
        <f t="shared" si="51"/>
        <v>0</v>
      </c>
      <c r="AL10" s="133">
        <f t="shared" si="8"/>
        <v>1</v>
      </c>
      <c r="AM10" s="132">
        <f t="shared" ref="AM10" si="54">AM11+AM13+AM14+AM15+AM16+AM17+AM18+AM19+AM20+AM21+AM22+AM23+AM25+AM26+AM24</f>
        <v>0</v>
      </c>
      <c r="AN10" s="132">
        <f t="shared" si="51"/>
        <v>0</v>
      </c>
      <c r="AO10" s="133">
        <f t="shared" si="10"/>
        <v>1</v>
      </c>
      <c r="AP10" s="132">
        <f t="shared" ref="AP10" si="55">AP11+AP13+AP14+AP15+AP16+AP17+AP18+AP19+AP20+AP21+AP22+AP23+AP25+AP26+AP24</f>
        <v>0</v>
      </c>
      <c r="AQ10" s="132">
        <f t="shared" si="51"/>
        <v>0</v>
      </c>
      <c r="AR10" s="133">
        <f t="shared" si="12"/>
        <v>1</v>
      </c>
      <c r="AS10" s="132">
        <f t="shared" ref="AS10" si="56">AS11+AS13+AS14+AS15+AS16+AS17+AS18+AS19+AS20+AS21+AS22+AS23+AS25+AS26+AS24</f>
        <v>0</v>
      </c>
      <c r="AT10" s="132">
        <f t="shared" si="51"/>
        <v>0</v>
      </c>
      <c r="AU10" s="133">
        <f t="shared" si="14"/>
        <v>1</v>
      </c>
      <c r="AV10" s="132">
        <f t="shared" ref="AV10" si="57">AV11+AV13+AV14+AV15+AV16+AV17+AV18+AV19+AV20+AV21+AV22+AV23+AV25+AV26+AV24</f>
        <v>0</v>
      </c>
      <c r="AW10" s="132">
        <f t="shared" si="51"/>
        <v>0</v>
      </c>
      <c r="AX10" s="133">
        <f t="shared" si="16"/>
        <v>1</v>
      </c>
      <c r="AY10" s="132">
        <f t="shared" ref="AY10" si="58">AY11+AY13+AY14+AY15+AY16+AY17+AY18+AY19+AY20+AY21+AY22+AY23+AY25+AY26+AY24</f>
        <v>0</v>
      </c>
      <c r="AZ10" s="132">
        <f t="shared" si="51"/>
        <v>0</v>
      </c>
      <c r="BA10" s="133">
        <f t="shared" si="18"/>
        <v>1</v>
      </c>
      <c r="BB10" s="132">
        <f t="shared" ref="BB10" si="59">BB11+BB13+BB14+BB15+BB16+BB17+BB18+BB19+BB20+BB21+BB22+BB23+BB25+BB26+BB24</f>
        <v>0</v>
      </c>
      <c r="BC10" s="132">
        <f t="shared" si="51"/>
        <v>0</v>
      </c>
      <c r="BD10" s="133">
        <f t="shared" si="20"/>
        <v>1</v>
      </c>
      <c r="BE10" s="132">
        <f t="shared" ref="BE10" si="60">BE11+BE13+BE14+BE15+BE16+BE17+BE18+BE19+BE20+BE21+BE22+BE23+BE25+BE26+BE24</f>
        <v>0</v>
      </c>
      <c r="BF10" s="132">
        <f t="shared" si="51"/>
        <v>0</v>
      </c>
      <c r="BG10" s="133">
        <f t="shared" si="22"/>
        <v>1</v>
      </c>
      <c r="BH10" s="132">
        <f t="shared" ref="BH10" si="61">BH11+BH13+BH14+BH15+BH16+BH17+BH18+BH19+BH20+BH21+BH22+BH23+BH25+BH26+BH24</f>
        <v>0</v>
      </c>
      <c r="BI10" s="132">
        <f t="shared" si="51"/>
        <v>0</v>
      </c>
      <c r="BJ10" s="132">
        <f t="shared" ref="BJ10" si="62">BJ11+BJ13+BJ14+BJ15+BJ16+BJ17+BJ18+BJ19+BJ20+BJ21+BJ22+BJ23+BJ25+BJ26+BJ24</f>
        <v>0</v>
      </c>
      <c r="BK10" s="133">
        <f>IF($AA$10=0,1,BJ10/$AA$10-1)</f>
        <v>1</v>
      </c>
      <c r="BL10" s="133">
        <f t="shared" si="24"/>
        <v>1</v>
      </c>
      <c r="BM10" s="166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</row>
    <row r="11" spans="1:206" s="62" customFormat="1" ht="18" customHeight="1">
      <c r="A11" s="312" t="s">
        <v>31</v>
      </c>
      <c r="B11" s="313"/>
      <c r="C11" s="26"/>
      <c r="D11" s="134">
        <f t="shared" ref="D11:D26" si="63">E11+F11+H11+J11+L11+N11+P11+R11+T11+V11+X11+Z11</f>
        <v>0</v>
      </c>
      <c r="E11" s="26"/>
      <c r="F11" s="26"/>
      <c r="G11" s="134">
        <f t="shared" ref="G11:G26" si="64">E11+F11</f>
        <v>0</v>
      </c>
      <c r="H11" s="26"/>
      <c r="I11" s="134">
        <f t="shared" ref="I11:I26" si="65">G11+H11</f>
        <v>0</v>
      </c>
      <c r="J11" s="26"/>
      <c r="K11" s="134">
        <f t="shared" ref="K11:K26" si="66">I11+J11</f>
        <v>0</v>
      </c>
      <c r="L11" s="26"/>
      <c r="M11" s="134">
        <f t="shared" ref="M11:M26" si="67">K11+L11</f>
        <v>0</v>
      </c>
      <c r="N11" s="26"/>
      <c r="O11" s="134">
        <f t="shared" ref="O11:O26" si="68">M11+N11</f>
        <v>0</v>
      </c>
      <c r="P11" s="26"/>
      <c r="Q11" s="134">
        <f t="shared" ref="Q11:Q26" si="69">O11+P11</f>
        <v>0</v>
      </c>
      <c r="R11" s="26"/>
      <c r="S11" s="134">
        <f t="shared" ref="S11:S26" si="70">Q11+R11</f>
        <v>0</v>
      </c>
      <c r="T11" s="26"/>
      <c r="U11" s="134">
        <f t="shared" ref="U11:U26" si="71">S11+T11</f>
        <v>0</v>
      </c>
      <c r="V11" s="26"/>
      <c r="W11" s="134">
        <f t="shared" ref="W11:W26" si="72">U11+V11</f>
        <v>0</v>
      </c>
      <c r="X11" s="26"/>
      <c r="Y11" s="134">
        <f t="shared" ref="Y11:Y26" si="73">W11+X11</f>
        <v>0</v>
      </c>
      <c r="Z11" s="26"/>
      <c r="AA11" s="26"/>
      <c r="AB11" s="135">
        <f t="shared" si="2"/>
        <v>1</v>
      </c>
      <c r="AC11" s="26"/>
      <c r="AD11" s="26"/>
      <c r="AE11" s="134">
        <f t="shared" ref="AE11:AE26" si="74">AC11+AD11</f>
        <v>0</v>
      </c>
      <c r="AF11" s="135">
        <f t="shared" si="4"/>
        <v>1</v>
      </c>
      <c r="AG11" s="26"/>
      <c r="AH11" s="134">
        <f t="shared" ref="AH11:AH26" si="75">AE11+AG11</f>
        <v>0</v>
      </c>
      <c r="AI11" s="135">
        <f t="shared" si="6"/>
        <v>1</v>
      </c>
      <c r="AJ11" s="26"/>
      <c r="AK11" s="134">
        <f t="shared" ref="AK11:AK26" si="76">AH11+AJ11</f>
        <v>0</v>
      </c>
      <c r="AL11" s="135">
        <f t="shared" si="8"/>
        <v>1</v>
      </c>
      <c r="AM11" s="26"/>
      <c r="AN11" s="134">
        <f t="shared" ref="AN11:AN26" si="77">AK11+AM11</f>
        <v>0</v>
      </c>
      <c r="AO11" s="135">
        <f t="shared" si="10"/>
        <v>1</v>
      </c>
      <c r="AP11" s="26"/>
      <c r="AQ11" s="134">
        <f t="shared" ref="AQ11:AQ26" si="78">AN11+AP11</f>
        <v>0</v>
      </c>
      <c r="AR11" s="135">
        <f t="shared" si="12"/>
        <v>1</v>
      </c>
      <c r="AS11" s="26"/>
      <c r="AT11" s="134">
        <f t="shared" ref="AT11:AT26" si="79">AQ11+AS11</f>
        <v>0</v>
      </c>
      <c r="AU11" s="135">
        <f t="shared" si="14"/>
        <v>1</v>
      </c>
      <c r="AV11" s="26"/>
      <c r="AW11" s="134">
        <f t="shared" ref="AW11:AW26" si="80">AT11+AV11</f>
        <v>0</v>
      </c>
      <c r="AX11" s="135">
        <f t="shared" si="16"/>
        <v>1</v>
      </c>
      <c r="AY11" s="26"/>
      <c r="AZ11" s="134">
        <f t="shared" ref="AZ11:AZ26" si="81">AW11+AY11</f>
        <v>0</v>
      </c>
      <c r="BA11" s="135">
        <f t="shared" si="18"/>
        <v>1</v>
      </c>
      <c r="BB11" s="26"/>
      <c r="BC11" s="134">
        <f t="shared" ref="BC11:BC26" si="82">AZ11+BB11</f>
        <v>0</v>
      </c>
      <c r="BD11" s="135">
        <f t="shared" si="20"/>
        <v>1</v>
      </c>
      <c r="BE11" s="26"/>
      <c r="BF11" s="134">
        <f t="shared" ref="BF11:BF26" si="83">BC11+BE11</f>
        <v>0</v>
      </c>
      <c r="BG11" s="135">
        <f t="shared" si="22"/>
        <v>1</v>
      </c>
      <c r="BH11" s="134"/>
      <c r="BI11" s="26"/>
      <c r="BJ11" s="134"/>
      <c r="BK11" s="135">
        <f>IF($AA$11=0,1,BJ11/$AA$11-1)</f>
        <v>1</v>
      </c>
      <c r="BL11" s="135">
        <f t="shared" si="24"/>
        <v>1</v>
      </c>
      <c r="BM11" s="167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</row>
    <row r="12" spans="1:206" s="62" customFormat="1" ht="18" customHeight="1">
      <c r="A12" s="136" t="s">
        <v>166</v>
      </c>
      <c r="B12" s="195"/>
      <c r="C12" s="26"/>
      <c r="D12" s="134">
        <f t="shared" si="63"/>
        <v>0</v>
      </c>
      <c r="E12" s="26"/>
      <c r="F12" s="26"/>
      <c r="G12" s="134">
        <f t="shared" si="64"/>
        <v>0</v>
      </c>
      <c r="H12" s="26"/>
      <c r="I12" s="134">
        <f t="shared" si="65"/>
        <v>0</v>
      </c>
      <c r="J12" s="26"/>
      <c r="K12" s="134">
        <f t="shared" si="66"/>
        <v>0</v>
      </c>
      <c r="L12" s="26"/>
      <c r="M12" s="134">
        <f t="shared" si="67"/>
        <v>0</v>
      </c>
      <c r="N12" s="26"/>
      <c r="O12" s="134">
        <f t="shared" si="68"/>
        <v>0</v>
      </c>
      <c r="P12" s="26"/>
      <c r="Q12" s="134">
        <f t="shared" si="69"/>
        <v>0</v>
      </c>
      <c r="R12" s="26"/>
      <c r="S12" s="134">
        <f t="shared" si="70"/>
        <v>0</v>
      </c>
      <c r="T12" s="26"/>
      <c r="U12" s="134">
        <f t="shared" si="71"/>
        <v>0</v>
      </c>
      <c r="V12" s="26"/>
      <c r="W12" s="134">
        <f t="shared" si="72"/>
        <v>0</v>
      </c>
      <c r="X12" s="26"/>
      <c r="Y12" s="134">
        <f t="shared" si="73"/>
        <v>0</v>
      </c>
      <c r="Z12" s="26"/>
      <c r="AA12" s="26">
        <f>AA11*$B$12/(43+$B$12)</f>
        <v>0</v>
      </c>
      <c r="AB12" s="135">
        <f t="shared" si="2"/>
        <v>1</v>
      </c>
      <c r="AC12" s="26">
        <f>конс.!BF14</f>
        <v>0</v>
      </c>
      <c r="AD12" s="26">
        <f>конс.!BH14</f>
        <v>0</v>
      </c>
      <c r="AE12" s="134">
        <f t="shared" si="74"/>
        <v>0</v>
      </c>
      <c r="AF12" s="135">
        <f t="shared" si="4"/>
        <v>1</v>
      </c>
      <c r="AG12" s="26">
        <f>конс.!BN14</f>
        <v>0</v>
      </c>
      <c r="AH12" s="134">
        <f t="shared" si="75"/>
        <v>0</v>
      </c>
      <c r="AI12" s="135">
        <f t="shared" si="6"/>
        <v>1</v>
      </c>
      <c r="AJ12" s="26">
        <f>конс.!BS14</f>
        <v>0</v>
      </c>
      <c r="AK12" s="134">
        <f t="shared" si="76"/>
        <v>0</v>
      </c>
      <c r="AL12" s="135">
        <f t="shared" si="8"/>
        <v>1</v>
      </c>
      <c r="AM12" s="26">
        <f>конс.!BZ14</f>
        <v>0</v>
      </c>
      <c r="AN12" s="134">
        <f t="shared" si="77"/>
        <v>0</v>
      </c>
      <c r="AO12" s="135">
        <f t="shared" si="10"/>
        <v>1</v>
      </c>
      <c r="AP12" s="26">
        <f>конс.!CF14</f>
        <v>0</v>
      </c>
      <c r="AQ12" s="134">
        <f t="shared" si="78"/>
        <v>0</v>
      </c>
      <c r="AR12" s="135">
        <f t="shared" si="12"/>
        <v>1</v>
      </c>
      <c r="AS12" s="26">
        <f>конс.!CL14</f>
        <v>0</v>
      </c>
      <c r="AT12" s="134">
        <f t="shared" si="79"/>
        <v>0</v>
      </c>
      <c r="AU12" s="135">
        <f t="shared" si="14"/>
        <v>1</v>
      </c>
      <c r="AV12" s="26">
        <f>конс.!CR14</f>
        <v>0</v>
      </c>
      <c r="AW12" s="134">
        <f t="shared" si="80"/>
        <v>0</v>
      </c>
      <c r="AX12" s="135">
        <f t="shared" si="16"/>
        <v>1</v>
      </c>
      <c r="AY12" s="26">
        <f>конс.!CX14</f>
        <v>0</v>
      </c>
      <c r="AZ12" s="134">
        <f t="shared" si="81"/>
        <v>0</v>
      </c>
      <c r="BA12" s="135">
        <f t="shared" si="18"/>
        <v>1</v>
      </c>
      <c r="BB12" s="26">
        <f>конс.!DD14</f>
        <v>0</v>
      </c>
      <c r="BC12" s="134">
        <f t="shared" si="82"/>
        <v>0</v>
      </c>
      <c r="BD12" s="135">
        <f t="shared" si="20"/>
        <v>1</v>
      </c>
      <c r="BE12" s="26">
        <f>конс.!DJ14</f>
        <v>0</v>
      </c>
      <c r="BF12" s="134">
        <f t="shared" si="83"/>
        <v>0</v>
      </c>
      <c r="BG12" s="135">
        <f t="shared" si="22"/>
        <v>1</v>
      </c>
      <c r="BH12" s="26">
        <f>конс.!DP14</f>
        <v>0</v>
      </c>
      <c r="BI12" s="26">
        <f>конс.!DR14</f>
        <v>0</v>
      </c>
      <c r="BJ12" s="26">
        <f>конс.!DT14</f>
        <v>0</v>
      </c>
      <c r="BK12" s="135">
        <f>IF($AA$12=0,1,BJ12/$AA$12-1)</f>
        <v>1</v>
      </c>
      <c r="BL12" s="135">
        <f t="shared" si="24"/>
        <v>1</v>
      </c>
      <c r="BM12" s="167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</row>
    <row r="13" spans="1:206" s="62" customFormat="1" ht="18" customHeight="1">
      <c r="A13" s="312" t="s">
        <v>32</v>
      </c>
      <c r="B13" s="313"/>
      <c r="C13" s="26"/>
      <c r="D13" s="134">
        <f t="shared" si="63"/>
        <v>0</v>
      </c>
      <c r="E13" s="26"/>
      <c r="F13" s="26"/>
      <c r="G13" s="134">
        <f t="shared" si="64"/>
        <v>0</v>
      </c>
      <c r="H13" s="26"/>
      <c r="I13" s="134">
        <f t="shared" si="65"/>
        <v>0</v>
      </c>
      <c r="J13" s="26"/>
      <c r="K13" s="134">
        <f t="shared" si="66"/>
        <v>0</v>
      </c>
      <c r="L13" s="26"/>
      <c r="M13" s="134">
        <f t="shared" si="67"/>
        <v>0</v>
      </c>
      <c r="N13" s="26"/>
      <c r="O13" s="134">
        <f t="shared" si="68"/>
        <v>0</v>
      </c>
      <c r="P13" s="26"/>
      <c r="Q13" s="134">
        <f t="shared" si="69"/>
        <v>0</v>
      </c>
      <c r="R13" s="26"/>
      <c r="S13" s="134">
        <f t="shared" si="70"/>
        <v>0</v>
      </c>
      <c r="T13" s="26"/>
      <c r="U13" s="134">
        <f t="shared" si="71"/>
        <v>0</v>
      </c>
      <c r="V13" s="26"/>
      <c r="W13" s="134">
        <f t="shared" si="72"/>
        <v>0</v>
      </c>
      <c r="X13" s="26"/>
      <c r="Y13" s="134">
        <f t="shared" si="73"/>
        <v>0</v>
      </c>
      <c r="Z13" s="26"/>
      <c r="AA13" s="26"/>
      <c r="AB13" s="135">
        <f t="shared" si="2"/>
        <v>1</v>
      </c>
      <c r="AC13" s="26"/>
      <c r="AD13" s="26"/>
      <c r="AE13" s="134">
        <f t="shared" si="74"/>
        <v>0</v>
      </c>
      <c r="AF13" s="135">
        <f t="shared" si="4"/>
        <v>1</v>
      </c>
      <c r="AG13" s="26"/>
      <c r="AH13" s="134">
        <f t="shared" si="75"/>
        <v>0</v>
      </c>
      <c r="AI13" s="135">
        <f t="shared" si="6"/>
        <v>1</v>
      </c>
      <c r="AJ13" s="26"/>
      <c r="AK13" s="134">
        <f t="shared" si="76"/>
        <v>0</v>
      </c>
      <c r="AL13" s="135">
        <f t="shared" si="8"/>
        <v>1</v>
      </c>
      <c r="AM13" s="26"/>
      <c r="AN13" s="134">
        <f t="shared" si="77"/>
        <v>0</v>
      </c>
      <c r="AO13" s="135">
        <f t="shared" si="10"/>
        <v>1</v>
      </c>
      <c r="AP13" s="26"/>
      <c r="AQ13" s="134">
        <f t="shared" si="78"/>
        <v>0</v>
      </c>
      <c r="AR13" s="135">
        <f t="shared" si="12"/>
        <v>1</v>
      </c>
      <c r="AS13" s="26"/>
      <c r="AT13" s="134">
        <f t="shared" si="79"/>
        <v>0</v>
      </c>
      <c r="AU13" s="135">
        <f t="shared" si="14"/>
        <v>1</v>
      </c>
      <c r="AV13" s="26"/>
      <c r="AW13" s="134">
        <f t="shared" si="80"/>
        <v>0</v>
      </c>
      <c r="AX13" s="135">
        <f t="shared" si="16"/>
        <v>1</v>
      </c>
      <c r="AY13" s="26"/>
      <c r="AZ13" s="134">
        <f t="shared" si="81"/>
        <v>0</v>
      </c>
      <c r="BA13" s="135">
        <f t="shared" si="18"/>
        <v>1</v>
      </c>
      <c r="BB13" s="26"/>
      <c r="BC13" s="134">
        <f t="shared" si="82"/>
        <v>0</v>
      </c>
      <c r="BD13" s="135">
        <f t="shared" si="20"/>
        <v>1</v>
      </c>
      <c r="BE13" s="26"/>
      <c r="BF13" s="134">
        <f t="shared" si="83"/>
        <v>0</v>
      </c>
      <c r="BG13" s="135">
        <f t="shared" si="22"/>
        <v>1</v>
      </c>
      <c r="BH13" s="134"/>
      <c r="BI13" s="26"/>
      <c r="BJ13" s="26"/>
      <c r="BK13" s="135">
        <f>IF($AA$13=0,1,BJ13/$AA$13-1)</f>
        <v>1</v>
      </c>
      <c r="BL13" s="135">
        <f t="shared" si="24"/>
        <v>1</v>
      </c>
      <c r="BM13" s="167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</row>
    <row r="14" spans="1:206" s="62" customFormat="1" ht="18" customHeight="1">
      <c r="A14" s="312" t="s">
        <v>80</v>
      </c>
      <c r="B14" s="313"/>
      <c r="C14" s="26"/>
      <c r="D14" s="134">
        <f t="shared" si="63"/>
        <v>0</v>
      </c>
      <c r="E14" s="26"/>
      <c r="F14" s="26"/>
      <c r="G14" s="134">
        <f t="shared" si="64"/>
        <v>0</v>
      </c>
      <c r="H14" s="26"/>
      <c r="I14" s="134">
        <f t="shared" si="65"/>
        <v>0</v>
      </c>
      <c r="J14" s="26"/>
      <c r="K14" s="134">
        <f t="shared" si="66"/>
        <v>0</v>
      </c>
      <c r="L14" s="26"/>
      <c r="M14" s="134">
        <f t="shared" si="67"/>
        <v>0</v>
      </c>
      <c r="N14" s="26"/>
      <c r="O14" s="134">
        <f t="shared" si="68"/>
        <v>0</v>
      </c>
      <c r="P14" s="26"/>
      <c r="Q14" s="134">
        <f t="shared" si="69"/>
        <v>0</v>
      </c>
      <c r="R14" s="26"/>
      <c r="S14" s="134">
        <f t="shared" si="70"/>
        <v>0</v>
      </c>
      <c r="T14" s="26"/>
      <c r="U14" s="134">
        <f t="shared" si="71"/>
        <v>0</v>
      </c>
      <c r="V14" s="26"/>
      <c r="W14" s="134">
        <f t="shared" si="72"/>
        <v>0</v>
      </c>
      <c r="X14" s="26"/>
      <c r="Y14" s="134">
        <f t="shared" si="73"/>
        <v>0</v>
      </c>
      <c r="Z14" s="26"/>
      <c r="AA14" s="26"/>
      <c r="AB14" s="135">
        <f t="shared" si="2"/>
        <v>1</v>
      </c>
      <c r="AC14" s="26"/>
      <c r="AD14" s="26"/>
      <c r="AE14" s="134">
        <f t="shared" si="74"/>
        <v>0</v>
      </c>
      <c r="AF14" s="135">
        <f t="shared" si="4"/>
        <v>1</v>
      </c>
      <c r="AG14" s="26"/>
      <c r="AH14" s="134">
        <f t="shared" si="75"/>
        <v>0</v>
      </c>
      <c r="AI14" s="135">
        <f t="shared" si="6"/>
        <v>1</v>
      </c>
      <c r="AJ14" s="26"/>
      <c r="AK14" s="134">
        <f t="shared" si="76"/>
        <v>0</v>
      </c>
      <c r="AL14" s="135">
        <f t="shared" si="8"/>
        <v>1</v>
      </c>
      <c r="AM14" s="26"/>
      <c r="AN14" s="134">
        <f t="shared" si="77"/>
        <v>0</v>
      </c>
      <c r="AO14" s="135">
        <f t="shared" si="10"/>
        <v>1</v>
      </c>
      <c r="AP14" s="26"/>
      <c r="AQ14" s="134">
        <f t="shared" si="78"/>
        <v>0</v>
      </c>
      <c r="AR14" s="135">
        <f t="shared" si="12"/>
        <v>1</v>
      </c>
      <c r="AS14" s="26"/>
      <c r="AT14" s="134">
        <f t="shared" si="79"/>
        <v>0</v>
      </c>
      <c r="AU14" s="135">
        <f t="shared" si="14"/>
        <v>1</v>
      </c>
      <c r="AV14" s="26"/>
      <c r="AW14" s="134">
        <f t="shared" si="80"/>
        <v>0</v>
      </c>
      <c r="AX14" s="135">
        <f t="shared" si="16"/>
        <v>1</v>
      </c>
      <c r="AY14" s="26"/>
      <c r="AZ14" s="134">
        <f t="shared" si="81"/>
        <v>0</v>
      </c>
      <c r="BA14" s="135">
        <f t="shared" si="18"/>
        <v>1</v>
      </c>
      <c r="BB14" s="26"/>
      <c r="BC14" s="134">
        <f t="shared" si="82"/>
        <v>0</v>
      </c>
      <c r="BD14" s="135">
        <f t="shared" si="20"/>
        <v>1</v>
      </c>
      <c r="BE14" s="26"/>
      <c r="BF14" s="134">
        <f t="shared" si="83"/>
        <v>0</v>
      </c>
      <c r="BG14" s="135">
        <f t="shared" si="22"/>
        <v>1</v>
      </c>
      <c r="BH14" s="134"/>
      <c r="BI14" s="26"/>
      <c r="BJ14" s="26"/>
      <c r="BK14" s="135">
        <f>IF($AA$14=0,1,BJ14/$AA$14-1)</f>
        <v>1</v>
      </c>
      <c r="BL14" s="135">
        <f t="shared" si="24"/>
        <v>1</v>
      </c>
      <c r="BM14" s="167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</row>
    <row r="15" spans="1:206" s="62" customFormat="1" ht="18" customHeight="1">
      <c r="A15" s="312" t="s">
        <v>33</v>
      </c>
      <c r="B15" s="313"/>
      <c r="C15" s="26"/>
      <c r="D15" s="134">
        <f t="shared" si="63"/>
        <v>0</v>
      </c>
      <c r="E15" s="26"/>
      <c r="F15" s="26"/>
      <c r="G15" s="134">
        <f t="shared" si="64"/>
        <v>0</v>
      </c>
      <c r="H15" s="26"/>
      <c r="I15" s="134">
        <f t="shared" si="65"/>
        <v>0</v>
      </c>
      <c r="J15" s="26"/>
      <c r="K15" s="134">
        <f t="shared" si="66"/>
        <v>0</v>
      </c>
      <c r="L15" s="26"/>
      <c r="M15" s="134">
        <f t="shared" si="67"/>
        <v>0</v>
      </c>
      <c r="N15" s="26"/>
      <c r="O15" s="134">
        <f t="shared" si="68"/>
        <v>0</v>
      </c>
      <c r="P15" s="26"/>
      <c r="Q15" s="134">
        <f t="shared" si="69"/>
        <v>0</v>
      </c>
      <c r="R15" s="26"/>
      <c r="S15" s="134">
        <f t="shared" si="70"/>
        <v>0</v>
      </c>
      <c r="T15" s="26"/>
      <c r="U15" s="134">
        <f t="shared" si="71"/>
        <v>0</v>
      </c>
      <c r="V15" s="26"/>
      <c r="W15" s="134">
        <f t="shared" si="72"/>
        <v>0</v>
      </c>
      <c r="X15" s="26"/>
      <c r="Y15" s="134">
        <f t="shared" si="73"/>
        <v>0</v>
      </c>
      <c r="Z15" s="26"/>
      <c r="AA15" s="26"/>
      <c r="AB15" s="135">
        <f t="shared" si="2"/>
        <v>1</v>
      </c>
      <c r="AC15" s="26"/>
      <c r="AD15" s="26"/>
      <c r="AE15" s="134">
        <f t="shared" si="74"/>
        <v>0</v>
      </c>
      <c r="AF15" s="135">
        <f t="shared" si="4"/>
        <v>1</v>
      </c>
      <c r="AG15" s="26"/>
      <c r="AH15" s="134">
        <f t="shared" si="75"/>
        <v>0</v>
      </c>
      <c r="AI15" s="135">
        <f t="shared" si="6"/>
        <v>1</v>
      </c>
      <c r="AJ15" s="26"/>
      <c r="AK15" s="134">
        <f t="shared" si="76"/>
        <v>0</v>
      </c>
      <c r="AL15" s="135">
        <f t="shared" si="8"/>
        <v>1</v>
      </c>
      <c r="AM15" s="26"/>
      <c r="AN15" s="134">
        <f t="shared" si="77"/>
        <v>0</v>
      </c>
      <c r="AO15" s="135">
        <f t="shared" si="10"/>
        <v>1</v>
      </c>
      <c r="AP15" s="26"/>
      <c r="AQ15" s="134">
        <f t="shared" si="78"/>
        <v>0</v>
      </c>
      <c r="AR15" s="135">
        <f t="shared" si="12"/>
        <v>1</v>
      </c>
      <c r="AS15" s="26"/>
      <c r="AT15" s="134">
        <f t="shared" si="79"/>
        <v>0</v>
      </c>
      <c r="AU15" s="135">
        <f t="shared" si="14"/>
        <v>1</v>
      </c>
      <c r="AV15" s="26"/>
      <c r="AW15" s="134">
        <f t="shared" si="80"/>
        <v>0</v>
      </c>
      <c r="AX15" s="135">
        <f t="shared" si="16"/>
        <v>1</v>
      </c>
      <c r="AY15" s="26"/>
      <c r="AZ15" s="134">
        <f t="shared" si="81"/>
        <v>0</v>
      </c>
      <c r="BA15" s="135">
        <f t="shared" si="18"/>
        <v>1</v>
      </c>
      <c r="BB15" s="26"/>
      <c r="BC15" s="134">
        <f t="shared" si="82"/>
        <v>0</v>
      </c>
      <c r="BD15" s="135">
        <f t="shared" si="20"/>
        <v>1</v>
      </c>
      <c r="BE15" s="26"/>
      <c r="BF15" s="134">
        <f t="shared" si="83"/>
        <v>0</v>
      </c>
      <c r="BG15" s="135">
        <f t="shared" si="22"/>
        <v>1</v>
      </c>
      <c r="BH15" s="134"/>
      <c r="BI15" s="26"/>
      <c r="BJ15" s="26"/>
      <c r="BK15" s="135">
        <f>IF($AA$15=0,1,BJ15/$AA$15-1)</f>
        <v>1</v>
      </c>
      <c r="BL15" s="135">
        <f t="shared" si="24"/>
        <v>1</v>
      </c>
      <c r="BM15" s="167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</row>
    <row r="16" spans="1:206" s="62" customFormat="1" ht="18" customHeight="1">
      <c r="A16" s="312" t="s">
        <v>35</v>
      </c>
      <c r="B16" s="313"/>
      <c r="C16" s="26"/>
      <c r="D16" s="134">
        <f t="shared" si="63"/>
        <v>0</v>
      </c>
      <c r="E16" s="26"/>
      <c r="F16" s="26"/>
      <c r="G16" s="134">
        <f t="shared" si="64"/>
        <v>0</v>
      </c>
      <c r="H16" s="26"/>
      <c r="I16" s="134">
        <f t="shared" si="65"/>
        <v>0</v>
      </c>
      <c r="J16" s="26"/>
      <c r="K16" s="134">
        <f t="shared" si="66"/>
        <v>0</v>
      </c>
      <c r="L16" s="26"/>
      <c r="M16" s="134">
        <f t="shared" si="67"/>
        <v>0</v>
      </c>
      <c r="N16" s="26"/>
      <c r="O16" s="134">
        <f t="shared" si="68"/>
        <v>0</v>
      </c>
      <c r="P16" s="26"/>
      <c r="Q16" s="134">
        <f t="shared" si="69"/>
        <v>0</v>
      </c>
      <c r="R16" s="26"/>
      <c r="S16" s="134">
        <f t="shared" si="70"/>
        <v>0</v>
      </c>
      <c r="T16" s="26"/>
      <c r="U16" s="134">
        <f t="shared" si="71"/>
        <v>0</v>
      </c>
      <c r="V16" s="26"/>
      <c r="W16" s="134">
        <f t="shared" si="72"/>
        <v>0</v>
      </c>
      <c r="X16" s="26"/>
      <c r="Y16" s="134">
        <f t="shared" si="73"/>
        <v>0</v>
      </c>
      <c r="Z16" s="26"/>
      <c r="AA16" s="26"/>
      <c r="AB16" s="135">
        <f t="shared" si="2"/>
        <v>1</v>
      </c>
      <c r="AC16" s="26"/>
      <c r="AD16" s="26"/>
      <c r="AE16" s="134">
        <f t="shared" si="74"/>
        <v>0</v>
      </c>
      <c r="AF16" s="135">
        <f t="shared" si="4"/>
        <v>1</v>
      </c>
      <c r="AG16" s="26"/>
      <c r="AH16" s="134">
        <f t="shared" si="75"/>
        <v>0</v>
      </c>
      <c r="AI16" s="135">
        <f t="shared" si="6"/>
        <v>1</v>
      </c>
      <c r="AJ16" s="26"/>
      <c r="AK16" s="134">
        <f t="shared" si="76"/>
        <v>0</v>
      </c>
      <c r="AL16" s="135">
        <f t="shared" si="8"/>
        <v>1</v>
      </c>
      <c r="AM16" s="26"/>
      <c r="AN16" s="134">
        <f t="shared" si="77"/>
        <v>0</v>
      </c>
      <c r="AO16" s="135">
        <f t="shared" si="10"/>
        <v>1</v>
      </c>
      <c r="AP16" s="26"/>
      <c r="AQ16" s="134">
        <f t="shared" si="78"/>
        <v>0</v>
      </c>
      <c r="AR16" s="135">
        <f t="shared" si="12"/>
        <v>1</v>
      </c>
      <c r="AS16" s="26"/>
      <c r="AT16" s="134">
        <f t="shared" si="79"/>
        <v>0</v>
      </c>
      <c r="AU16" s="135">
        <f t="shared" si="14"/>
        <v>1</v>
      </c>
      <c r="AV16" s="26"/>
      <c r="AW16" s="134">
        <f t="shared" si="80"/>
        <v>0</v>
      </c>
      <c r="AX16" s="135">
        <f t="shared" si="16"/>
        <v>1</v>
      </c>
      <c r="AY16" s="26"/>
      <c r="AZ16" s="134">
        <f t="shared" si="81"/>
        <v>0</v>
      </c>
      <c r="BA16" s="135">
        <f t="shared" si="18"/>
        <v>1</v>
      </c>
      <c r="BB16" s="26"/>
      <c r="BC16" s="134">
        <f t="shared" si="82"/>
        <v>0</v>
      </c>
      <c r="BD16" s="135">
        <f t="shared" si="20"/>
        <v>1</v>
      </c>
      <c r="BE16" s="26"/>
      <c r="BF16" s="134">
        <f t="shared" si="83"/>
        <v>0</v>
      </c>
      <c r="BG16" s="135">
        <f t="shared" si="22"/>
        <v>1</v>
      </c>
      <c r="BH16" s="134"/>
      <c r="BI16" s="26"/>
      <c r="BJ16" s="26"/>
      <c r="BK16" s="135">
        <f>IF($AA$16=0,1,BJ16/$AA$16-1)</f>
        <v>1</v>
      </c>
      <c r="BL16" s="135">
        <f t="shared" si="24"/>
        <v>1</v>
      </c>
      <c r="BM16" s="167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</row>
    <row r="17" spans="1:206" s="62" customFormat="1" ht="18" customHeight="1">
      <c r="A17" s="312" t="s">
        <v>36</v>
      </c>
      <c r="B17" s="313"/>
      <c r="C17" s="26"/>
      <c r="D17" s="134">
        <f t="shared" si="63"/>
        <v>0</v>
      </c>
      <c r="E17" s="26"/>
      <c r="F17" s="26"/>
      <c r="G17" s="134">
        <f t="shared" si="64"/>
        <v>0</v>
      </c>
      <c r="H17" s="26"/>
      <c r="I17" s="134">
        <f t="shared" si="65"/>
        <v>0</v>
      </c>
      <c r="J17" s="26"/>
      <c r="K17" s="134">
        <f t="shared" si="66"/>
        <v>0</v>
      </c>
      <c r="L17" s="26"/>
      <c r="M17" s="134">
        <f t="shared" si="67"/>
        <v>0</v>
      </c>
      <c r="N17" s="26"/>
      <c r="O17" s="134">
        <f t="shared" si="68"/>
        <v>0</v>
      </c>
      <c r="P17" s="26"/>
      <c r="Q17" s="134">
        <f t="shared" si="69"/>
        <v>0</v>
      </c>
      <c r="R17" s="26"/>
      <c r="S17" s="134">
        <f t="shared" si="70"/>
        <v>0</v>
      </c>
      <c r="T17" s="26"/>
      <c r="U17" s="134">
        <f t="shared" si="71"/>
        <v>0</v>
      </c>
      <c r="V17" s="26"/>
      <c r="W17" s="134">
        <f t="shared" si="72"/>
        <v>0</v>
      </c>
      <c r="X17" s="26"/>
      <c r="Y17" s="134">
        <f t="shared" si="73"/>
        <v>0</v>
      </c>
      <c r="Z17" s="26"/>
      <c r="AA17" s="26"/>
      <c r="AB17" s="135">
        <f t="shared" si="2"/>
        <v>1</v>
      </c>
      <c r="AC17" s="26"/>
      <c r="AD17" s="26"/>
      <c r="AE17" s="134">
        <f t="shared" si="74"/>
        <v>0</v>
      </c>
      <c r="AF17" s="135">
        <f t="shared" si="4"/>
        <v>1</v>
      </c>
      <c r="AG17" s="26"/>
      <c r="AH17" s="134">
        <f t="shared" si="75"/>
        <v>0</v>
      </c>
      <c r="AI17" s="135">
        <f t="shared" si="6"/>
        <v>1</v>
      </c>
      <c r="AJ17" s="26"/>
      <c r="AK17" s="134">
        <f t="shared" si="76"/>
        <v>0</v>
      </c>
      <c r="AL17" s="135">
        <f t="shared" si="8"/>
        <v>1</v>
      </c>
      <c r="AM17" s="26"/>
      <c r="AN17" s="134">
        <f t="shared" si="77"/>
        <v>0</v>
      </c>
      <c r="AO17" s="135">
        <f t="shared" si="10"/>
        <v>1</v>
      </c>
      <c r="AP17" s="26"/>
      <c r="AQ17" s="134">
        <f t="shared" si="78"/>
        <v>0</v>
      </c>
      <c r="AR17" s="135">
        <f t="shared" si="12"/>
        <v>1</v>
      </c>
      <c r="AS17" s="26"/>
      <c r="AT17" s="134">
        <f t="shared" si="79"/>
        <v>0</v>
      </c>
      <c r="AU17" s="135">
        <f t="shared" si="14"/>
        <v>1</v>
      </c>
      <c r="AV17" s="26"/>
      <c r="AW17" s="134">
        <f t="shared" si="80"/>
        <v>0</v>
      </c>
      <c r="AX17" s="135">
        <f t="shared" si="16"/>
        <v>1</v>
      </c>
      <c r="AY17" s="26"/>
      <c r="AZ17" s="134">
        <f t="shared" si="81"/>
        <v>0</v>
      </c>
      <c r="BA17" s="135">
        <f t="shared" si="18"/>
        <v>1</v>
      </c>
      <c r="BB17" s="26"/>
      <c r="BC17" s="134">
        <f t="shared" si="82"/>
        <v>0</v>
      </c>
      <c r="BD17" s="135">
        <f t="shared" si="20"/>
        <v>1</v>
      </c>
      <c r="BE17" s="26"/>
      <c r="BF17" s="134">
        <f t="shared" si="83"/>
        <v>0</v>
      </c>
      <c r="BG17" s="135">
        <f t="shared" si="22"/>
        <v>1</v>
      </c>
      <c r="BH17" s="134"/>
      <c r="BI17" s="26"/>
      <c r="BJ17" s="26"/>
      <c r="BK17" s="135">
        <f>IF($AA$17=0,1,BJ17/$AA$17-1)</f>
        <v>1</v>
      </c>
      <c r="BL17" s="135">
        <f t="shared" si="24"/>
        <v>1</v>
      </c>
      <c r="BM17" s="167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</row>
    <row r="18" spans="1:206" s="62" customFormat="1" ht="18" customHeight="1">
      <c r="A18" s="312" t="s">
        <v>37</v>
      </c>
      <c r="B18" s="313"/>
      <c r="C18" s="26"/>
      <c r="D18" s="134">
        <f t="shared" si="63"/>
        <v>0</v>
      </c>
      <c r="E18" s="26"/>
      <c r="F18" s="26"/>
      <c r="G18" s="134">
        <f t="shared" si="64"/>
        <v>0</v>
      </c>
      <c r="H18" s="26"/>
      <c r="I18" s="134">
        <f t="shared" si="65"/>
        <v>0</v>
      </c>
      <c r="J18" s="26"/>
      <c r="K18" s="134">
        <f t="shared" si="66"/>
        <v>0</v>
      </c>
      <c r="L18" s="26"/>
      <c r="M18" s="134">
        <f t="shared" si="67"/>
        <v>0</v>
      </c>
      <c r="N18" s="26"/>
      <c r="O18" s="134">
        <f t="shared" si="68"/>
        <v>0</v>
      </c>
      <c r="P18" s="26"/>
      <c r="Q18" s="134">
        <f t="shared" si="69"/>
        <v>0</v>
      </c>
      <c r="R18" s="26"/>
      <c r="S18" s="134">
        <f t="shared" si="70"/>
        <v>0</v>
      </c>
      <c r="T18" s="26"/>
      <c r="U18" s="134">
        <f t="shared" si="71"/>
        <v>0</v>
      </c>
      <c r="V18" s="26"/>
      <c r="W18" s="134">
        <f t="shared" si="72"/>
        <v>0</v>
      </c>
      <c r="X18" s="26"/>
      <c r="Y18" s="134">
        <f t="shared" si="73"/>
        <v>0</v>
      </c>
      <c r="Z18" s="26"/>
      <c r="AA18" s="26"/>
      <c r="AB18" s="135">
        <f t="shared" si="2"/>
        <v>1</v>
      </c>
      <c r="AC18" s="26"/>
      <c r="AD18" s="26"/>
      <c r="AE18" s="134">
        <f t="shared" si="74"/>
        <v>0</v>
      </c>
      <c r="AF18" s="135">
        <f t="shared" si="4"/>
        <v>1</v>
      </c>
      <c r="AG18" s="26"/>
      <c r="AH18" s="134">
        <f t="shared" si="75"/>
        <v>0</v>
      </c>
      <c r="AI18" s="135">
        <f t="shared" si="6"/>
        <v>1</v>
      </c>
      <c r="AJ18" s="26"/>
      <c r="AK18" s="134">
        <f t="shared" si="76"/>
        <v>0</v>
      </c>
      <c r="AL18" s="135">
        <f t="shared" si="8"/>
        <v>1</v>
      </c>
      <c r="AM18" s="26"/>
      <c r="AN18" s="134">
        <f t="shared" si="77"/>
        <v>0</v>
      </c>
      <c r="AO18" s="135">
        <f t="shared" si="10"/>
        <v>1</v>
      </c>
      <c r="AP18" s="26"/>
      <c r="AQ18" s="134">
        <f t="shared" si="78"/>
        <v>0</v>
      </c>
      <c r="AR18" s="135">
        <f t="shared" si="12"/>
        <v>1</v>
      </c>
      <c r="AS18" s="26"/>
      <c r="AT18" s="134">
        <f t="shared" si="79"/>
        <v>0</v>
      </c>
      <c r="AU18" s="135">
        <f t="shared" si="14"/>
        <v>1</v>
      </c>
      <c r="AV18" s="26"/>
      <c r="AW18" s="134">
        <f t="shared" si="80"/>
        <v>0</v>
      </c>
      <c r="AX18" s="135">
        <f t="shared" si="16"/>
        <v>1</v>
      </c>
      <c r="AY18" s="26"/>
      <c r="AZ18" s="134">
        <f t="shared" si="81"/>
        <v>0</v>
      </c>
      <c r="BA18" s="135">
        <f t="shared" si="18"/>
        <v>1</v>
      </c>
      <c r="BB18" s="26"/>
      <c r="BC18" s="134">
        <f t="shared" si="82"/>
        <v>0</v>
      </c>
      <c r="BD18" s="135">
        <f t="shared" si="20"/>
        <v>1</v>
      </c>
      <c r="BE18" s="26"/>
      <c r="BF18" s="134">
        <f t="shared" si="83"/>
        <v>0</v>
      </c>
      <c r="BG18" s="135">
        <f t="shared" si="22"/>
        <v>1</v>
      </c>
      <c r="BH18" s="134"/>
      <c r="BI18" s="26"/>
      <c r="BJ18" s="26"/>
      <c r="BK18" s="135">
        <f>IF($AA$18=0,1,BJ18/$AA$18-1)</f>
        <v>1</v>
      </c>
      <c r="BL18" s="135">
        <f t="shared" si="24"/>
        <v>1</v>
      </c>
      <c r="BM18" s="167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</row>
    <row r="19" spans="1:206" s="62" customFormat="1" ht="18" customHeight="1">
      <c r="A19" s="312" t="s">
        <v>38</v>
      </c>
      <c r="B19" s="313"/>
      <c r="C19" s="26"/>
      <c r="D19" s="134">
        <f t="shared" si="63"/>
        <v>0</v>
      </c>
      <c r="E19" s="26"/>
      <c r="F19" s="26"/>
      <c r="G19" s="134">
        <f t="shared" si="64"/>
        <v>0</v>
      </c>
      <c r="H19" s="26"/>
      <c r="I19" s="134">
        <f t="shared" si="65"/>
        <v>0</v>
      </c>
      <c r="J19" s="26"/>
      <c r="K19" s="134">
        <f t="shared" si="66"/>
        <v>0</v>
      </c>
      <c r="L19" s="26"/>
      <c r="M19" s="134">
        <f t="shared" si="67"/>
        <v>0</v>
      </c>
      <c r="N19" s="26"/>
      <c r="O19" s="134">
        <f t="shared" si="68"/>
        <v>0</v>
      </c>
      <c r="P19" s="26"/>
      <c r="Q19" s="134">
        <f t="shared" si="69"/>
        <v>0</v>
      </c>
      <c r="R19" s="26"/>
      <c r="S19" s="134">
        <f t="shared" si="70"/>
        <v>0</v>
      </c>
      <c r="T19" s="26"/>
      <c r="U19" s="134">
        <f t="shared" si="71"/>
        <v>0</v>
      </c>
      <c r="V19" s="26"/>
      <c r="W19" s="134">
        <f t="shared" si="72"/>
        <v>0</v>
      </c>
      <c r="X19" s="26"/>
      <c r="Y19" s="134">
        <f t="shared" si="73"/>
        <v>0</v>
      </c>
      <c r="Z19" s="26"/>
      <c r="AA19" s="26"/>
      <c r="AB19" s="135">
        <f t="shared" si="2"/>
        <v>1</v>
      </c>
      <c r="AC19" s="26"/>
      <c r="AD19" s="26"/>
      <c r="AE19" s="134">
        <f t="shared" si="74"/>
        <v>0</v>
      </c>
      <c r="AF19" s="135">
        <f t="shared" si="4"/>
        <v>1</v>
      </c>
      <c r="AG19" s="26"/>
      <c r="AH19" s="134">
        <f t="shared" si="75"/>
        <v>0</v>
      </c>
      <c r="AI19" s="135">
        <f t="shared" si="6"/>
        <v>1</v>
      </c>
      <c r="AJ19" s="26"/>
      <c r="AK19" s="134">
        <f t="shared" si="76"/>
        <v>0</v>
      </c>
      <c r="AL19" s="135">
        <f t="shared" si="8"/>
        <v>1</v>
      </c>
      <c r="AM19" s="26"/>
      <c r="AN19" s="134">
        <f t="shared" si="77"/>
        <v>0</v>
      </c>
      <c r="AO19" s="135">
        <f t="shared" si="10"/>
        <v>1</v>
      </c>
      <c r="AP19" s="26"/>
      <c r="AQ19" s="134">
        <f t="shared" si="78"/>
        <v>0</v>
      </c>
      <c r="AR19" s="135">
        <f t="shared" si="12"/>
        <v>1</v>
      </c>
      <c r="AS19" s="26"/>
      <c r="AT19" s="134">
        <f t="shared" si="79"/>
        <v>0</v>
      </c>
      <c r="AU19" s="135">
        <f t="shared" si="14"/>
        <v>1</v>
      </c>
      <c r="AV19" s="26"/>
      <c r="AW19" s="134">
        <f t="shared" si="80"/>
        <v>0</v>
      </c>
      <c r="AX19" s="135">
        <f t="shared" si="16"/>
        <v>1</v>
      </c>
      <c r="AY19" s="26"/>
      <c r="AZ19" s="134">
        <f t="shared" si="81"/>
        <v>0</v>
      </c>
      <c r="BA19" s="135">
        <f t="shared" si="18"/>
        <v>1</v>
      </c>
      <c r="BB19" s="26"/>
      <c r="BC19" s="134">
        <f t="shared" si="82"/>
        <v>0</v>
      </c>
      <c r="BD19" s="135">
        <f t="shared" si="20"/>
        <v>1</v>
      </c>
      <c r="BE19" s="26"/>
      <c r="BF19" s="134">
        <f t="shared" si="83"/>
        <v>0</v>
      </c>
      <c r="BG19" s="135">
        <f t="shared" si="22"/>
        <v>1</v>
      </c>
      <c r="BH19" s="134"/>
      <c r="BI19" s="26"/>
      <c r="BJ19" s="26"/>
      <c r="BK19" s="135">
        <f>IF($AA$19=0,1,BJ19/$AA$19-1)</f>
        <v>1</v>
      </c>
      <c r="BL19" s="135">
        <f t="shared" si="24"/>
        <v>1</v>
      </c>
      <c r="BM19" s="167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</row>
    <row r="20" spans="1:206" s="62" customFormat="1" ht="18" customHeight="1">
      <c r="A20" s="312" t="s">
        <v>39</v>
      </c>
      <c r="B20" s="313"/>
      <c r="C20" s="26"/>
      <c r="D20" s="134">
        <f t="shared" si="63"/>
        <v>0</v>
      </c>
      <c r="E20" s="26"/>
      <c r="F20" s="26"/>
      <c r="G20" s="134">
        <f t="shared" si="64"/>
        <v>0</v>
      </c>
      <c r="H20" s="26"/>
      <c r="I20" s="134">
        <f t="shared" si="65"/>
        <v>0</v>
      </c>
      <c r="J20" s="26"/>
      <c r="K20" s="134">
        <f t="shared" si="66"/>
        <v>0</v>
      </c>
      <c r="L20" s="26"/>
      <c r="M20" s="134">
        <f t="shared" si="67"/>
        <v>0</v>
      </c>
      <c r="N20" s="26"/>
      <c r="O20" s="134">
        <f t="shared" si="68"/>
        <v>0</v>
      </c>
      <c r="P20" s="26"/>
      <c r="Q20" s="134">
        <f t="shared" si="69"/>
        <v>0</v>
      </c>
      <c r="R20" s="26"/>
      <c r="S20" s="134">
        <f t="shared" si="70"/>
        <v>0</v>
      </c>
      <c r="T20" s="26"/>
      <c r="U20" s="134">
        <f t="shared" si="71"/>
        <v>0</v>
      </c>
      <c r="V20" s="26"/>
      <c r="W20" s="134">
        <f t="shared" si="72"/>
        <v>0</v>
      </c>
      <c r="X20" s="26"/>
      <c r="Y20" s="134">
        <f t="shared" si="73"/>
        <v>0</v>
      </c>
      <c r="Z20" s="26"/>
      <c r="AA20" s="26"/>
      <c r="AB20" s="135">
        <f t="shared" si="2"/>
        <v>1</v>
      </c>
      <c r="AC20" s="26"/>
      <c r="AD20" s="26"/>
      <c r="AE20" s="134">
        <f t="shared" si="74"/>
        <v>0</v>
      </c>
      <c r="AF20" s="135">
        <f t="shared" si="4"/>
        <v>1</v>
      </c>
      <c r="AG20" s="26"/>
      <c r="AH20" s="134">
        <f t="shared" si="75"/>
        <v>0</v>
      </c>
      <c r="AI20" s="135">
        <f t="shared" si="6"/>
        <v>1</v>
      </c>
      <c r="AJ20" s="26"/>
      <c r="AK20" s="134">
        <f t="shared" si="76"/>
        <v>0</v>
      </c>
      <c r="AL20" s="135">
        <f t="shared" si="8"/>
        <v>1</v>
      </c>
      <c r="AM20" s="26"/>
      <c r="AN20" s="134">
        <f t="shared" si="77"/>
        <v>0</v>
      </c>
      <c r="AO20" s="135">
        <f t="shared" si="10"/>
        <v>1</v>
      </c>
      <c r="AP20" s="26"/>
      <c r="AQ20" s="134">
        <f t="shared" si="78"/>
        <v>0</v>
      </c>
      <c r="AR20" s="135">
        <f t="shared" si="12"/>
        <v>1</v>
      </c>
      <c r="AS20" s="26"/>
      <c r="AT20" s="134">
        <f t="shared" si="79"/>
        <v>0</v>
      </c>
      <c r="AU20" s="135">
        <f t="shared" si="14"/>
        <v>1</v>
      </c>
      <c r="AV20" s="26"/>
      <c r="AW20" s="134">
        <f t="shared" si="80"/>
        <v>0</v>
      </c>
      <c r="AX20" s="135">
        <f t="shared" si="16"/>
        <v>1</v>
      </c>
      <c r="AY20" s="26"/>
      <c r="AZ20" s="134">
        <f t="shared" si="81"/>
        <v>0</v>
      </c>
      <c r="BA20" s="135">
        <f t="shared" si="18"/>
        <v>1</v>
      </c>
      <c r="BB20" s="26"/>
      <c r="BC20" s="134">
        <f t="shared" si="82"/>
        <v>0</v>
      </c>
      <c r="BD20" s="135">
        <f t="shared" si="20"/>
        <v>1</v>
      </c>
      <c r="BE20" s="26"/>
      <c r="BF20" s="134">
        <f t="shared" si="83"/>
        <v>0</v>
      </c>
      <c r="BG20" s="135">
        <f t="shared" si="22"/>
        <v>1</v>
      </c>
      <c r="BH20" s="134"/>
      <c r="BI20" s="26"/>
      <c r="BJ20" s="26"/>
      <c r="BK20" s="135">
        <f>IF($AA$20=0,1,BJ20/$AA$20-1)</f>
        <v>1</v>
      </c>
      <c r="BL20" s="135">
        <f t="shared" si="24"/>
        <v>1</v>
      </c>
      <c r="BM20" s="167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</row>
    <row r="21" spans="1:206" s="62" customFormat="1" ht="18" customHeight="1">
      <c r="A21" s="312" t="s">
        <v>40</v>
      </c>
      <c r="B21" s="313"/>
      <c r="C21" s="26"/>
      <c r="D21" s="134">
        <f t="shared" si="63"/>
        <v>0</v>
      </c>
      <c r="E21" s="26"/>
      <c r="F21" s="26"/>
      <c r="G21" s="134">
        <f t="shared" si="64"/>
        <v>0</v>
      </c>
      <c r="H21" s="26"/>
      <c r="I21" s="134">
        <f t="shared" si="65"/>
        <v>0</v>
      </c>
      <c r="J21" s="26"/>
      <c r="K21" s="134">
        <f t="shared" si="66"/>
        <v>0</v>
      </c>
      <c r="L21" s="26"/>
      <c r="M21" s="134">
        <f t="shared" si="67"/>
        <v>0</v>
      </c>
      <c r="N21" s="26"/>
      <c r="O21" s="134">
        <f t="shared" si="68"/>
        <v>0</v>
      </c>
      <c r="P21" s="26"/>
      <c r="Q21" s="134">
        <f t="shared" si="69"/>
        <v>0</v>
      </c>
      <c r="R21" s="26"/>
      <c r="S21" s="134">
        <f t="shared" si="70"/>
        <v>0</v>
      </c>
      <c r="T21" s="26"/>
      <c r="U21" s="134">
        <f t="shared" si="71"/>
        <v>0</v>
      </c>
      <c r="V21" s="26"/>
      <c r="W21" s="134">
        <f t="shared" si="72"/>
        <v>0</v>
      </c>
      <c r="X21" s="26"/>
      <c r="Y21" s="134">
        <f t="shared" si="73"/>
        <v>0</v>
      </c>
      <c r="Z21" s="26"/>
      <c r="AA21" s="26"/>
      <c r="AB21" s="135">
        <f t="shared" si="2"/>
        <v>1</v>
      </c>
      <c r="AC21" s="26"/>
      <c r="AD21" s="26"/>
      <c r="AE21" s="134">
        <f t="shared" si="74"/>
        <v>0</v>
      </c>
      <c r="AF21" s="135">
        <f t="shared" si="4"/>
        <v>1</v>
      </c>
      <c r="AG21" s="26"/>
      <c r="AH21" s="134">
        <f t="shared" si="75"/>
        <v>0</v>
      </c>
      <c r="AI21" s="135">
        <f t="shared" si="6"/>
        <v>1</v>
      </c>
      <c r="AJ21" s="26"/>
      <c r="AK21" s="134">
        <f t="shared" si="76"/>
        <v>0</v>
      </c>
      <c r="AL21" s="135">
        <f t="shared" si="8"/>
        <v>1</v>
      </c>
      <c r="AM21" s="26"/>
      <c r="AN21" s="134">
        <f t="shared" si="77"/>
        <v>0</v>
      </c>
      <c r="AO21" s="135">
        <f t="shared" si="10"/>
        <v>1</v>
      </c>
      <c r="AP21" s="26"/>
      <c r="AQ21" s="134">
        <f t="shared" si="78"/>
        <v>0</v>
      </c>
      <c r="AR21" s="135">
        <f t="shared" si="12"/>
        <v>1</v>
      </c>
      <c r="AS21" s="26"/>
      <c r="AT21" s="134">
        <f t="shared" si="79"/>
        <v>0</v>
      </c>
      <c r="AU21" s="135">
        <f t="shared" si="14"/>
        <v>1</v>
      </c>
      <c r="AV21" s="26"/>
      <c r="AW21" s="134">
        <f t="shared" si="80"/>
        <v>0</v>
      </c>
      <c r="AX21" s="135">
        <f t="shared" si="16"/>
        <v>1</v>
      </c>
      <c r="AY21" s="26"/>
      <c r="AZ21" s="134">
        <f t="shared" si="81"/>
        <v>0</v>
      </c>
      <c r="BA21" s="135">
        <f t="shared" si="18"/>
        <v>1</v>
      </c>
      <c r="BB21" s="26"/>
      <c r="BC21" s="134">
        <f t="shared" si="82"/>
        <v>0</v>
      </c>
      <c r="BD21" s="135">
        <f t="shared" si="20"/>
        <v>1</v>
      </c>
      <c r="BE21" s="26"/>
      <c r="BF21" s="134">
        <f t="shared" si="83"/>
        <v>0</v>
      </c>
      <c r="BG21" s="135">
        <f t="shared" si="22"/>
        <v>1</v>
      </c>
      <c r="BH21" s="134"/>
      <c r="BI21" s="26"/>
      <c r="BJ21" s="26"/>
      <c r="BK21" s="135">
        <f>IF($AA$21=0,1,BJ21/$AA$21-1)</f>
        <v>1</v>
      </c>
      <c r="BL21" s="135">
        <f t="shared" si="24"/>
        <v>1</v>
      </c>
      <c r="BM21" s="167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</row>
    <row r="22" spans="1:206" s="62" customFormat="1" ht="18" customHeight="1">
      <c r="A22" s="312" t="s">
        <v>41</v>
      </c>
      <c r="B22" s="313"/>
      <c r="C22" s="26"/>
      <c r="D22" s="134">
        <f t="shared" si="63"/>
        <v>0</v>
      </c>
      <c r="E22" s="26"/>
      <c r="F22" s="26"/>
      <c r="G22" s="134">
        <f t="shared" si="64"/>
        <v>0</v>
      </c>
      <c r="H22" s="26"/>
      <c r="I22" s="134">
        <f t="shared" si="65"/>
        <v>0</v>
      </c>
      <c r="J22" s="26"/>
      <c r="K22" s="134">
        <f t="shared" si="66"/>
        <v>0</v>
      </c>
      <c r="L22" s="26"/>
      <c r="M22" s="134">
        <f t="shared" si="67"/>
        <v>0</v>
      </c>
      <c r="N22" s="26"/>
      <c r="O22" s="134">
        <f t="shared" si="68"/>
        <v>0</v>
      </c>
      <c r="P22" s="26"/>
      <c r="Q22" s="134">
        <f t="shared" si="69"/>
        <v>0</v>
      </c>
      <c r="R22" s="26"/>
      <c r="S22" s="134">
        <f t="shared" si="70"/>
        <v>0</v>
      </c>
      <c r="T22" s="26"/>
      <c r="U22" s="134">
        <f t="shared" si="71"/>
        <v>0</v>
      </c>
      <c r="V22" s="26"/>
      <c r="W22" s="134">
        <f t="shared" si="72"/>
        <v>0</v>
      </c>
      <c r="X22" s="26"/>
      <c r="Y22" s="134">
        <f t="shared" si="73"/>
        <v>0</v>
      </c>
      <c r="Z22" s="26"/>
      <c r="AA22" s="26"/>
      <c r="AB22" s="135">
        <f t="shared" si="2"/>
        <v>1</v>
      </c>
      <c r="AC22" s="26"/>
      <c r="AD22" s="26"/>
      <c r="AE22" s="134">
        <f t="shared" si="74"/>
        <v>0</v>
      </c>
      <c r="AF22" s="135">
        <f t="shared" si="4"/>
        <v>1</v>
      </c>
      <c r="AG22" s="26"/>
      <c r="AH22" s="134">
        <f t="shared" si="75"/>
        <v>0</v>
      </c>
      <c r="AI22" s="135">
        <f t="shared" si="6"/>
        <v>1</v>
      </c>
      <c r="AJ22" s="26"/>
      <c r="AK22" s="134">
        <f t="shared" si="76"/>
        <v>0</v>
      </c>
      <c r="AL22" s="135">
        <f t="shared" si="8"/>
        <v>1</v>
      </c>
      <c r="AM22" s="26"/>
      <c r="AN22" s="134">
        <f t="shared" si="77"/>
        <v>0</v>
      </c>
      <c r="AO22" s="135">
        <f t="shared" si="10"/>
        <v>1</v>
      </c>
      <c r="AP22" s="26"/>
      <c r="AQ22" s="134">
        <f t="shared" si="78"/>
        <v>0</v>
      </c>
      <c r="AR22" s="135">
        <f t="shared" si="12"/>
        <v>1</v>
      </c>
      <c r="AS22" s="26"/>
      <c r="AT22" s="134">
        <f t="shared" si="79"/>
        <v>0</v>
      </c>
      <c r="AU22" s="135">
        <f t="shared" si="14"/>
        <v>1</v>
      </c>
      <c r="AV22" s="26"/>
      <c r="AW22" s="134">
        <f t="shared" si="80"/>
        <v>0</v>
      </c>
      <c r="AX22" s="135">
        <f t="shared" si="16"/>
        <v>1</v>
      </c>
      <c r="AY22" s="26"/>
      <c r="AZ22" s="134">
        <f t="shared" si="81"/>
        <v>0</v>
      </c>
      <c r="BA22" s="135">
        <f t="shared" si="18"/>
        <v>1</v>
      </c>
      <c r="BB22" s="26"/>
      <c r="BC22" s="134">
        <f t="shared" si="82"/>
        <v>0</v>
      </c>
      <c r="BD22" s="135">
        <f t="shared" si="20"/>
        <v>1</v>
      </c>
      <c r="BE22" s="26"/>
      <c r="BF22" s="134">
        <f t="shared" si="83"/>
        <v>0</v>
      </c>
      <c r="BG22" s="135">
        <f t="shared" si="22"/>
        <v>1</v>
      </c>
      <c r="BH22" s="134"/>
      <c r="BI22" s="26"/>
      <c r="BJ22" s="26"/>
      <c r="BK22" s="135">
        <f>IF($AA$22=0,1,BJ22/$AA$22-1)</f>
        <v>1</v>
      </c>
      <c r="BL22" s="135">
        <f t="shared" si="24"/>
        <v>1</v>
      </c>
      <c r="BM22" s="167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</row>
    <row r="23" spans="1:206" s="62" customFormat="1" ht="18" customHeight="1">
      <c r="A23" s="312" t="s">
        <v>89</v>
      </c>
      <c r="B23" s="313"/>
      <c r="C23" s="26"/>
      <c r="D23" s="134">
        <f t="shared" si="63"/>
        <v>0</v>
      </c>
      <c r="E23" s="26"/>
      <c r="F23" s="26"/>
      <c r="G23" s="134">
        <f t="shared" si="64"/>
        <v>0</v>
      </c>
      <c r="H23" s="26"/>
      <c r="I23" s="134">
        <f t="shared" si="65"/>
        <v>0</v>
      </c>
      <c r="J23" s="26"/>
      <c r="K23" s="134">
        <f t="shared" si="66"/>
        <v>0</v>
      </c>
      <c r="L23" s="26"/>
      <c r="M23" s="134">
        <f t="shared" si="67"/>
        <v>0</v>
      </c>
      <c r="N23" s="26"/>
      <c r="O23" s="134">
        <f t="shared" si="68"/>
        <v>0</v>
      </c>
      <c r="P23" s="26"/>
      <c r="Q23" s="134">
        <f t="shared" si="69"/>
        <v>0</v>
      </c>
      <c r="R23" s="26"/>
      <c r="S23" s="134">
        <f t="shared" si="70"/>
        <v>0</v>
      </c>
      <c r="T23" s="26"/>
      <c r="U23" s="134">
        <f t="shared" si="71"/>
        <v>0</v>
      </c>
      <c r="V23" s="26"/>
      <c r="W23" s="134">
        <f t="shared" si="72"/>
        <v>0</v>
      </c>
      <c r="X23" s="26"/>
      <c r="Y23" s="134">
        <f t="shared" si="73"/>
        <v>0</v>
      </c>
      <c r="Z23" s="26"/>
      <c r="AA23" s="26"/>
      <c r="AB23" s="135">
        <f t="shared" si="2"/>
        <v>1</v>
      </c>
      <c r="AC23" s="26"/>
      <c r="AD23" s="26"/>
      <c r="AE23" s="134">
        <f t="shared" si="74"/>
        <v>0</v>
      </c>
      <c r="AF23" s="135">
        <f t="shared" si="4"/>
        <v>1</v>
      </c>
      <c r="AG23" s="26"/>
      <c r="AH23" s="134">
        <f t="shared" si="75"/>
        <v>0</v>
      </c>
      <c r="AI23" s="135">
        <f t="shared" si="6"/>
        <v>1</v>
      </c>
      <c r="AJ23" s="26"/>
      <c r="AK23" s="134">
        <f t="shared" si="76"/>
        <v>0</v>
      </c>
      <c r="AL23" s="135">
        <f t="shared" si="8"/>
        <v>1</v>
      </c>
      <c r="AM23" s="26"/>
      <c r="AN23" s="134">
        <f t="shared" si="77"/>
        <v>0</v>
      </c>
      <c r="AO23" s="135">
        <f t="shared" si="10"/>
        <v>1</v>
      </c>
      <c r="AP23" s="26"/>
      <c r="AQ23" s="134">
        <f t="shared" si="78"/>
        <v>0</v>
      </c>
      <c r="AR23" s="135">
        <f t="shared" si="12"/>
        <v>1</v>
      </c>
      <c r="AS23" s="26"/>
      <c r="AT23" s="134">
        <f t="shared" si="79"/>
        <v>0</v>
      </c>
      <c r="AU23" s="135">
        <f t="shared" si="14"/>
        <v>1</v>
      </c>
      <c r="AV23" s="26"/>
      <c r="AW23" s="134">
        <f t="shared" si="80"/>
        <v>0</v>
      </c>
      <c r="AX23" s="135">
        <f t="shared" si="16"/>
        <v>1</v>
      </c>
      <c r="AY23" s="26"/>
      <c r="AZ23" s="134">
        <f t="shared" si="81"/>
        <v>0</v>
      </c>
      <c r="BA23" s="135">
        <f t="shared" si="18"/>
        <v>1</v>
      </c>
      <c r="BB23" s="26"/>
      <c r="BC23" s="134">
        <f t="shared" si="82"/>
        <v>0</v>
      </c>
      <c r="BD23" s="135">
        <f t="shared" si="20"/>
        <v>1</v>
      </c>
      <c r="BE23" s="26"/>
      <c r="BF23" s="134">
        <f t="shared" si="83"/>
        <v>0</v>
      </c>
      <c r="BG23" s="135">
        <f t="shared" si="22"/>
        <v>1</v>
      </c>
      <c r="BH23" s="134"/>
      <c r="BI23" s="26"/>
      <c r="BJ23" s="26"/>
      <c r="BK23" s="135">
        <f>IF($AA$23=0,1,BJ23/$AA$23-1)</f>
        <v>1</v>
      </c>
      <c r="BL23" s="135">
        <f t="shared" si="24"/>
        <v>1</v>
      </c>
      <c r="BM23" s="167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</row>
    <row r="24" spans="1:206" s="62" customFormat="1" ht="18" customHeight="1">
      <c r="A24" s="312" t="s">
        <v>90</v>
      </c>
      <c r="B24" s="313"/>
      <c r="C24" s="26"/>
      <c r="D24" s="134">
        <f t="shared" si="63"/>
        <v>0</v>
      </c>
      <c r="E24" s="26"/>
      <c r="F24" s="26"/>
      <c r="G24" s="134">
        <f t="shared" si="64"/>
        <v>0</v>
      </c>
      <c r="H24" s="26"/>
      <c r="I24" s="134">
        <f t="shared" si="65"/>
        <v>0</v>
      </c>
      <c r="J24" s="26"/>
      <c r="K24" s="134">
        <f t="shared" si="66"/>
        <v>0</v>
      </c>
      <c r="L24" s="26"/>
      <c r="M24" s="134">
        <f t="shared" si="67"/>
        <v>0</v>
      </c>
      <c r="N24" s="26"/>
      <c r="O24" s="134">
        <f t="shared" si="68"/>
        <v>0</v>
      </c>
      <c r="P24" s="26"/>
      <c r="Q24" s="134">
        <f t="shared" si="69"/>
        <v>0</v>
      </c>
      <c r="R24" s="26"/>
      <c r="S24" s="134">
        <f t="shared" si="70"/>
        <v>0</v>
      </c>
      <c r="T24" s="26"/>
      <c r="U24" s="134">
        <f t="shared" si="71"/>
        <v>0</v>
      </c>
      <c r="V24" s="26"/>
      <c r="W24" s="134">
        <f t="shared" si="72"/>
        <v>0</v>
      </c>
      <c r="X24" s="26"/>
      <c r="Y24" s="134">
        <f t="shared" si="73"/>
        <v>0</v>
      </c>
      <c r="Z24" s="26"/>
      <c r="AA24" s="26"/>
      <c r="AB24" s="135">
        <f t="shared" si="2"/>
        <v>1</v>
      </c>
      <c r="AC24" s="26"/>
      <c r="AD24" s="26"/>
      <c r="AE24" s="134">
        <f t="shared" si="74"/>
        <v>0</v>
      </c>
      <c r="AF24" s="135">
        <f t="shared" si="4"/>
        <v>1</v>
      </c>
      <c r="AG24" s="26"/>
      <c r="AH24" s="134">
        <f t="shared" si="75"/>
        <v>0</v>
      </c>
      <c r="AI24" s="135">
        <f t="shared" si="6"/>
        <v>1</v>
      </c>
      <c r="AJ24" s="26"/>
      <c r="AK24" s="134">
        <f t="shared" si="76"/>
        <v>0</v>
      </c>
      <c r="AL24" s="135">
        <f t="shared" si="8"/>
        <v>1</v>
      </c>
      <c r="AM24" s="26"/>
      <c r="AN24" s="134">
        <f t="shared" si="77"/>
        <v>0</v>
      </c>
      <c r="AO24" s="135">
        <f t="shared" si="10"/>
        <v>1</v>
      </c>
      <c r="AP24" s="26"/>
      <c r="AQ24" s="134">
        <f t="shared" si="78"/>
        <v>0</v>
      </c>
      <c r="AR24" s="135">
        <f t="shared" si="12"/>
        <v>1</v>
      </c>
      <c r="AS24" s="26"/>
      <c r="AT24" s="134">
        <f t="shared" si="79"/>
        <v>0</v>
      </c>
      <c r="AU24" s="135">
        <f t="shared" si="14"/>
        <v>1</v>
      </c>
      <c r="AV24" s="26"/>
      <c r="AW24" s="134">
        <f t="shared" si="80"/>
        <v>0</v>
      </c>
      <c r="AX24" s="135">
        <f t="shared" si="16"/>
        <v>1</v>
      </c>
      <c r="AY24" s="26"/>
      <c r="AZ24" s="134">
        <f t="shared" si="81"/>
        <v>0</v>
      </c>
      <c r="BA24" s="135">
        <f t="shared" si="18"/>
        <v>1</v>
      </c>
      <c r="BB24" s="26"/>
      <c r="BC24" s="134">
        <f t="shared" si="82"/>
        <v>0</v>
      </c>
      <c r="BD24" s="135">
        <f t="shared" si="20"/>
        <v>1</v>
      </c>
      <c r="BE24" s="26"/>
      <c r="BF24" s="134">
        <f t="shared" si="83"/>
        <v>0</v>
      </c>
      <c r="BG24" s="135">
        <f t="shared" si="22"/>
        <v>1</v>
      </c>
      <c r="BH24" s="134"/>
      <c r="BI24" s="26"/>
      <c r="BJ24" s="26"/>
      <c r="BK24" s="135">
        <f>IF($AA$24=0,1,BJ24/$AA$24-1)</f>
        <v>1</v>
      </c>
      <c r="BL24" s="135">
        <f t="shared" si="24"/>
        <v>1</v>
      </c>
      <c r="BM24" s="167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</row>
    <row r="25" spans="1:206" s="62" customFormat="1" ht="18" customHeight="1">
      <c r="A25" s="312" t="s">
        <v>42</v>
      </c>
      <c r="B25" s="313"/>
      <c r="C25" s="26"/>
      <c r="D25" s="134">
        <f t="shared" si="63"/>
        <v>0</v>
      </c>
      <c r="E25" s="26"/>
      <c r="F25" s="26"/>
      <c r="G25" s="134">
        <f t="shared" si="64"/>
        <v>0</v>
      </c>
      <c r="H25" s="26"/>
      <c r="I25" s="134">
        <f t="shared" si="65"/>
        <v>0</v>
      </c>
      <c r="J25" s="26"/>
      <c r="K25" s="134">
        <f t="shared" si="66"/>
        <v>0</v>
      </c>
      <c r="L25" s="26"/>
      <c r="M25" s="134">
        <f t="shared" si="67"/>
        <v>0</v>
      </c>
      <c r="N25" s="26"/>
      <c r="O25" s="134">
        <f t="shared" si="68"/>
        <v>0</v>
      </c>
      <c r="P25" s="26"/>
      <c r="Q25" s="134">
        <f t="shared" si="69"/>
        <v>0</v>
      </c>
      <c r="R25" s="26"/>
      <c r="S25" s="134">
        <f t="shared" si="70"/>
        <v>0</v>
      </c>
      <c r="T25" s="26"/>
      <c r="U25" s="134">
        <f t="shared" si="71"/>
        <v>0</v>
      </c>
      <c r="V25" s="26"/>
      <c r="W25" s="134">
        <f t="shared" si="72"/>
        <v>0</v>
      </c>
      <c r="X25" s="26"/>
      <c r="Y25" s="134">
        <f t="shared" si="73"/>
        <v>0</v>
      </c>
      <c r="Z25" s="26"/>
      <c r="AA25" s="26"/>
      <c r="AB25" s="135">
        <f t="shared" si="2"/>
        <v>1</v>
      </c>
      <c r="AC25" s="26"/>
      <c r="AD25" s="26"/>
      <c r="AE25" s="134">
        <f t="shared" si="74"/>
        <v>0</v>
      </c>
      <c r="AF25" s="135">
        <f t="shared" si="4"/>
        <v>1</v>
      </c>
      <c r="AG25" s="26"/>
      <c r="AH25" s="134">
        <f t="shared" si="75"/>
        <v>0</v>
      </c>
      <c r="AI25" s="135">
        <f t="shared" si="6"/>
        <v>1</v>
      </c>
      <c r="AJ25" s="26"/>
      <c r="AK25" s="134">
        <f t="shared" si="76"/>
        <v>0</v>
      </c>
      <c r="AL25" s="135">
        <f t="shared" si="8"/>
        <v>1</v>
      </c>
      <c r="AM25" s="26"/>
      <c r="AN25" s="134">
        <f t="shared" si="77"/>
        <v>0</v>
      </c>
      <c r="AO25" s="135">
        <f t="shared" si="10"/>
        <v>1</v>
      </c>
      <c r="AP25" s="26"/>
      <c r="AQ25" s="134">
        <f t="shared" si="78"/>
        <v>0</v>
      </c>
      <c r="AR25" s="135">
        <f t="shared" si="12"/>
        <v>1</v>
      </c>
      <c r="AS25" s="26"/>
      <c r="AT25" s="134">
        <f t="shared" si="79"/>
        <v>0</v>
      </c>
      <c r="AU25" s="135">
        <f t="shared" si="14"/>
        <v>1</v>
      </c>
      <c r="AV25" s="26"/>
      <c r="AW25" s="134">
        <f t="shared" si="80"/>
        <v>0</v>
      </c>
      <c r="AX25" s="135">
        <f t="shared" si="16"/>
        <v>1</v>
      </c>
      <c r="AY25" s="26"/>
      <c r="AZ25" s="134">
        <f t="shared" si="81"/>
        <v>0</v>
      </c>
      <c r="BA25" s="135">
        <f t="shared" si="18"/>
        <v>1</v>
      </c>
      <c r="BB25" s="26"/>
      <c r="BC25" s="134">
        <f t="shared" si="82"/>
        <v>0</v>
      </c>
      <c r="BD25" s="135">
        <f t="shared" si="20"/>
        <v>1</v>
      </c>
      <c r="BE25" s="26"/>
      <c r="BF25" s="134">
        <f t="shared" si="83"/>
        <v>0</v>
      </c>
      <c r="BG25" s="135">
        <f t="shared" si="22"/>
        <v>1</v>
      </c>
      <c r="BH25" s="134"/>
      <c r="BI25" s="26"/>
      <c r="BJ25" s="26"/>
      <c r="BK25" s="135">
        <f>IF($AA$25=0,1,BJ25/$AA$25-1)</f>
        <v>1</v>
      </c>
      <c r="BL25" s="135">
        <f t="shared" si="24"/>
        <v>1</v>
      </c>
      <c r="BM25" s="167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</row>
    <row r="26" spans="1:206" s="62" customFormat="1" ht="18" customHeight="1">
      <c r="A26" s="312" t="s">
        <v>43</v>
      </c>
      <c r="B26" s="313"/>
      <c r="C26" s="26"/>
      <c r="D26" s="134">
        <f t="shared" si="63"/>
        <v>0</v>
      </c>
      <c r="E26" s="26"/>
      <c r="F26" s="26"/>
      <c r="G26" s="134">
        <f t="shared" si="64"/>
        <v>0</v>
      </c>
      <c r="H26" s="26"/>
      <c r="I26" s="134">
        <f t="shared" si="65"/>
        <v>0</v>
      </c>
      <c r="J26" s="26"/>
      <c r="K26" s="134">
        <f t="shared" si="66"/>
        <v>0</v>
      </c>
      <c r="L26" s="26"/>
      <c r="M26" s="134">
        <f t="shared" si="67"/>
        <v>0</v>
      </c>
      <c r="N26" s="26"/>
      <c r="O26" s="134">
        <f t="shared" si="68"/>
        <v>0</v>
      </c>
      <c r="P26" s="26"/>
      <c r="Q26" s="134">
        <f t="shared" si="69"/>
        <v>0</v>
      </c>
      <c r="R26" s="26"/>
      <c r="S26" s="134">
        <f t="shared" si="70"/>
        <v>0</v>
      </c>
      <c r="T26" s="26"/>
      <c r="U26" s="134">
        <f t="shared" si="71"/>
        <v>0</v>
      </c>
      <c r="V26" s="26"/>
      <c r="W26" s="134">
        <f t="shared" si="72"/>
        <v>0</v>
      </c>
      <c r="X26" s="26"/>
      <c r="Y26" s="134">
        <f t="shared" si="73"/>
        <v>0</v>
      </c>
      <c r="Z26" s="26"/>
      <c r="AA26" s="26"/>
      <c r="AB26" s="135">
        <f t="shared" si="2"/>
        <v>1</v>
      </c>
      <c r="AC26" s="26"/>
      <c r="AD26" s="26"/>
      <c r="AE26" s="134">
        <f t="shared" si="74"/>
        <v>0</v>
      </c>
      <c r="AF26" s="135">
        <f t="shared" si="4"/>
        <v>1</v>
      </c>
      <c r="AG26" s="26"/>
      <c r="AH26" s="134">
        <f t="shared" si="75"/>
        <v>0</v>
      </c>
      <c r="AI26" s="135">
        <f t="shared" si="6"/>
        <v>1</v>
      </c>
      <c r="AJ26" s="26"/>
      <c r="AK26" s="134">
        <f t="shared" si="76"/>
        <v>0</v>
      </c>
      <c r="AL26" s="135">
        <f t="shared" si="8"/>
        <v>1</v>
      </c>
      <c r="AM26" s="26"/>
      <c r="AN26" s="134">
        <f t="shared" si="77"/>
        <v>0</v>
      </c>
      <c r="AO26" s="135">
        <f t="shared" si="10"/>
        <v>1</v>
      </c>
      <c r="AP26" s="26"/>
      <c r="AQ26" s="134">
        <f t="shared" si="78"/>
        <v>0</v>
      </c>
      <c r="AR26" s="135">
        <f t="shared" si="12"/>
        <v>1</v>
      </c>
      <c r="AS26" s="26"/>
      <c r="AT26" s="134">
        <f t="shared" si="79"/>
        <v>0</v>
      </c>
      <c r="AU26" s="135">
        <f t="shared" si="14"/>
        <v>1</v>
      </c>
      <c r="AV26" s="26"/>
      <c r="AW26" s="134">
        <f t="shared" si="80"/>
        <v>0</v>
      </c>
      <c r="AX26" s="135">
        <f t="shared" si="16"/>
        <v>1</v>
      </c>
      <c r="AY26" s="26"/>
      <c r="AZ26" s="134">
        <f t="shared" si="81"/>
        <v>0</v>
      </c>
      <c r="BA26" s="135">
        <f t="shared" si="18"/>
        <v>1</v>
      </c>
      <c r="BB26" s="26"/>
      <c r="BC26" s="134">
        <f t="shared" si="82"/>
        <v>0</v>
      </c>
      <c r="BD26" s="135">
        <f t="shared" si="20"/>
        <v>1</v>
      </c>
      <c r="BE26" s="26"/>
      <c r="BF26" s="134">
        <f t="shared" si="83"/>
        <v>0</v>
      </c>
      <c r="BG26" s="135">
        <f t="shared" si="22"/>
        <v>1</v>
      </c>
      <c r="BH26" s="134"/>
      <c r="BI26" s="26"/>
      <c r="BJ26" s="26"/>
      <c r="BK26" s="135">
        <f>IF($AA$26=0,1,BJ26/$AA$26-1)</f>
        <v>1</v>
      </c>
      <c r="BL26" s="135">
        <f t="shared" si="24"/>
        <v>1</v>
      </c>
      <c r="BM26" s="167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</row>
    <row r="27" spans="1:206" s="59" customFormat="1" ht="18" customHeight="1">
      <c r="A27" s="314" t="s">
        <v>44</v>
      </c>
      <c r="B27" s="315"/>
      <c r="C27" s="132">
        <f t="shared" ref="C27" si="84">C28+C29+C31+C33+C35+C36</f>
        <v>0</v>
      </c>
      <c r="D27" s="132">
        <f>D28+D29+D31+D33+D35+D36</f>
        <v>0</v>
      </c>
      <c r="E27" s="132">
        <f t="shared" ref="E27:AA27" si="85">E28+E29+E31+E33+E35+E36</f>
        <v>0</v>
      </c>
      <c r="F27" s="132">
        <f t="shared" si="85"/>
        <v>0</v>
      </c>
      <c r="G27" s="132">
        <f t="shared" si="85"/>
        <v>0</v>
      </c>
      <c r="H27" s="132">
        <f t="shared" si="85"/>
        <v>0</v>
      </c>
      <c r="I27" s="132">
        <f t="shared" si="85"/>
        <v>0</v>
      </c>
      <c r="J27" s="132">
        <f t="shared" si="85"/>
        <v>0</v>
      </c>
      <c r="K27" s="132">
        <f t="shared" si="85"/>
        <v>0</v>
      </c>
      <c r="L27" s="132">
        <f t="shared" si="85"/>
        <v>0</v>
      </c>
      <c r="M27" s="132">
        <f t="shared" si="85"/>
        <v>0</v>
      </c>
      <c r="N27" s="132">
        <f t="shared" si="85"/>
        <v>0</v>
      </c>
      <c r="O27" s="132">
        <f t="shared" si="85"/>
        <v>0</v>
      </c>
      <c r="P27" s="132">
        <f t="shared" si="85"/>
        <v>0</v>
      </c>
      <c r="Q27" s="132">
        <f t="shared" si="85"/>
        <v>0</v>
      </c>
      <c r="R27" s="132">
        <f t="shared" si="85"/>
        <v>0</v>
      </c>
      <c r="S27" s="132">
        <f t="shared" si="85"/>
        <v>0</v>
      </c>
      <c r="T27" s="132">
        <f t="shared" si="85"/>
        <v>0</v>
      </c>
      <c r="U27" s="132">
        <f t="shared" si="85"/>
        <v>0</v>
      </c>
      <c r="V27" s="132">
        <f t="shared" si="85"/>
        <v>0</v>
      </c>
      <c r="W27" s="132">
        <f t="shared" si="85"/>
        <v>0</v>
      </c>
      <c r="X27" s="132">
        <f t="shared" si="85"/>
        <v>0</v>
      </c>
      <c r="Y27" s="132">
        <f t="shared" si="85"/>
        <v>0</v>
      </c>
      <c r="Z27" s="132">
        <f t="shared" si="85"/>
        <v>0</v>
      </c>
      <c r="AA27" s="132">
        <f t="shared" si="85"/>
        <v>0</v>
      </c>
      <c r="AB27" s="133">
        <f t="shared" si="2"/>
        <v>1</v>
      </c>
      <c r="AC27" s="132">
        <f t="shared" ref="AC27:BF27" si="86">AC28+AC29+AC31+AC33+AC35+AC36</f>
        <v>0</v>
      </c>
      <c r="AD27" s="132">
        <f t="shared" si="86"/>
        <v>0</v>
      </c>
      <c r="AE27" s="132">
        <f t="shared" si="86"/>
        <v>0</v>
      </c>
      <c r="AF27" s="133">
        <f t="shared" si="4"/>
        <v>1</v>
      </c>
      <c r="AG27" s="132">
        <f t="shared" ref="AG27" si="87">AG28+AG29+AG31+AG33+AG35+AG36</f>
        <v>0</v>
      </c>
      <c r="AH27" s="132">
        <f t="shared" si="86"/>
        <v>0</v>
      </c>
      <c r="AI27" s="133">
        <f t="shared" si="6"/>
        <v>1</v>
      </c>
      <c r="AJ27" s="132">
        <f t="shared" ref="AJ27" si="88">AJ28+AJ29+AJ31+AJ33+AJ35+AJ36</f>
        <v>0</v>
      </c>
      <c r="AK27" s="132">
        <f t="shared" si="86"/>
        <v>0</v>
      </c>
      <c r="AL27" s="133">
        <f t="shared" si="8"/>
        <v>1</v>
      </c>
      <c r="AM27" s="132">
        <f t="shared" ref="AM27" si="89">AM28+AM29+AM31+AM33+AM35+AM36</f>
        <v>0</v>
      </c>
      <c r="AN27" s="132">
        <f t="shared" si="86"/>
        <v>0</v>
      </c>
      <c r="AO27" s="133">
        <f t="shared" si="10"/>
        <v>1</v>
      </c>
      <c r="AP27" s="132">
        <f t="shared" ref="AP27" si="90">AP28+AP29+AP31+AP33+AP35+AP36</f>
        <v>0</v>
      </c>
      <c r="AQ27" s="132">
        <f t="shared" si="86"/>
        <v>0</v>
      </c>
      <c r="AR27" s="133">
        <f t="shared" si="12"/>
        <v>1</v>
      </c>
      <c r="AS27" s="132">
        <f t="shared" ref="AS27" si="91">AS28+AS29+AS31+AS33+AS35+AS36</f>
        <v>0</v>
      </c>
      <c r="AT27" s="132">
        <f t="shared" si="86"/>
        <v>0</v>
      </c>
      <c r="AU27" s="133">
        <f t="shared" si="14"/>
        <v>1</v>
      </c>
      <c r="AV27" s="132">
        <f t="shared" ref="AV27" si="92">AV28+AV29+AV31+AV33+AV35+AV36</f>
        <v>0</v>
      </c>
      <c r="AW27" s="132">
        <f t="shared" si="86"/>
        <v>0</v>
      </c>
      <c r="AX27" s="133">
        <f t="shared" si="16"/>
        <v>1</v>
      </c>
      <c r="AY27" s="132">
        <f t="shared" ref="AY27" si="93">AY28+AY29+AY31+AY33+AY35+AY36</f>
        <v>0</v>
      </c>
      <c r="AZ27" s="132">
        <f t="shared" si="86"/>
        <v>0</v>
      </c>
      <c r="BA27" s="133">
        <f t="shared" si="18"/>
        <v>1</v>
      </c>
      <c r="BB27" s="132">
        <f t="shared" ref="BB27" si="94">BB28+BB29+BB31+BB33+BB35+BB36</f>
        <v>0</v>
      </c>
      <c r="BC27" s="132">
        <f t="shared" si="86"/>
        <v>0</v>
      </c>
      <c r="BD27" s="133">
        <f t="shared" si="20"/>
        <v>1</v>
      </c>
      <c r="BE27" s="132">
        <f t="shared" ref="BE27" si="95">BE28+BE29+BE31+BE33+BE35+BE36</f>
        <v>0</v>
      </c>
      <c r="BF27" s="132">
        <f t="shared" si="86"/>
        <v>0</v>
      </c>
      <c r="BG27" s="133">
        <f t="shared" si="22"/>
        <v>1</v>
      </c>
      <c r="BH27" s="132">
        <f t="shared" ref="BH27:BJ27" si="96">BH28+BH29+BH31+BH33+BH35+BH36</f>
        <v>0</v>
      </c>
      <c r="BI27" s="132">
        <f t="shared" si="96"/>
        <v>0</v>
      </c>
      <c r="BJ27" s="132">
        <f t="shared" si="96"/>
        <v>0</v>
      </c>
      <c r="BK27" s="133">
        <f>IF($AA$27=0,1,BJ27/$AA$27-1)</f>
        <v>1</v>
      </c>
      <c r="BL27" s="133">
        <f t="shared" si="24"/>
        <v>1</v>
      </c>
      <c r="BM27" s="166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</row>
    <row r="28" spans="1:206" s="64" customFormat="1" ht="18" customHeight="1">
      <c r="A28" s="298" t="s">
        <v>94</v>
      </c>
      <c r="B28" s="299"/>
      <c r="C28" s="29"/>
      <c r="D28" s="134">
        <f t="shared" ref="D28:D36" si="97">E28+F28+H28+J28+L28+N28+P28+R28+T28+V28+X28+Z28</f>
        <v>0</v>
      </c>
      <c r="E28" s="29"/>
      <c r="F28" s="29"/>
      <c r="G28" s="134">
        <f t="shared" ref="G28:G36" si="98">E28+F28</f>
        <v>0</v>
      </c>
      <c r="H28" s="29"/>
      <c r="I28" s="134">
        <f t="shared" ref="I28:I36" si="99">G28+H28</f>
        <v>0</v>
      </c>
      <c r="J28" s="29"/>
      <c r="K28" s="134">
        <f t="shared" ref="K28:K36" si="100">I28+J28</f>
        <v>0</v>
      </c>
      <c r="L28" s="29"/>
      <c r="M28" s="134">
        <f t="shared" ref="M28:M36" si="101">K28+L28</f>
        <v>0</v>
      </c>
      <c r="N28" s="29"/>
      <c r="O28" s="134">
        <f t="shared" ref="O28:O36" si="102">M28+N28</f>
        <v>0</v>
      </c>
      <c r="P28" s="29"/>
      <c r="Q28" s="134">
        <f t="shared" ref="Q28:Q36" si="103">O28+P28</f>
        <v>0</v>
      </c>
      <c r="R28" s="29"/>
      <c r="S28" s="134">
        <f t="shared" ref="S28:S36" si="104">Q28+R28</f>
        <v>0</v>
      </c>
      <c r="T28" s="29"/>
      <c r="U28" s="134">
        <f t="shared" ref="U28:U36" si="105">S28+T28</f>
        <v>0</v>
      </c>
      <c r="V28" s="29"/>
      <c r="W28" s="134">
        <f t="shared" ref="W28:W36" si="106">U28+V28</f>
        <v>0</v>
      </c>
      <c r="X28" s="29"/>
      <c r="Y28" s="134">
        <f t="shared" ref="Y28:Y36" si="107">W28+X28</f>
        <v>0</v>
      </c>
      <c r="Z28" s="29"/>
      <c r="AA28" s="29"/>
      <c r="AB28" s="135">
        <f t="shared" si="2"/>
        <v>1</v>
      </c>
      <c r="AC28" s="29"/>
      <c r="AD28" s="29"/>
      <c r="AE28" s="134">
        <f t="shared" ref="AE28:AE36" si="108">AC28+AD28</f>
        <v>0</v>
      </c>
      <c r="AF28" s="135">
        <f t="shared" si="4"/>
        <v>1</v>
      </c>
      <c r="AG28" s="29"/>
      <c r="AH28" s="134">
        <f t="shared" ref="AH28:AH36" si="109">AE28+AG28</f>
        <v>0</v>
      </c>
      <c r="AI28" s="135">
        <f t="shared" si="6"/>
        <v>1</v>
      </c>
      <c r="AJ28" s="29"/>
      <c r="AK28" s="134">
        <f t="shared" ref="AK28:AK36" si="110">AH28+AJ28</f>
        <v>0</v>
      </c>
      <c r="AL28" s="135">
        <f t="shared" si="8"/>
        <v>1</v>
      </c>
      <c r="AM28" s="29"/>
      <c r="AN28" s="134">
        <f t="shared" ref="AN28:AN36" si="111">AK28+AM28</f>
        <v>0</v>
      </c>
      <c r="AO28" s="135">
        <f t="shared" si="10"/>
        <v>1</v>
      </c>
      <c r="AP28" s="29"/>
      <c r="AQ28" s="134">
        <f t="shared" ref="AQ28:AQ36" si="112">AN28+AP28</f>
        <v>0</v>
      </c>
      <c r="AR28" s="135">
        <f t="shared" si="12"/>
        <v>1</v>
      </c>
      <c r="AS28" s="29"/>
      <c r="AT28" s="134">
        <f t="shared" ref="AT28:AT36" si="113">AQ28+AS28</f>
        <v>0</v>
      </c>
      <c r="AU28" s="135">
        <f t="shared" si="14"/>
        <v>1</v>
      </c>
      <c r="AV28" s="29"/>
      <c r="AW28" s="134">
        <f t="shared" ref="AW28:AW36" si="114">AT28+AV28</f>
        <v>0</v>
      </c>
      <c r="AX28" s="135">
        <f t="shared" si="16"/>
        <v>1</v>
      </c>
      <c r="AY28" s="29"/>
      <c r="AZ28" s="134">
        <f t="shared" ref="AZ28:AZ36" si="115">AW28+AY28</f>
        <v>0</v>
      </c>
      <c r="BA28" s="135">
        <f t="shared" si="18"/>
        <v>1</v>
      </c>
      <c r="BB28" s="29"/>
      <c r="BC28" s="134">
        <f t="shared" ref="BC28:BC36" si="116">AZ28+BB28</f>
        <v>0</v>
      </c>
      <c r="BD28" s="135">
        <f t="shared" si="20"/>
        <v>1</v>
      </c>
      <c r="BE28" s="29"/>
      <c r="BF28" s="134">
        <f t="shared" ref="BF28:BF36" si="117">BC28+BE28</f>
        <v>0</v>
      </c>
      <c r="BG28" s="135">
        <f t="shared" si="22"/>
        <v>1</v>
      </c>
      <c r="BH28" s="134"/>
      <c r="BI28" s="26"/>
      <c r="BJ28" s="26"/>
      <c r="BK28" s="135">
        <f>IF($AA$28=0,1,BJ28/$AA$28-1)</f>
        <v>1</v>
      </c>
      <c r="BL28" s="135">
        <f t="shared" si="24"/>
        <v>1</v>
      </c>
      <c r="BM28" s="167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</row>
    <row r="29" spans="1:206" s="64" customFormat="1" ht="18" customHeight="1">
      <c r="A29" s="298" t="s">
        <v>45</v>
      </c>
      <c r="B29" s="299"/>
      <c r="C29" s="29"/>
      <c r="D29" s="134">
        <f t="shared" si="97"/>
        <v>0</v>
      </c>
      <c r="E29" s="29"/>
      <c r="F29" s="29"/>
      <c r="G29" s="134">
        <f t="shared" si="98"/>
        <v>0</v>
      </c>
      <c r="H29" s="29"/>
      <c r="I29" s="134">
        <f t="shared" si="99"/>
        <v>0</v>
      </c>
      <c r="J29" s="29"/>
      <c r="K29" s="134">
        <f t="shared" si="100"/>
        <v>0</v>
      </c>
      <c r="L29" s="29"/>
      <c r="M29" s="134">
        <f t="shared" si="101"/>
        <v>0</v>
      </c>
      <c r="N29" s="29"/>
      <c r="O29" s="134">
        <f t="shared" si="102"/>
        <v>0</v>
      </c>
      <c r="P29" s="29"/>
      <c r="Q29" s="134">
        <f t="shared" si="103"/>
        <v>0</v>
      </c>
      <c r="R29" s="29"/>
      <c r="S29" s="134">
        <f t="shared" si="104"/>
        <v>0</v>
      </c>
      <c r="T29" s="29"/>
      <c r="U29" s="134">
        <f t="shared" si="105"/>
        <v>0</v>
      </c>
      <c r="V29" s="29"/>
      <c r="W29" s="134">
        <f t="shared" si="106"/>
        <v>0</v>
      </c>
      <c r="X29" s="29"/>
      <c r="Y29" s="134">
        <f t="shared" si="107"/>
        <v>0</v>
      </c>
      <c r="Z29" s="29"/>
      <c r="AA29" s="29"/>
      <c r="AB29" s="135">
        <f t="shared" si="2"/>
        <v>1</v>
      </c>
      <c r="AC29" s="29"/>
      <c r="AD29" s="29"/>
      <c r="AE29" s="134">
        <f t="shared" si="108"/>
        <v>0</v>
      </c>
      <c r="AF29" s="135">
        <f t="shared" si="4"/>
        <v>1</v>
      </c>
      <c r="AG29" s="29"/>
      <c r="AH29" s="134">
        <f t="shared" si="109"/>
        <v>0</v>
      </c>
      <c r="AI29" s="135">
        <f t="shared" si="6"/>
        <v>1</v>
      </c>
      <c r="AJ29" s="29"/>
      <c r="AK29" s="134">
        <f t="shared" si="110"/>
        <v>0</v>
      </c>
      <c r="AL29" s="135">
        <f t="shared" si="8"/>
        <v>1</v>
      </c>
      <c r="AM29" s="29"/>
      <c r="AN29" s="134">
        <f t="shared" si="111"/>
        <v>0</v>
      </c>
      <c r="AO29" s="135">
        <f t="shared" si="10"/>
        <v>1</v>
      </c>
      <c r="AP29" s="29"/>
      <c r="AQ29" s="134">
        <f t="shared" si="112"/>
        <v>0</v>
      </c>
      <c r="AR29" s="135">
        <f t="shared" si="12"/>
        <v>1</v>
      </c>
      <c r="AS29" s="29"/>
      <c r="AT29" s="134">
        <f t="shared" si="113"/>
        <v>0</v>
      </c>
      <c r="AU29" s="135">
        <f t="shared" si="14"/>
        <v>1</v>
      </c>
      <c r="AV29" s="29"/>
      <c r="AW29" s="134">
        <f t="shared" si="114"/>
        <v>0</v>
      </c>
      <c r="AX29" s="135">
        <f t="shared" si="16"/>
        <v>1</v>
      </c>
      <c r="AY29" s="29"/>
      <c r="AZ29" s="134">
        <f t="shared" si="115"/>
        <v>0</v>
      </c>
      <c r="BA29" s="135">
        <f t="shared" si="18"/>
        <v>1</v>
      </c>
      <c r="BB29" s="29"/>
      <c r="BC29" s="134">
        <f t="shared" si="116"/>
        <v>0</v>
      </c>
      <c r="BD29" s="135">
        <f t="shared" si="20"/>
        <v>1</v>
      </c>
      <c r="BE29" s="29"/>
      <c r="BF29" s="134">
        <f t="shared" si="117"/>
        <v>0</v>
      </c>
      <c r="BG29" s="135">
        <f t="shared" si="22"/>
        <v>1</v>
      </c>
      <c r="BH29" s="134"/>
      <c r="BI29" s="26"/>
      <c r="BJ29" s="26"/>
      <c r="BK29" s="135">
        <f>IF($AA$29=0,1,BJ29/$AA$29-1)</f>
        <v>1</v>
      </c>
      <c r="BL29" s="135">
        <f t="shared" si="24"/>
        <v>1</v>
      </c>
      <c r="BM29" s="167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</row>
    <row r="30" spans="1:206" s="64" customFormat="1" ht="18" customHeight="1">
      <c r="A30" s="298" t="s">
        <v>91</v>
      </c>
      <c r="B30" s="299"/>
      <c r="C30" s="29"/>
      <c r="D30" s="134">
        <f t="shared" si="97"/>
        <v>0</v>
      </c>
      <c r="E30" s="30"/>
      <c r="F30" s="30"/>
      <c r="G30" s="134">
        <f t="shared" si="98"/>
        <v>0</v>
      </c>
      <c r="H30" s="30"/>
      <c r="I30" s="134">
        <f t="shared" si="99"/>
        <v>0</v>
      </c>
      <c r="J30" s="30"/>
      <c r="K30" s="134">
        <f t="shared" si="100"/>
        <v>0</v>
      </c>
      <c r="L30" s="30"/>
      <c r="M30" s="134">
        <f t="shared" si="101"/>
        <v>0</v>
      </c>
      <c r="N30" s="30"/>
      <c r="O30" s="134">
        <f t="shared" si="102"/>
        <v>0</v>
      </c>
      <c r="P30" s="30"/>
      <c r="Q30" s="134">
        <f t="shared" si="103"/>
        <v>0</v>
      </c>
      <c r="R30" s="30"/>
      <c r="S30" s="134">
        <f t="shared" si="104"/>
        <v>0</v>
      </c>
      <c r="T30" s="30"/>
      <c r="U30" s="134">
        <f t="shared" si="105"/>
        <v>0</v>
      </c>
      <c r="V30" s="30"/>
      <c r="W30" s="134">
        <f t="shared" si="106"/>
        <v>0</v>
      </c>
      <c r="X30" s="30"/>
      <c r="Y30" s="134">
        <f t="shared" si="107"/>
        <v>0</v>
      </c>
      <c r="Z30" s="30"/>
      <c r="AA30" s="30"/>
      <c r="AB30" s="135">
        <f t="shared" si="2"/>
        <v>1</v>
      </c>
      <c r="AC30" s="30"/>
      <c r="AD30" s="30"/>
      <c r="AE30" s="134">
        <f t="shared" si="108"/>
        <v>0</v>
      </c>
      <c r="AF30" s="135">
        <f t="shared" si="4"/>
        <v>1</v>
      </c>
      <c r="AG30" s="30"/>
      <c r="AH30" s="134">
        <f t="shared" si="109"/>
        <v>0</v>
      </c>
      <c r="AI30" s="135">
        <f t="shared" si="6"/>
        <v>1</v>
      </c>
      <c r="AJ30" s="30"/>
      <c r="AK30" s="134">
        <f t="shared" si="110"/>
        <v>0</v>
      </c>
      <c r="AL30" s="135">
        <f t="shared" si="8"/>
        <v>1</v>
      </c>
      <c r="AM30" s="30"/>
      <c r="AN30" s="134">
        <f t="shared" si="111"/>
        <v>0</v>
      </c>
      <c r="AO30" s="135">
        <f t="shared" si="10"/>
        <v>1</v>
      </c>
      <c r="AP30" s="30"/>
      <c r="AQ30" s="134">
        <f t="shared" si="112"/>
        <v>0</v>
      </c>
      <c r="AR30" s="135">
        <f t="shared" si="12"/>
        <v>1</v>
      </c>
      <c r="AS30" s="30"/>
      <c r="AT30" s="134">
        <f t="shared" si="113"/>
        <v>0</v>
      </c>
      <c r="AU30" s="135">
        <f t="shared" si="14"/>
        <v>1</v>
      </c>
      <c r="AV30" s="30"/>
      <c r="AW30" s="134">
        <f t="shared" si="114"/>
        <v>0</v>
      </c>
      <c r="AX30" s="135">
        <f t="shared" si="16"/>
        <v>1</v>
      </c>
      <c r="AY30" s="30"/>
      <c r="AZ30" s="134">
        <f t="shared" si="115"/>
        <v>0</v>
      </c>
      <c r="BA30" s="135">
        <f t="shared" si="18"/>
        <v>1</v>
      </c>
      <c r="BB30" s="30"/>
      <c r="BC30" s="134">
        <f t="shared" si="116"/>
        <v>0</v>
      </c>
      <c r="BD30" s="135">
        <f t="shared" si="20"/>
        <v>1</v>
      </c>
      <c r="BE30" s="30"/>
      <c r="BF30" s="134">
        <f t="shared" si="117"/>
        <v>0</v>
      </c>
      <c r="BG30" s="135">
        <f t="shared" si="22"/>
        <v>1</v>
      </c>
      <c r="BH30" s="134"/>
      <c r="BI30" s="26"/>
      <c r="BJ30" s="26"/>
      <c r="BK30" s="135">
        <f>IF($AA$30=0,1,BJ30/$AA$30-1)</f>
        <v>1</v>
      </c>
      <c r="BL30" s="135">
        <f t="shared" si="24"/>
        <v>1</v>
      </c>
      <c r="BM30" s="167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</row>
    <row r="31" spans="1:206" s="64" customFormat="1" ht="18" customHeight="1">
      <c r="A31" s="298" t="s">
        <v>46</v>
      </c>
      <c r="B31" s="299"/>
      <c r="C31" s="29"/>
      <c r="D31" s="134">
        <f t="shared" si="97"/>
        <v>0</v>
      </c>
      <c r="E31" s="30"/>
      <c r="F31" s="30"/>
      <c r="G31" s="134">
        <f t="shared" si="98"/>
        <v>0</v>
      </c>
      <c r="H31" s="30"/>
      <c r="I31" s="134">
        <f t="shared" si="99"/>
        <v>0</v>
      </c>
      <c r="J31" s="30"/>
      <c r="K31" s="134">
        <f t="shared" si="100"/>
        <v>0</v>
      </c>
      <c r="L31" s="30"/>
      <c r="M31" s="134">
        <f t="shared" si="101"/>
        <v>0</v>
      </c>
      <c r="N31" s="30"/>
      <c r="O31" s="134">
        <f t="shared" si="102"/>
        <v>0</v>
      </c>
      <c r="P31" s="30"/>
      <c r="Q31" s="134">
        <f t="shared" si="103"/>
        <v>0</v>
      </c>
      <c r="R31" s="30"/>
      <c r="S31" s="134">
        <f t="shared" si="104"/>
        <v>0</v>
      </c>
      <c r="T31" s="30"/>
      <c r="U31" s="134">
        <f t="shared" si="105"/>
        <v>0</v>
      </c>
      <c r="V31" s="30"/>
      <c r="W31" s="134">
        <f t="shared" si="106"/>
        <v>0</v>
      </c>
      <c r="X31" s="30"/>
      <c r="Y31" s="134">
        <f t="shared" si="107"/>
        <v>0</v>
      </c>
      <c r="Z31" s="30"/>
      <c r="AA31" s="30"/>
      <c r="AB31" s="135">
        <f t="shared" si="2"/>
        <v>1</v>
      </c>
      <c r="AC31" s="30"/>
      <c r="AD31" s="30"/>
      <c r="AE31" s="134">
        <f t="shared" si="108"/>
        <v>0</v>
      </c>
      <c r="AF31" s="135">
        <f t="shared" si="4"/>
        <v>1</v>
      </c>
      <c r="AG31" s="30"/>
      <c r="AH31" s="134">
        <f t="shared" si="109"/>
        <v>0</v>
      </c>
      <c r="AI31" s="135">
        <f t="shared" si="6"/>
        <v>1</v>
      </c>
      <c r="AJ31" s="30"/>
      <c r="AK31" s="134">
        <f t="shared" si="110"/>
        <v>0</v>
      </c>
      <c r="AL31" s="135">
        <f t="shared" si="8"/>
        <v>1</v>
      </c>
      <c r="AM31" s="30"/>
      <c r="AN31" s="134">
        <f t="shared" si="111"/>
        <v>0</v>
      </c>
      <c r="AO31" s="135">
        <f t="shared" si="10"/>
        <v>1</v>
      </c>
      <c r="AP31" s="30"/>
      <c r="AQ31" s="134">
        <f t="shared" si="112"/>
        <v>0</v>
      </c>
      <c r="AR31" s="135">
        <f t="shared" si="12"/>
        <v>1</v>
      </c>
      <c r="AS31" s="30"/>
      <c r="AT31" s="134">
        <f t="shared" si="113"/>
        <v>0</v>
      </c>
      <c r="AU31" s="135">
        <f t="shared" si="14"/>
        <v>1</v>
      </c>
      <c r="AV31" s="30"/>
      <c r="AW31" s="134">
        <f t="shared" si="114"/>
        <v>0</v>
      </c>
      <c r="AX31" s="135">
        <f t="shared" si="16"/>
        <v>1</v>
      </c>
      <c r="AY31" s="30"/>
      <c r="AZ31" s="134">
        <f t="shared" si="115"/>
        <v>0</v>
      </c>
      <c r="BA31" s="135">
        <f t="shared" si="18"/>
        <v>1</v>
      </c>
      <c r="BB31" s="30"/>
      <c r="BC31" s="134">
        <f t="shared" si="116"/>
        <v>0</v>
      </c>
      <c r="BD31" s="135">
        <f t="shared" si="20"/>
        <v>1</v>
      </c>
      <c r="BE31" s="30"/>
      <c r="BF31" s="134">
        <f t="shared" si="117"/>
        <v>0</v>
      </c>
      <c r="BG31" s="135">
        <f t="shared" si="22"/>
        <v>1</v>
      </c>
      <c r="BH31" s="134"/>
      <c r="BI31" s="26"/>
      <c r="BJ31" s="26"/>
      <c r="BK31" s="135">
        <f>IF($AA$31=0,1,BJ31/$AA$31-1)</f>
        <v>1</v>
      </c>
      <c r="BL31" s="135">
        <f t="shared" si="24"/>
        <v>1</v>
      </c>
      <c r="BM31" s="167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</row>
    <row r="32" spans="1:206" s="64" customFormat="1" ht="18" customHeight="1">
      <c r="A32" s="298" t="s">
        <v>92</v>
      </c>
      <c r="B32" s="299"/>
      <c r="C32" s="29"/>
      <c r="D32" s="134">
        <f t="shared" si="97"/>
        <v>0</v>
      </c>
      <c r="E32" s="30"/>
      <c r="F32" s="30"/>
      <c r="G32" s="134">
        <f t="shared" si="98"/>
        <v>0</v>
      </c>
      <c r="H32" s="30"/>
      <c r="I32" s="134">
        <f t="shared" si="99"/>
        <v>0</v>
      </c>
      <c r="J32" s="30"/>
      <c r="K32" s="134">
        <f t="shared" si="100"/>
        <v>0</v>
      </c>
      <c r="L32" s="30"/>
      <c r="M32" s="134">
        <f t="shared" si="101"/>
        <v>0</v>
      </c>
      <c r="N32" s="30"/>
      <c r="O32" s="134">
        <f t="shared" si="102"/>
        <v>0</v>
      </c>
      <c r="P32" s="30"/>
      <c r="Q32" s="134">
        <f t="shared" si="103"/>
        <v>0</v>
      </c>
      <c r="R32" s="30"/>
      <c r="S32" s="134">
        <f t="shared" si="104"/>
        <v>0</v>
      </c>
      <c r="T32" s="30"/>
      <c r="U32" s="134">
        <f t="shared" si="105"/>
        <v>0</v>
      </c>
      <c r="V32" s="30"/>
      <c r="W32" s="134">
        <f t="shared" si="106"/>
        <v>0</v>
      </c>
      <c r="X32" s="30"/>
      <c r="Y32" s="134">
        <f t="shared" si="107"/>
        <v>0</v>
      </c>
      <c r="Z32" s="30"/>
      <c r="AA32" s="30"/>
      <c r="AB32" s="135">
        <f t="shared" si="2"/>
        <v>1</v>
      </c>
      <c r="AC32" s="30"/>
      <c r="AD32" s="30"/>
      <c r="AE32" s="134">
        <f t="shared" si="108"/>
        <v>0</v>
      </c>
      <c r="AF32" s="135">
        <f t="shared" si="4"/>
        <v>1</v>
      </c>
      <c r="AG32" s="30"/>
      <c r="AH32" s="134">
        <f t="shared" si="109"/>
        <v>0</v>
      </c>
      <c r="AI32" s="135">
        <f t="shared" si="6"/>
        <v>1</v>
      </c>
      <c r="AJ32" s="30"/>
      <c r="AK32" s="134">
        <f t="shared" si="110"/>
        <v>0</v>
      </c>
      <c r="AL32" s="135">
        <f t="shared" si="8"/>
        <v>1</v>
      </c>
      <c r="AM32" s="30"/>
      <c r="AN32" s="134">
        <f t="shared" si="111"/>
        <v>0</v>
      </c>
      <c r="AO32" s="135">
        <f t="shared" si="10"/>
        <v>1</v>
      </c>
      <c r="AP32" s="30"/>
      <c r="AQ32" s="134">
        <f t="shared" si="112"/>
        <v>0</v>
      </c>
      <c r="AR32" s="135">
        <f t="shared" si="12"/>
        <v>1</v>
      </c>
      <c r="AS32" s="30"/>
      <c r="AT32" s="134">
        <f t="shared" si="113"/>
        <v>0</v>
      </c>
      <c r="AU32" s="135">
        <f t="shared" si="14"/>
        <v>1</v>
      </c>
      <c r="AV32" s="30"/>
      <c r="AW32" s="134">
        <f t="shared" si="114"/>
        <v>0</v>
      </c>
      <c r="AX32" s="135">
        <f t="shared" si="16"/>
        <v>1</v>
      </c>
      <c r="AY32" s="30"/>
      <c r="AZ32" s="134">
        <f t="shared" si="115"/>
        <v>0</v>
      </c>
      <c r="BA32" s="135">
        <f t="shared" si="18"/>
        <v>1</v>
      </c>
      <c r="BB32" s="30"/>
      <c r="BC32" s="134">
        <f t="shared" si="116"/>
        <v>0</v>
      </c>
      <c r="BD32" s="135">
        <f t="shared" si="20"/>
        <v>1</v>
      </c>
      <c r="BE32" s="30"/>
      <c r="BF32" s="134">
        <f t="shared" si="117"/>
        <v>0</v>
      </c>
      <c r="BG32" s="135">
        <f t="shared" si="22"/>
        <v>1</v>
      </c>
      <c r="BH32" s="134"/>
      <c r="BI32" s="26"/>
      <c r="BJ32" s="26"/>
      <c r="BK32" s="135">
        <f>IF($AA$32=0,1,BJ32/$AA$32-1)</f>
        <v>1</v>
      </c>
      <c r="BL32" s="135">
        <f t="shared" si="24"/>
        <v>1</v>
      </c>
      <c r="BM32" s="167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</row>
    <row r="33" spans="1:206" s="66" customFormat="1" ht="18" customHeight="1">
      <c r="A33" s="298" t="s">
        <v>142</v>
      </c>
      <c r="B33" s="299"/>
      <c r="C33" s="29"/>
      <c r="D33" s="134">
        <f t="shared" si="97"/>
        <v>0</v>
      </c>
      <c r="E33" s="29"/>
      <c r="F33" s="29"/>
      <c r="G33" s="134">
        <f t="shared" si="98"/>
        <v>0</v>
      </c>
      <c r="H33" s="29"/>
      <c r="I33" s="134">
        <f t="shared" si="99"/>
        <v>0</v>
      </c>
      <c r="J33" s="29"/>
      <c r="K33" s="134">
        <f t="shared" si="100"/>
        <v>0</v>
      </c>
      <c r="L33" s="29"/>
      <c r="M33" s="134">
        <f t="shared" si="101"/>
        <v>0</v>
      </c>
      <c r="N33" s="29"/>
      <c r="O33" s="134">
        <f t="shared" si="102"/>
        <v>0</v>
      </c>
      <c r="P33" s="29"/>
      <c r="Q33" s="134">
        <f t="shared" si="103"/>
        <v>0</v>
      </c>
      <c r="R33" s="29"/>
      <c r="S33" s="134">
        <f t="shared" si="104"/>
        <v>0</v>
      </c>
      <c r="T33" s="29"/>
      <c r="U33" s="134">
        <f t="shared" si="105"/>
        <v>0</v>
      </c>
      <c r="V33" s="29"/>
      <c r="W33" s="134">
        <f t="shared" si="106"/>
        <v>0</v>
      </c>
      <c r="X33" s="29"/>
      <c r="Y33" s="134">
        <f t="shared" si="107"/>
        <v>0</v>
      </c>
      <c r="Z33" s="29"/>
      <c r="AA33" s="29"/>
      <c r="AB33" s="135">
        <f t="shared" si="2"/>
        <v>1</v>
      </c>
      <c r="AC33" s="29"/>
      <c r="AD33" s="29"/>
      <c r="AE33" s="134">
        <f t="shared" si="108"/>
        <v>0</v>
      </c>
      <c r="AF33" s="135">
        <f t="shared" si="4"/>
        <v>1</v>
      </c>
      <c r="AG33" s="29"/>
      <c r="AH33" s="134">
        <f t="shared" si="109"/>
        <v>0</v>
      </c>
      <c r="AI33" s="135">
        <f t="shared" si="6"/>
        <v>1</v>
      </c>
      <c r="AJ33" s="29"/>
      <c r="AK33" s="134">
        <f t="shared" si="110"/>
        <v>0</v>
      </c>
      <c r="AL33" s="135">
        <f t="shared" si="8"/>
        <v>1</v>
      </c>
      <c r="AM33" s="29"/>
      <c r="AN33" s="134">
        <f t="shared" si="111"/>
        <v>0</v>
      </c>
      <c r="AO33" s="135">
        <f t="shared" si="10"/>
        <v>1</v>
      </c>
      <c r="AP33" s="29"/>
      <c r="AQ33" s="134">
        <f t="shared" si="112"/>
        <v>0</v>
      </c>
      <c r="AR33" s="135">
        <f t="shared" si="12"/>
        <v>1</v>
      </c>
      <c r="AS33" s="29"/>
      <c r="AT33" s="134">
        <f t="shared" si="113"/>
        <v>0</v>
      </c>
      <c r="AU33" s="135">
        <f t="shared" si="14"/>
        <v>1</v>
      </c>
      <c r="AV33" s="29"/>
      <c r="AW33" s="134">
        <f t="shared" si="114"/>
        <v>0</v>
      </c>
      <c r="AX33" s="135">
        <f t="shared" si="16"/>
        <v>1</v>
      </c>
      <c r="AY33" s="29"/>
      <c r="AZ33" s="134">
        <f t="shared" si="115"/>
        <v>0</v>
      </c>
      <c r="BA33" s="135">
        <f t="shared" si="18"/>
        <v>1</v>
      </c>
      <c r="BB33" s="29"/>
      <c r="BC33" s="134">
        <f t="shared" si="116"/>
        <v>0</v>
      </c>
      <c r="BD33" s="135">
        <f t="shared" si="20"/>
        <v>1</v>
      </c>
      <c r="BE33" s="29"/>
      <c r="BF33" s="134">
        <f t="shared" si="117"/>
        <v>0</v>
      </c>
      <c r="BG33" s="135">
        <f t="shared" si="22"/>
        <v>1</v>
      </c>
      <c r="BH33" s="134"/>
      <c r="BI33" s="26"/>
      <c r="BJ33" s="26"/>
      <c r="BK33" s="135">
        <f>IF($AA$33=0,1,BJ33/$AA$33-1)</f>
        <v>1</v>
      </c>
      <c r="BL33" s="135">
        <f t="shared" si="24"/>
        <v>1</v>
      </c>
      <c r="BM33" s="167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</row>
    <row r="34" spans="1:206" s="66" customFormat="1" ht="33" customHeight="1">
      <c r="A34" s="298" t="s">
        <v>118</v>
      </c>
      <c r="B34" s="299"/>
      <c r="C34" s="29"/>
      <c r="D34" s="134">
        <f t="shared" si="97"/>
        <v>0</v>
      </c>
      <c r="E34" s="29"/>
      <c r="F34" s="29"/>
      <c r="G34" s="134">
        <f t="shared" si="98"/>
        <v>0</v>
      </c>
      <c r="H34" s="29"/>
      <c r="I34" s="134">
        <f t="shared" si="99"/>
        <v>0</v>
      </c>
      <c r="J34" s="29"/>
      <c r="K34" s="134">
        <f t="shared" si="100"/>
        <v>0</v>
      </c>
      <c r="L34" s="29"/>
      <c r="M34" s="134">
        <f t="shared" si="101"/>
        <v>0</v>
      </c>
      <c r="N34" s="29"/>
      <c r="O34" s="134">
        <f t="shared" si="102"/>
        <v>0</v>
      </c>
      <c r="P34" s="29"/>
      <c r="Q34" s="134">
        <f t="shared" si="103"/>
        <v>0</v>
      </c>
      <c r="R34" s="29"/>
      <c r="S34" s="134">
        <f t="shared" si="104"/>
        <v>0</v>
      </c>
      <c r="T34" s="29"/>
      <c r="U34" s="134">
        <f t="shared" si="105"/>
        <v>0</v>
      </c>
      <c r="V34" s="29"/>
      <c r="W34" s="134">
        <f t="shared" si="106"/>
        <v>0</v>
      </c>
      <c r="X34" s="29"/>
      <c r="Y34" s="134">
        <f t="shared" si="107"/>
        <v>0</v>
      </c>
      <c r="Z34" s="29"/>
      <c r="AA34" s="29"/>
      <c r="AB34" s="135">
        <f t="shared" si="2"/>
        <v>1</v>
      </c>
      <c r="AC34" s="29"/>
      <c r="AD34" s="29"/>
      <c r="AE34" s="134">
        <f t="shared" si="108"/>
        <v>0</v>
      </c>
      <c r="AF34" s="135">
        <f t="shared" si="4"/>
        <v>1</v>
      </c>
      <c r="AG34" s="29"/>
      <c r="AH34" s="134">
        <f t="shared" si="109"/>
        <v>0</v>
      </c>
      <c r="AI34" s="135">
        <f t="shared" si="6"/>
        <v>1</v>
      </c>
      <c r="AJ34" s="29"/>
      <c r="AK34" s="134">
        <f t="shared" si="110"/>
        <v>0</v>
      </c>
      <c r="AL34" s="135">
        <f t="shared" si="8"/>
        <v>1</v>
      </c>
      <c r="AM34" s="29"/>
      <c r="AN34" s="134">
        <f t="shared" si="111"/>
        <v>0</v>
      </c>
      <c r="AO34" s="135">
        <f t="shared" si="10"/>
        <v>1</v>
      </c>
      <c r="AP34" s="29"/>
      <c r="AQ34" s="134">
        <f t="shared" si="112"/>
        <v>0</v>
      </c>
      <c r="AR34" s="135">
        <f t="shared" si="12"/>
        <v>1</v>
      </c>
      <c r="AS34" s="29"/>
      <c r="AT34" s="134">
        <f t="shared" si="113"/>
        <v>0</v>
      </c>
      <c r="AU34" s="135">
        <f t="shared" si="14"/>
        <v>1</v>
      </c>
      <c r="AV34" s="29"/>
      <c r="AW34" s="134">
        <f t="shared" si="114"/>
        <v>0</v>
      </c>
      <c r="AX34" s="135">
        <f t="shared" si="16"/>
        <v>1</v>
      </c>
      <c r="AY34" s="29"/>
      <c r="AZ34" s="134">
        <f t="shared" si="115"/>
        <v>0</v>
      </c>
      <c r="BA34" s="135">
        <f t="shared" si="18"/>
        <v>1</v>
      </c>
      <c r="BB34" s="29"/>
      <c r="BC34" s="134">
        <f t="shared" si="116"/>
        <v>0</v>
      </c>
      <c r="BD34" s="135">
        <f t="shared" si="20"/>
        <v>1</v>
      </c>
      <c r="BE34" s="29"/>
      <c r="BF34" s="134">
        <f t="shared" si="117"/>
        <v>0</v>
      </c>
      <c r="BG34" s="135">
        <f t="shared" si="22"/>
        <v>1</v>
      </c>
      <c r="BH34" s="134"/>
      <c r="BI34" s="26"/>
      <c r="BJ34" s="26"/>
      <c r="BK34" s="135">
        <f>IF($AA$34=0,1,BJ34/$AA$34-1)</f>
        <v>1</v>
      </c>
      <c r="BL34" s="135">
        <f t="shared" si="24"/>
        <v>1</v>
      </c>
      <c r="BM34" s="167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</row>
    <row r="35" spans="1:206" s="66" customFormat="1" ht="18" customHeight="1">
      <c r="A35" s="298" t="s">
        <v>48</v>
      </c>
      <c r="B35" s="299"/>
      <c r="C35" s="29"/>
      <c r="D35" s="134">
        <f t="shared" si="97"/>
        <v>0</v>
      </c>
      <c r="E35" s="31"/>
      <c r="F35" s="31"/>
      <c r="G35" s="134">
        <f t="shared" si="98"/>
        <v>0</v>
      </c>
      <c r="H35" s="31"/>
      <c r="I35" s="134">
        <f t="shared" si="99"/>
        <v>0</v>
      </c>
      <c r="J35" s="31"/>
      <c r="K35" s="134">
        <f t="shared" si="100"/>
        <v>0</v>
      </c>
      <c r="L35" s="31"/>
      <c r="M35" s="134">
        <f t="shared" si="101"/>
        <v>0</v>
      </c>
      <c r="N35" s="31"/>
      <c r="O35" s="134">
        <f t="shared" si="102"/>
        <v>0</v>
      </c>
      <c r="P35" s="31"/>
      <c r="Q35" s="134">
        <f t="shared" si="103"/>
        <v>0</v>
      </c>
      <c r="R35" s="31"/>
      <c r="S35" s="134">
        <f t="shared" si="104"/>
        <v>0</v>
      </c>
      <c r="T35" s="31"/>
      <c r="U35" s="134">
        <f t="shared" si="105"/>
        <v>0</v>
      </c>
      <c r="V35" s="31"/>
      <c r="W35" s="134">
        <f t="shared" si="106"/>
        <v>0</v>
      </c>
      <c r="X35" s="31"/>
      <c r="Y35" s="134">
        <f t="shared" si="107"/>
        <v>0</v>
      </c>
      <c r="Z35" s="31"/>
      <c r="AA35" s="31"/>
      <c r="AB35" s="135">
        <f t="shared" si="2"/>
        <v>1</v>
      </c>
      <c r="AC35" s="31"/>
      <c r="AD35" s="31"/>
      <c r="AE35" s="134">
        <f t="shared" si="108"/>
        <v>0</v>
      </c>
      <c r="AF35" s="135">
        <f t="shared" si="4"/>
        <v>1</v>
      </c>
      <c r="AG35" s="31"/>
      <c r="AH35" s="134">
        <f t="shared" si="109"/>
        <v>0</v>
      </c>
      <c r="AI35" s="135">
        <f t="shared" si="6"/>
        <v>1</v>
      </c>
      <c r="AJ35" s="29"/>
      <c r="AK35" s="134">
        <f t="shared" si="110"/>
        <v>0</v>
      </c>
      <c r="AL35" s="135">
        <f t="shared" si="8"/>
        <v>1</v>
      </c>
      <c r="AM35" s="31"/>
      <c r="AN35" s="134">
        <f t="shared" si="111"/>
        <v>0</v>
      </c>
      <c r="AO35" s="135">
        <f t="shared" si="10"/>
        <v>1</v>
      </c>
      <c r="AP35" s="31"/>
      <c r="AQ35" s="134">
        <f t="shared" si="112"/>
        <v>0</v>
      </c>
      <c r="AR35" s="135">
        <f t="shared" si="12"/>
        <v>1</v>
      </c>
      <c r="AS35" s="31"/>
      <c r="AT35" s="134">
        <f t="shared" si="113"/>
        <v>0</v>
      </c>
      <c r="AU35" s="135">
        <f t="shared" si="14"/>
        <v>1</v>
      </c>
      <c r="AV35" s="31"/>
      <c r="AW35" s="134">
        <f t="shared" si="114"/>
        <v>0</v>
      </c>
      <c r="AX35" s="135">
        <f t="shared" si="16"/>
        <v>1</v>
      </c>
      <c r="AY35" s="31"/>
      <c r="AZ35" s="134">
        <f t="shared" si="115"/>
        <v>0</v>
      </c>
      <c r="BA35" s="135">
        <f t="shared" si="18"/>
        <v>1</v>
      </c>
      <c r="BB35" s="31"/>
      <c r="BC35" s="134">
        <f t="shared" si="116"/>
        <v>0</v>
      </c>
      <c r="BD35" s="135">
        <f t="shared" si="20"/>
        <v>1</v>
      </c>
      <c r="BE35" s="31"/>
      <c r="BF35" s="134">
        <f t="shared" si="117"/>
        <v>0</v>
      </c>
      <c r="BG35" s="135">
        <f t="shared" si="22"/>
        <v>1</v>
      </c>
      <c r="BH35" s="134"/>
      <c r="BI35" s="26"/>
      <c r="BJ35" s="26"/>
      <c r="BK35" s="135">
        <f>IF($AA$35=0,1,BJ35/$AA$35-1)</f>
        <v>1</v>
      </c>
      <c r="BL35" s="135">
        <f t="shared" si="24"/>
        <v>1</v>
      </c>
      <c r="BM35" s="167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</row>
    <row r="36" spans="1:206" s="66" customFormat="1" ht="18" customHeight="1">
      <c r="A36" s="298" t="s">
        <v>93</v>
      </c>
      <c r="B36" s="299"/>
      <c r="C36" s="29"/>
      <c r="D36" s="134">
        <f t="shared" si="97"/>
        <v>0</v>
      </c>
      <c r="E36" s="31"/>
      <c r="F36" s="31"/>
      <c r="G36" s="134">
        <f t="shared" si="98"/>
        <v>0</v>
      </c>
      <c r="H36" s="31"/>
      <c r="I36" s="134">
        <f t="shared" si="99"/>
        <v>0</v>
      </c>
      <c r="J36" s="31"/>
      <c r="K36" s="134">
        <f t="shared" si="100"/>
        <v>0</v>
      </c>
      <c r="L36" s="31"/>
      <c r="M36" s="134">
        <f t="shared" si="101"/>
        <v>0</v>
      </c>
      <c r="N36" s="31"/>
      <c r="O36" s="134">
        <f t="shared" si="102"/>
        <v>0</v>
      </c>
      <c r="P36" s="31"/>
      <c r="Q36" s="134">
        <f t="shared" si="103"/>
        <v>0</v>
      </c>
      <c r="R36" s="31"/>
      <c r="S36" s="134">
        <f t="shared" si="104"/>
        <v>0</v>
      </c>
      <c r="T36" s="31"/>
      <c r="U36" s="134">
        <f t="shared" si="105"/>
        <v>0</v>
      </c>
      <c r="V36" s="31"/>
      <c r="W36" s="134">
        <f t="shared" si="106"/>
        <v>0</v>
      </c>
      <c r="X36" s="31"/>
      <c r="Y36" s="134">
        <f t="shared" si="107"/>
        <v>0</v>
      </c>
      <c r="Z36" s="31"/>
      <c r="AA36" s="31"/>
      <c r="AB36" s="135">
        <f t="shared" si="2"/>
        <v>1</v>
      </c>
      <c r="AC36" s="31"/>
      <c r="AD36" s="31"/>
      <c r="AE36" s="134">
        <f t="shared" si="108"/>
        <v>0</v>
      </c>
      <c r="AF36" s="135">
        <f t="shared" si="4"/>
        <v>1</v>
      </c>
      <c r="AG36" s="31"/>
      <c r="AH36" s="134">
        <f t="shared" si="109"/>
        <v>0</v>
      </c>
      <c r="AI36" s="135">
        <f t="shared" si="6"/>
        <v>1</v>
      </c>
      <c r="AJ36" s="29"/>
      <c r="AK36" s="134">
        <f t="shared" si="110"/>
        <v>0</v>
      </c>
      <c r="AL36" s="135">
        <f t="shared" si="8"/>
        <v>1</v>
      </c>
      <c r="AM36" s="31"/>
      <c r="AN36" s="134">
        <f t="shared" si="111"/>
        <v>0</v>
      </c>
      <c r="AO36" s="135">
        <f t="shared" si="10"/>
        <v>1</v>
      </c>
      <c r="AP36" s="31"/>
      <c r="AQ36" s="134">
        <f t="shared" si="112"/>
        <v>0</v>
      </c>
      <c r="AR36" s="135">
        <f t="shared" si="12"/>
        <v>1</v>
      </c>
      <c r="AS36" s="31"/>
      <c r="AT36" s="134">
        <f t="shared" si="113"/>
        <v>0</v>
      </c>
      <c r="AU36" s="135">
        <f t="shared" si="14"/>
        <v>1</v>
      </c>
      <c r="AV36" s="31"/>
      <c r="AW36" s="134">
        <f t="shared" si="114"/>
        <v>0</v>
      </c>
      <c r="AX36" s="135">
        <f t="shared" si="16"/>
        <v>1</v>
      </c>
      <c r="AY36" s="31"/>
      <c r="AZ36" s="134">
        <f t="shared" si="115"/>
        <v>0</v>
      </c>
      <c r="BA36" s="135">
        <f t="shared" si="18"/>
        <v>1</v>
      </c>
      <c r="BB36" s="31"/>
      <c r="BC36" s="134">
        <f t="shared" si="116"/>
        <v>0</v>
      </c>
      <c r="BD36" s="135">
        <f t="shared" si="20"/>
        <v>1</v>
      </c>
      <c r="BE36" s="31"/>
      <c r="BF36" s="134">
        <f t="shared" si="117"/>
        <v>0</v>
      </c>
      <c r="BG36" s="135">
        <f t="shared" si="22"/>
        <v>1</v>
      </c>
      <c r="BH36" s="134"/>
      <c r="BI36" s="26"/>
      <c r="BJ36" s="26"/>
      <c r="BK36" s="135">
        <f>IF($AA$36=0,1,BJ36/$AA$36-1)</f>
        <v>1</v>
      </c>
      <c r="BL36" s="135">
        <f t="shared" si="24"/>
        <v>1</v>
      </c>
      <c r="BM36" s="167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</row>
    <row r="37" spans="1:206" s="18" customFormat="1" ht="23.25" customHeight="1">
      <c r="A37" s="279" t="s">
        <v>49</v>
      </c>
      <c r="B37" s="280"/>
      <c r="C37" s="130">
        <f>C38+C43+C44+C45+C46+C47</f>
        <v>0</v>
      </c>
      <c r="D37" s="130">
        <f t="shared" ref="D37:AA37" si="118">D38+D43+D44+D45+D46+D47</f>
        <v>0</v>
      </c>
      <c r="E37" s="130">
        <f t="shared" si="118"/>
        <v>0</v>
      </c>
      <c r="F37" s="130">
        <f t="shared" si="118"/>
        <v>0</v>
      </c>
      <c r="G37" s="130">
        <f t="shared" si="118"/>
        <v>0</v>
      </c>
      <c r="H37" s="130">
        <f t="shared" si="118"/>
        <v>0</v>
      </c>
      <c r="I37" s="130">
        <f t="shared" si="118"/>
        <v>0</v>
      </c>
      <c r="J37" s="130">
        <f t="shared" si="118"/>
        <v>0</v>
      </c>
      <c r="K37" s="130">
        <f t="shared" si="118"/>
        <v>0</v>
      </c>
      <c r="L37" s="130">
        <f t="shared" si="118"/>
        <v>0</v>
      </c>
      <c r="M37" s="130">
        <f t="shared" si="118"/>
        <v>0</v>
      </c>
      <c r="N37" s="130">
        <f t="shared" si="118"/>
        <v>0</v>
      </c>
      <c r="O37" s="130">
        <f t="shared" si="118"/>
        <v>0</v>
      </c>
      <c r="P37" s="130">
        <f t="shared" si="118"/>
        <v>0</v>
      </c>
      <c r="Q37" s="130">
        <f t="shared" si="118"/>
        <v>0</v>
      </c>
      <c r="R37" s="130">
        <f t="shared" si="118"/>
        <v>0</v>
      </c>
      <c r="S37" s="130">
        <f t="shared" si="118"/>
        <v>0</v>
      </c>
      <c r="T37" s="130">
        <f t="shared" si="118"/>
        <v>0</v>
      </c>
      <c r="U37" s="130">
        <f t="shared" si="118"/>
        <v>0</v>
      </c>
      <c r="V37" s="130">
        <f t="shared" si="118"/>
        <v>0</v>
      </c>
      <c r="W37" s="130">
        <f t="shared" si="118"/>
        <v>0</v>
      </c>
      <c r="X37" s="130">
        <f t="shared" si="118"/>
        <v>0</v>
      </c>
      <c r="Y37" s="130">
        <f t="shared" si="118"/>
        <v>0</v>
      </c>
      <c r="Z37" s="130">
        <f t="shared" si="118"/>
        <v>0</v>
      </c>
      <c r="AA37" s="130">
        <f t="shared" si="118"/>
        <v>0</v>
      </c>
      <c r="AB37" s="131">
        <f t="shared" si="2"/>
        <v>1</v>
      </c>
      <c r="AC37" s="130">
        <f t="shared" ref="AC37:BF37" si="119">AC38+AC43+AC44+AC45+AC46+AC47</f>
        <v>0</v>
      </c>
      <c r="AD37" s="130">
        <f t="shared" si="119"/>
        <v>0</v>
      </c>
      <c r="AE37" s="130">
        <f t="shared" si="119"/>
        <v>0</v>
      </c>
      <c r="AF37" s="131">
        <f t="shared" si="4"/>
        <v>1</v>
      </c>
      <c r="AG37" s="130">
        <f t="shared" ref="AG37" si="120">AG38+AG43+AG44+AG45+AG46+AG47</f>
        <v>0</v>
      </c>
      <c r="AH37" s="130">
        <f t="shared" si="119"/>
        <v>0</v>
      </c>
      <c r="AI37" s="131">
        <f t="shared" si="6"/>
        <v>1</v>
      </c>
      <c r="AJ37" s="130">
        <f t="shared" ref="AJ37" si="121">AJ38+AJ43+AJ44+AJ45+AJ46+AJ47</f>
        <v>0</v>
      </c>
      <c r="AK37" s="130">
        <f t="shared" si="119"/>
        <v>0</v>
      </c>
      <c r="AL37" s="131">
        <f t="shared" si="8"/>
        <v>1</v>
      </c>
      <c r="AM37" s="130">
        <f t="shared" ref="AM37" si="122">AM38+AM43+AM44+AM45+AM46+AM47</f>
        <v>0</v>
      </c>
      <c r="AN37" s="130">
        <f t="shared" si="119"/>
        <v>0</v>
      </c>
      <c r="AO37" s="131">
        <f t="shared" si="10"/>
        <v>1</v>
      </c>
      <c r="AP37" s="130">
        <f t="shared" ref="AP37" si="123">AP38+AP43+AP44+AP45+AP46+AP47</f>
        <v>0</v>
      </c>
      <c r="AQ37" s="130">
        <f t="shared" si="119"/>
        <v>0</v>
      </c>
      <c r="AR37" s="131">
        <f t="shared" si="12"/>
        <v>1</v>
      </c>
      <c r="AS37" s="130">
        <f t="shared" ref="AS37" si="124">AS38+AS43+AS44+AS45+AS46+AS47</f>
        <v>0</v>
      </c>
      <c r="AT37" s="130">
        <f t="shared" si="119"/>
        <v>0</v>
      </c>
      <c r="AU37" s="131">
        <f t="shared" si="14"/>
        <v>1</v>
      </c>
      <c r="AV37" s="130">
        <f t="shared" ref="AV37" si="125">AV38+AV43+AV44+AV45+AV46+AV47</f>
        <v>0</v>
      </c>
      <c r="AW37" s="130">
        <f t="shared" si="119"/>
        <v>0</v>
      </c>
      <c r="AX37" s="131">
        <f t="shared" si="16"/>
        <v>1</v>
      </c>
      <c r="AY37" s="130">
        <f t="shared" ref="AY37" si="126">AY38+AY43+AY44+AY45+AY46+AY47</f>
        <v>0</v>
      </c>
      <c r="AZ37" s="130">
        <f t="shared" si="119"/>
        <v>0</v>
      </c>
      <c r="BA37" s="131">
        <f t="shared" si="18"/>
        <v>1</v>
      </c>
      <c r="BB37" s="130">
        <f t="shared" ref="BB37" si="127">BB38+BB43+BB44+BB45+BB46+BB47</f>
        <v>0</v>
      </c>
      <c r="BC37" s="130">
        <f t="shared" si="119"/>
        <v>0</v>
      </c>
      <c r="BD37" s="131">
        <f t="shared" si="20"/>
        <v>1</v>
      </c>
      <c r="BE37" s="130">
        <f t="shared" ref="BE37" si="128">BE38+BE43+BE44+BE45+BE46+BE47</f>
        <v>0</v>
      </c>
      <c r="BF37" s="130">
        <f t="shared" si="119"/>
        <v>0</v>
      </c>
      <c r="BG37" s="131">
        <f t="shared" si="22"/>
        <v>1</v>
      </c>
      <c r="BH37" s="130">
        <f t="shared" ref="BH37:BJ37" si="129">BH38+BH43+BH44+BH45+BH46+BH47</f>
        <v>0</v>
      </c>
      <c r="BI37" s="130">
        <f t="shared" si="129"/>
        <v>0</v>
      </c>
      <c r="BJ37" s="130">
        <f t="shared" si="129"/>
        <v>0</v>
      </c>
      <c r="BK37" s="131">
        <f>IF($AA$37=0,1,BJ37/$AA$37-1)</f>
        <v>1</v>
      </c>
      <c r="BL37" s="131">
        <f t="shared" si="24"/>
        <v>1</v>
      </c>
      <c r="BM37" s="165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</row>
    <row r="38" spans="1:206" s="68" customFormat="1" ht="19.5" customHeight="1">
      <c r="A38" s="310" t="s">
        <v>100</v>
      </c>
      <c r="B38" s="311"/>
      <c r="C38" s="140">
        <f>C39+C40+C41+C42</f>
        <v>0</v>
      </c>
      <c r="D38" s="140">
        <f t="shared" ref="D38:AA38" si="130">D39+D40+D41+D42</f>
        <v>0</v>
      </c>
      <c r="E38" s="140">
        <f t="shared" si="130"/>
        <v>0</v>
      </c>
      <c r="F38" s="140">
        <f t="shared" si="130"/>
        <v>0</v>
      </c>
      <c r="G38" s="140">
        <f t="shared" si="130"/>
        <v>0</v>
      </c>
      <c r="H38" s="140">
        <f t="shared" si="130"/>
        <v>0</v>
      </c>
      <c r="I38" s="140">
        <f t="shared" si="130"/>
        <v>0</v>
      </c>
      <c r="J38" s="140">
        <f t="shared" si="130"/>
        <v>0</v>
      </c>
      <c r="K38" s="140">
        <f t="shared" si="130"/>
        <v>0</v>
      </c>
      <c r="L38" s="140">
        <f t="shared" si="130"/>
        <v>0</v>
      </c>
      <c r="M38" s="140">
        <f t="shared" si="130"/>
        <v>0</v>
      </c>
      <c r="N38" s="140">
        <f t="shared" si="130"/>
        <v>0</v>
      </c>
      <c r="O38" s="140">
        <f t="shared" si="130"/>
        <v>0</v>
      </c>
      <c r="P38" s="140">
        <f t="shared" si="130"/>
        <v>0</v>
      </c>
      <c r="Q38" s="140">
        <f t="shared" si="130"/>
        <v>0</v>
      </c>
      <c r="R38" s="140">
        <f t="shared" si="130"/>
        <v>0</v>
      </c>
      <c r="S38" s="140">
        <f t="shared" si="130"/>
        <v>0</v>
      </c>
      <c r="T38" s="140">
        <f t="shared" si="130"/>
        <v>0</v>
      </c>
      <c r="U38" s="140">
        <f t="shared" si="130"/>
        <v>0</v>
      </c>
      <c r="V38" s="140">
        <f t="shared" si="130"/>
        <v>0</v>
      </c>
      <c r="W38" s="140">
        <f t="shared" si="130"/>
        <v>0</v>
      </c>
      <c r="X38" s="140">
        <f t="shared" si="130"/>
        <v>0</v>
      </c>
      <c r="Y38" s="140">
        <f t="shared" si="130"/>
        <v>0</v>
      </c>
      <c r="Z38" s="140">
        <f t="shared" si="130"/>
        <v>0</v>
      </c>
      <c r="AA38" s="140">
        <f t="shared" si="130"/>
        <v>0</v>
      </c>
      <c r="AB38" s="133">
        <f t="shared" si="2"/>
        <v>1</v>
      </c>
      <c r="AC38" s="140">
        <f t="shared" ref="AC38:BF38" si="131">AC39+AC40+AC41+AC42</f>
        <v>0</v>
      </c>
      <c r="AD38" s="140">
        <f t="shared" si="131"/>
        <v>0</v>
      </c>
      <c r="AE38" s="140">
        <f t="shared" si="131"/>
        <v>0</v>
      </c>
      <c r="AF38" s="133">
        <f t="shared" si="4"/>
        <v>1</v>
      </c>
      <c r="AG38" s="140">
        <f t="shared" ref="AG38" si="132">AG39+AG40+AG41+AG42</f>
        <v>0</v>
      </c>
      <c r="AH38" s="140">
        <f t="shared" si="131"/>
        <v>0</v>
      </c>
      <c r="AI38" s="133">
        <f t="shared" si="6"/>
        <v>1</v>
      </c>
      <c r="AJ38" s="140">
        <f t="shared" ref="AJ38" si="133">AJ39+AJ40+AJ41+AJ42</f>
        <v>0</v>
      </c>
      <c r="AK38" s="140">
        <f t="shared" si="131"/>
        <v>0</v>
      </c>
      <c r="AL38" s="133">
        <f t="shared" si="8"/>
        <v>1</v>
      </c>
      <c r="AM38" s="140">
        <f t="shared" ref="AM38" si="134">AM39+AM40+AM41+AM42</f>
        <v>0</v>
      </c>
      <c r="AN38" s="140">
        <f t="shared" si="131"/>
        <v>0</v>
      </c>
      <c r="AO38" s="133">
        <f t="shared" si="10"/>
        <v>1</v>
      </c>
      <c r="AP38" s="140">
        <f t="shared" ref="AP38" si="135">AP39+AP40+AP41+AP42</f>
        <v>0</v>
      </c>
      <c r="AQ38" s="140">
        <f t="shared" si="131"/>
        <v>0</v>
      </c>
      <c r="AR38" s="133">
        <f t="shared" si="12"/>
        <v>1</v>
      </c>
      <c r="AS38" s="140">
        <f t="shared" ref="AS38" si="136">AS39+AS40+AS41+AS42</f>
        <v>0</v>
      </c>
      <c r="AT38" s="140">
        <f t="shared" si="131"/>
        <v>0</v>
      </c>
      <c r="AU38" s="133">
        <f t="shared" si="14"/>
        <v>1</v>
      </c>
      <c r="AV38" s="140">
        <f t="shared" ref="AV38" si="137">AV39+AV40+AV41+AV42</f>
        <v>0</v>
      </c>
      <c r="AW38" s="140">
        <f t="shared" si="131"/>
        <v>0</v>
      </c>
      <c r="AX38" s="133">
        <f t="shared" si="16"/>
        <v>1</v>
      </c>
      <c r="AY38" s="140">
        <f t="shared" ref="AY38" si="138">AY39+AY40+AY41+AY42</f>
        <v>0</v>
      </c>
      <c r="AZ38" s="140">
        <f t="shared" si="131"/>
        <v>0</v>
      </c>
      <c r="BA38" s="133">
        <f t="shared" si="18"/>
        <v>1</v>
      </c>
      <c r="BB38" s="140">
        <f t="shared" ref="BB38" si="139">BB39+BB40+BB41+BB42</f>
        <v>0</v>
      </c>
      <c r="BC38" s="140">
        <f t="shared" si="131"/>
        <v>0</v>
      </c>
      <c r="BD38" s="133">
        <f t="shared" si="20"/>
        <v>1</v>
      </c>
      <c r="BE38" s="140">
        <f t="shared" ref="BE38" si="140">BE39+BE40+BE41+BE42</f>
        <v>0</v>
      </c>
      <c r="BF38" s="140">
        <f t="shared" si="131"/>
        <v>0</v>
      </c>
      <c r="BG38" s="133">
        <f t="shared" si="22"/>
        <v>1</v>
      </c>
      <c r="BH38" s="140">
        <f t="shared" ref="BH38:BJ38" si="141">BH39+BH40+BH41+BH42</f>
        <v>0</v>
      </c>
      <c r="BI38" s="140">
        <f t="shared" si="141"/>
        <v>0</v>
      </c>
      <c r="BJ38" s="140">
        <f t="shared" si="141"/>
        <v>0</v>
      </c>
      <c r="BK38" s="133">
        <f>IF($AA$38=0,1,BJ38/$AA$38-1)</f>
        <v>1</v>
      </c>
      <c r="BL38" s="133">
        <f t="shared" si="24"/>
        <v>1</v>
      </c>
      <c r="BM38" s="166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</row>
    <row r="39" spans="1:206" s="64" customFormat="1" ht="18" customHeight="1">
      <c r="A39" s="290" t="s">
        <v>105</v>
      </c>
      <c r="B39" s="291"/>
      <c r="C39" s="29"/>
      <c r="D39" s="134">
        <f t="shared" ref="D39:D46" si="142">E39+F39+H39+J39+L39+N39+P39+R39+T39+V39+X39+Z39</f>
        <v>0</v>
      </c>
      <c r="E39" s="29"/>
      <c r="F39" s="29"/>
      <c r="G39" s="134">
        <f t="shared" ref="G39:G73" si="143">E39+F39</f>
        <v>0</v>
      </c>
      <c r="H39" s="29"/>
      <c r="I39" s="134">
        <f>G39+H39</f>
        <v>0</v>
      </c>
      <c r="J39" s="29"/>
      <c r="K39" s="134">
        <f>I39+J39</f>
        <v>0</v>
      </c>
      <c r="L39" s="29"/>
      <c r="M39" s="134">
        <f>K39+L39</f>
        <v>0</v>
      </c>
      <c r="N39" s="29"/>
      <c r="O39" s="134">
        <f>M39+N39</f>
        <v>0</v>
      </c>
      <c r="P39" s="29"/>
      <c r="Q39" s="134">
        <f>O39+P39</f>
        <v>0</v>
      </c>
      <c r="R39" s="29"/>
      <c r="S39" s="134">
        <f>Q39+R39</f>
        <v>0</v>
      </c>
      <c r="T39" s="29"/>
      <c r="U39" s="134">
        <f>S39+T39</f>
        <v>0</v>
      </c>
      <c r="V39" s="29"/>
      <c r="W39" s="134">
        <f>U39+V39</f>
        <v>0</v>
      </c>
      <c r="X39" s="29"/>
      <c r="Y39" s="134">
        <f>W39+X39</f>
        <v>0</v>
      </c>
      <c r="Z39" s="29"/>
      <c r="AA39" s="29"/>
      <c r="AB39" s="135">
        <f t="shared" si="2"/>
        <v>1</v>
      </c>
      <c r="AC39" s="29"/>
      <c r="AD39" s="29"/>
      <c r="AE39" s="134">
        <f t="shared" ref="AE39:AE46" si="144">AC39+AD39</f>
        <v>0</v>
      </c>
      <c r="AF39" s="135">
        <f t="shared" si="4"/>
        <v>1</v>
      </c>
      <c r="AG39" s="29"/>
      <c r="AH39" s="134">
        <f>AE39+AG39</f>
        <v>0</v>
      </c>
      <c r="AI39" s="135">
        <f t="shared" si="6"/>
        <v>1</v>
      </c>
      <c r="AJ39" s="29"/>
      <c r="AK39" s="134">
        <f>AH39+AJ39</f>
        <v>0</v>
      </c>
      <c r="AL39" s="135">
        <f t="shared" si="8"/>
        <v>1</v>
      </c>
      <c r="AM39" s="29"/>
      <c r="AN39" s="134">
        <f>AK39+AM39</f>
        <v>0</v>
      </c>
      <c r="AO39" s="135">
        <f t="shared" si="10"/>
        <v>1</v>
      </c>
      <c r="AP39" s="29"/>
      <c r="AQ39" s="134">
        <f>AN39+AP39</f>
        <v>0</v>
      </c>
      <c r="AR39" s="135">
        <f t="shared" si="12"/>
        <v>1</v>
      </c>
      <c r="AS39" s="29"/>
      <c r="AT39" s="134">
        <f>AQ39+AS39</f>
        <v>0</v>
      </c>
      <c r="AU39" s="135">
        <f t="shared" si="14"/>
        <v>1</v>
      </c>
      <c r="AV39" s="29"/>
      <c r="AW39" s="134">
        <f>AT39+AV39</f>
        <v>0</v>
      </c>
      <c r="AX39" s="135">
        <f t="shared" si="16"/>
        <v>1</v>
      </c>
      <c r="AY39" s="29"/>
      <c r="AZ39" s="134">
        <f>AW39+AY39</f>
        <v>0</v>
      </c>
      <c r="BA39" s="135">
        <f t="shared" si="18"/>
        <v>1</v>
      </c>
      <c r="BB39" s="29"/>
      <c r="BC39" s="134">
        <f>AZ39+BB39</f>
        <v>0</v>
      </c>
      <c r="BD39" s="135">
        <f t="shared" si="20"/>
        <v>1</v>
      </c>
      <c r="BE39" s="29"/>
      <c r="BF39" s="134">
        <f>BC39+BE39</f>
        <v>0</v>
      </c>
      <c r="BG39" s="135">
        <f t="shared" si="22"/>
        <v>1</v>
      </c>
      <c r="BH39" s="134"/>
      <c r="BI39" s="26"/>
      <c r="BJ39" s="26"/>
      <c r="BK39" s="135">
        <f>IF($AA$39=0,1,BJ39/$AA$39-1)</f>
        <v>1</v>
      </c>
      <c r="BL39" s="135">
        <f t="shared" si="24"/>
        <v>1</v>
      </c>
      <c r="BM39" s="167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</row>
    <row r="40" spans="1:206" s="64" customFormat="1" ht="18" customHeight="1">
      <c r="A40" s="290" t="s">
        <v>99</v>
      </c>
      <c r="B40" s="291"/>
      <c r="C40" s="29"/>
      <c r="D40" s="134">
        <f t="shared" si="142"/>
        <v>0</v>
      </c>
      <c r="E40" s="31"/>
      <c r="F40" s="31"/>
      <c r="G40" s="134">
        <f t="shared" si="143"/>
        <v>0</v>
      </c>
      <c r="H40" s="31"/>
      <c r="I40" s="134">
        <f>G40+H40</f>
        <v>0</v>
      </c>
      <c r="J40" s="31"/>
      <c r="K40" s="134">
        <f>I40+J40</f>
        <v>0</v>
      </c>
      <c r="L40" s="31"/>
      <c r="M40" s="134">
        <f>K40+L40</f>
        <v>0</v>
      </c>
      <c r="N40" s="31"/>
      <c r="O40" s="134">
        <f>M40+N40</f>
        <v>0</v>
      </c>
      <c r="P40" s="31"/>
      <c r="Q40" s="134">
        <f>O40+P40</f>
        <v>0</v>
      </c>
      <c r="R40" s="31"/>
      <c r="S40" s="134">
        <f>Q40+R40</f>
        <v>0</v>
      </c>
      <c r="T40" s="31"/>
      <c r="U40" s="134">
        <f>S40+T40</f>
        <v>0</v>
      </c>
      <c r="V40" s="31"/>
      <c r="W40" s="134">
        <f>U40+V40</f>
        <v>0</v>
      </c>
      <c r="X40" s="31"/>
      <c r="Y40" s="134">
        <f>W40+X40</f>
        <v>0</v>
      </c>
      <c r="Z40" s="31"/>
      <c r="AA40" s="31"/>
      <c r="AB40" s="135">
        <f t="shared" si="2"/>
        <v>1</v>
      </c>
      <c r="AC40" s="31"/>
      <c r="AD40" s="31"/>
      <c r="AE40" s="134">
        <f t="shared" si="144"/>
        <v>0</v>
      </c>
      <c r="AF40" s="135">
        <f t="shared" si="4"/>
        <v>1</v>
      </c>
      <c r="AG40" s="31"/>
      <c r="AH40" s="134">
        <f>AE40+AG40</f>
        <v>0</v>
      </c>
      <c r="AI40" s="135">
        <f t="shared" si="6"/>
        <v>1</v>
      </c>
      <c r="AJ40" s="29"/>
      <c r="AK40" s="134">
        <f>AH40+AJ40</f>
        <v>0</v>
      </c>
      <c r="AL40" s="135">
        <f t="shared" si="8"/>
        <v>1</v>
      </c>
      <c r="AM40" s="31"/>
      <c r="AN40" s="134">
        <f>AK40+AM40</f>
        <v>0</v>
      </c>
      <c r="AO40" s="135">
        <f t="shared" si="10"/>
        <v>1</v>
      </c>
      <c r="AP40" s="31"/>
      <c r="AQ40" s="134">
        <f>AN40+AP40</f>
        <v>0</v>
      </c>
      <c r="AR40" s="135">
        <f t="shared" si="12"/>
        <v>1</v>
      </c>
      <c r="AS40" s="31"/>
      <c r="AT40" s="134">
        <f>AQ40+AS40</f>
        <v>0</v>
      </c>
      <c r="AU40" s="135">
        <f t="shared" si="14"/>
        <v>1</v>
      </c>
      <c r="AV40" s="31"/>
      <c r="AW40" s="134">
        <f>AT40+AV40</f>
        <v>0</v>
      </c>
      <c r="AX40" s="135">
        <f t="shared" si="16"/>
        <v>1</v>
      </c>
      <c r="AY40" s="31"/>
      <c r="AZ40" s="134">
        <f>AW40+AY40</f>
        <v>0</v>
      </c>
      <c r="BA40" s="135">
        <f t="shared" si="18"/>
        <v>1</v>
      </c>
      <c r="BB40" s="31"/>
      <c r="BC40" s="134">
        <f>AZ40+BB40</f>
        <v>0</v>
      </c>
      <c r="BD40" s="135">
        <f t="shared" si="20"/>
        <v>1</v>
      </c>
      <c r="BE40" s="31"/>
      <c r="BF40" s="134">
        <f>BC40+BE40</f>
        <v>0</v>
      </c>
      <c r="BG40" s="135">
        <f t="shared" si="22"/>
        <v>1</v>
      </c>
      <c r="BH40" s="134"/>
      <c r="BI40" s="26"/>
      <c r="BJ40" s="26"/>
      <c r="BK40" s="135">
        <f>IF($AA$40=0,1,BJ40/$AA$40-1)</f>
        <v>1</v>
      </c>
      <c r="BL40" s="135">
        <f t="shared" si="24"/>
        <v>1</v>
      </c>
      <c r="BM40" s="167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</row>
    <row r="41" spans="1:206" s="64" customFormat="1" ht="18" customHeight="1">
      <c r="A41" s="290" t="s">
        <v>95</v>
      </c>
      <c r="B41" s="291"/>
      <c r="C41" s="29"/>
      <c r="D41" s="134">
        <f t="shared" si="142"/>
        <v>0</v>
      </c>
      <c r="E41" s="31"/>
      <c r="F41" s="31"/>
      <c r="G41" s="134">
        <f t="shared" si="143"/>
        <v>0</v>
      </c>
      <c r="H41" s="31"/>
      <c r="I41" s="134"/>
      <c r="J41" s="31"/>
      <c r="K41" s="134"/>
      <c r="L41" s="31"/>
      <c r="M41" s="134"/>
      <c r="N41" s="31"/>
      <c r="O41" s="134"/>
      <c r="P41" s="31"/>
      <c r="Q41" s="134"/>
      <c r="R41" s="31"/>
      <c r="S41" s="134"/>
      <c r="T41" s="31"/>
      <c r="U41" s="134"/>
      <c r="V41" s="31"/>
      <c r="W41" s="134"/>
      <c r="X41" s="31"/>
      <c r="Y41" s="134"/>
      <c r="Z41" s="31"/>
      <c r="AA41" s="31"/>
      <c r="AB41" s="135">
        <f t="shared" ref="AB41:AB72" si="145">IF(D41=0,1,AA41/D41-1)</f>
        <v>1</v>
      </c>
      <c r="AC41" s="31"/>
      <c r="AD41" s="31"/>
      <c r="AE41" s="134">
        <f t="shared" si="144"/>
        <v>0</v>
      </c>
      <c r="AF41" s="135">
        <f t="shared" ref="AF41:AF72" si="146">IF(G41=0,1,AE41/G41-1)</f>
        <v>1</v>
      </c>
      <c r="AG41" s="31"/>
      <c r="AH41" s="134"/>
      <c r="AI41" s="135">
        <f t="shared" ref="AI41:AI72" si="147">IF(I41=0,1,AH41/I41-1)</f>
        <v>1</v>
      </c>
      <c r="AJ41" s="29"/>
      <c r="AK41" s="134"/>
      <c r="AL41" s="135">
        <f t="shared" ref="AL41:AL72" si="148">IF(K41=0,1,AK41/K41-1)</f>
        <v>1</v>
      </c>
      <c r="AM41" s="31"/>
      <c r="AN41" s="134"/>
      <c r="AO41" s="135">
        <f t="shared" ref="AO41:AO72" si="149">IF(M41=0,1,AN41/M41-1)</f>
        <v>1</v>
      </c>
      <c r="AP41" s="31"/>
      <c r="AQ41" s="134"/>
      <c r="AR41" s="135">
        <f t="shared" ref="AR41:AR72" si="150">IF(O41=0,1,AQ41/O41-1)</f>
        <v>1</v>
      </c>
      <c r="AS41" s="31"/>
      <c r="AT41" s="134"/>
      <c r="AU41" s="135">
        <f t="shared" ref="AU41:AU72" si="151">IF(Q41=0,1,AT41/Q41-1)</f>
        <v>1</v>
      </c>
      <c r="AV41" s="31"/>
      <c r="AW41" s="134"/>
      <c r="AX41" s="135">
        <f t="shared" ref="AX41:AX72" si="152">IF(S41=0,1,AW41/S41-1)</f>
        <v>1</v>
      </c>
      <c r="AY41" s="31"/>
      <c r="AZ41" s="134"/>
      <c r="BA41" s="135">
        <f t="shared" ref="BA41:BA72" si="153">IF(U41=0,1,AZ41/U41-1)</f>
        <v>1</v>
      </c>
      <c r="BB41" s="31"/>
      <c r="BC41" s="134"/>
      <c r="BD41" s="135">
        <f t="shared" ref="BD41:BD72" si="154">IF(W41=0,1,BC41/W41-1)</f>
        <v>1</v>
      </c>
      <c r="BE41" s="31"/>
      <c r="BF41" s="134"/>
      <c r="BG41" s="135">
        <f t="shared" ref="BG41:BG72" si="155">IF(Y41=0,1,BF41/Y41-1)</f>
        <v>1</v>
      </c>
      <c r="BH41" s="134"/>
      <c r="BI41" s="26"/>
      <c r="BJ41" s="26"/>
      <c r="BK41" s="135">
        <f>IF($AA$41=0,1,BJ41/$AA$41-1)</f>
        <v>1</v>
      </c>
      <c r="BL41" s="135">
        <f t="shared" si="24"/>
        <v>1</v>
      </c>
      <c r="BM41" s="167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</row>
    <row r="42" spans="1:206" s="64" customFormat="1" ht="18" customHeight="1">
      <c r="A42" s="290" t="s">
        <v>98</v>
      </c>
      <c r="B42" s="291"/>
      <c r="C42" s="29"/>
      <c r="D42" s="134">
        <f t="shared" si="142"/>
        <v>0</v>
      </c>
      <c r="E42" s="31"/>
      <c r="F42" s="31"/>
      <c r="G42" s="134">
        <f t="shared" si="143"/>
        <v>0</v>
      </c>
      <c r="H42" s="31"/>
      <c r="I42" s="134">
        <f>G42+H42</f>
        <v>0</v>
      </c>
      <c r="J42" s="31"/>
      <c r="K42" s="134">
        <f>I42+J42</f>
        <v>0</v>
      </c>
      <c r="L42" s="31"/>
      <c r="M42" s="134">
        <f>K42+L42</f>
        <v>0</v>
      </c>
      <c r="N42" s="31"/>
      <c r="O42" s="134">
        <f>M42+N42</f>
        <v>0</v>
      </c>
      <c r="P42" s="31"/>
      <c r="Q42" s="134">
        <f>O42+P42</f>
        <v>0</v>
      </c>
      <c r="R42" s="31"/>
      <c r="S42" s="134">
        <f>Q42+R42</f>
        <v>0</v>
      </c>
      <c r="T42" s="31"/>
      <c r="U42" s="134">
        <f>S42+T42</f>
        <v>0</v>
      </c>
      <c r="V42" s="31"/>
      <c r="W42" s="134">
        <f>U42+V42</f>
        <v>0</v>
      </c>
      <c r="X42" s="31"/>
      <c r="Y42" s="134">
        <f>W42+X42</f>
        <v>0</v>
      </c>
      <c r="Z42" s="31"/>
      <c r="AA42" s="31"/>
      <c r="AB42" s="135">
        <f t="shared" si="145"/>
        <v>1</v>
      </c>
      <c r="AC42" s="31"/>
      <c r="AD42" s="31"/>
      <c r="AE42" s="134">
        <f t="shared" si="144"/>
        <v>0</v>
      </c>
      <c r="AF42" s="135">
        <f t="shared" si="146"/>
        <v>1</v>
      </c>
      <c r="AG42" s="31"/>
      <c r="AH42" s="134">
        <f>AE42+AG42</f>
        <v>0</v>
      </c>
      <c r="AI42" s="135">
        <f t="shared" si="147"/>
        <v>1</v>
      </c>
      <c r="AJ42" s="29"/>
      <c r="AK42" s="134">
        <f>AH42+AJ42</f>
        <v>0</v>
      </c>
      <c r="AL42" s="135">
        <f t="shared" si="148"/>
        <v>1</v>
      </c>
      <c r="AM42" s="31"/>
      <c r="AN42" s="134">
        <f>AK42+AM42</f>
        <v>0</v>
      </c>
      <c r="AO42" s="135">
        <f t="shared" si="149"/>
        <v>1</v>
      </c>
      <c r="AP42" s="31"/>
      <c r="AQ42" s="134">
        <f>AN42+AP42</f>
        <v>0</v>
      </c>
      <c r="AR42" s="135">
        <f t="shared" si="150"/>
        <v>1</v>
      </c>
      <c r="AS42" s="31"/>
      <c r="AT42" s="134">
        <f>AQ42+AS42</f>
        <v>0</v>
      </c>
      <c r="AU42" s="135">
        <f t="shared" si="151"/>
        <v>1</v>
      </c>
      <c r="AV42" s="31"/>
      <c r="AW42" s="134">
        <f>AT42+AV42</f>
        <v>0</v>
      </c>
      <c r="AX42" s="135">
        <f t="shared" si="152"/>
        <v>1</v>
      </c>
      <c r="AY42" s="31"/>
      <c r="AZ42" s="134">
        <f>AW42+AY42</f>
        <v>0</v>
      </c>
      <c r="BA42" s="135">
        <f t="shared" si="153"/>
        <v>1</v>
      </c>
      <c r="BB42" s="31"/>
      <c r="BC42" s="134">
        <f>AZ42+BB42</f>
        <v>0</v>
      </c>
      <c r="BD42" s="135">
        <f t="shared" si="154"/>
        <v>1</v>
      </c>
      <c r="BE42" s="31"/>
      <c r="BF42" s="134">
        <f>BC42+BE42</f>
        <v>0</v>
      </c>
      <c r="BG42" s="135">
        <f t="shared" si="155"/>
        <v>1</v>
      </c>
      <c r="BH42" s="134"/>
      <c r="BI42" s="26"/>
      <c r="BJ42" s="26"/>
      <c r="BK42" s="135">
        <f>IF($AA$42=0,1,BJ42/$AA$42-1)</f>
        <v>1</v>
      </c>
      <c r="BL42" s="135">
        <f t="shared" si="24"/>
        <v>1</v>
      </c>
      <c r="BM42" s="167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</row>
    <row r="43" spans="1:206" s="68" customFormat="1" ht="18" customHeight="1">
      <c r="A43" s="308" t="s">
        <v>97</v>
      </c>
      <c r="B43" s="309"/>
      <c r="C43" s="53"/>
      <c r="D43" s="140">
        <f t="shared" si="142"/>
        <v>0</v>
      </c>
      <c r="E43" s="36"/>
      <c r="F43" s="36"/>
      <c r="G43" s="132">
        <f t="shared" si="143"/>
        <v>0</v>
      </c>
      <c r="H43" s="36"/>
      <c r="I43" s="132">
        <f>G43+H43</f>
        <v>0</v>
      </c>
      <c r="J43" s="36"/>
      <c r="K43" s="132">
        <f>I43+J43</f>
        <v>0</v>
      </c>
      <c r="L43" s="36"/>
      <c r="M43" s="132">
        <f>K43+L43</f>
        <v>0</v>
      </c>
      <c r="N43" s="36"/>
      <c r="O43" s="132">
        <f>M43+N43</f>
        <v>0</v>
      </c>
      <c r="P43" s="36"/>
      <c r="Q43" s="132">
        <f>O43+P43</f>
        <v>0</v>
      </c>
      <c r="R43" s="36"/>
      <c r="S43" s="132">
        <f>Q43+R43</f>
        <v>0</v>
      </c>
      <c r="T43" s="36"/>
      <c r="U43" s="132">
        <f>S43+T43</f>
        <v>0</v>
      </c>
      <c r="V43" s="36"/>
      <c r="W43" s="132">
        <f>U43+V43</f>
        <v>0</v>
      </c>
      <c r="X43" s="36"/>
      <c r="Y43" s="132">
        <f>W43+X43</f>
        <v>0</v>
      </c>
      <c r="Z43" s="36"/>
      <c r="AA43" s="36"/>
      <c r="AB43" s="142">
        <f t="shared" si="145"/>
        <v>1</v>
      </c>
      <c r="AC43" s="36"/>
      <c r="AD43" s="36"/>
      <c r="AE43" s="132">
        <f t="shared" si="144"/>
        <v>0</v>
      </c>
      <c r="AF43" s="142">
        <f t="shared" si="146"/>
        <v>1</v>
      </c>
      <c r="AG43" s="36"/>
      <c r="AH43" s="132">
        <f>AE43+AG43</f>
        <v>0</v>
      </c>
      <c r="AI43" s="142">
        <f t="shared" si="147"/>
        <v>1</v>
      </c>
      <c r="AJ43" s="53"/>
      <c r="AK43" s="132">
        <f>AH43+AJ43</f>
        <v>0</v>
      </c>
      <c r="AL43" s="142">
        <f t="shared" si="148"/>
        <v>1</v>
      </c>
      <c r="AM43" s="36"/>
      <c r="AN43" s="132">
        <f>AK43+AM43</f>
        <v>0</v>
      </c>
      <c r="AO43" s="142">
        <f t="shared" si="149"/>
        <v>1</v>
      </c>
      <c r="AP43" s="36"/>
      <c r="AQ43" s="132">
        <f>AN43+AP43</f>
        <v>0</v>
      </c>
      <c r="AR43" s="142">
        <f t="shared" si="150"/>
        <v>1</v>
      </c>
      <c r="AS43" s="36"/>
      <c r="AT43" s="132">
        <f>AQ43+AS43</f>
        <v>0</v>
      </c>
      <c r="AU43" s="142">
        <f t="shared" si="151"/>
        <v>1</v>
      </c>
      <c r="AV43" s="36"/>
      <c r="AW43" s="132">
        <f>AT43+AV43</f>
        <v>0</v>
      </c>
      <c r="AX43" s="142">
        <f t="shared" si="152"/>
        <v>1</v>
      </c>
      <c r="AY43" s="36"/>
      <c r="AZ43" s="132">
        <f>AW43+AY43</f>
        <v>0</v>
      </c>
      <c r="BA43" s="142">
        <f t="shared" si="153"/>
        <v>1</v>
      </c>
      <c r="BB43" s="36"/>
      <c r="BC43" s="132">
        <f>AZ43+BB43</f>
        <v>0</v>
      </c>
      <c r="BD43" s="142">
        <f t="shared" si="154"/>
        <v>1</v>
      </c>
      <c r="BE43" s="36"/>
      <c r="BF43" s="132">
        <f>BC43+BE43</f>
        <v>0</v>
      </c>
      <c r="BG43" s="142">
        <f t="shared" si="155"/>
        <v>1</v>
      </c>
      <c r="BH43" s="132"/>
      <c r="BI43" s="23"/>
      <c r="BJ43" s="23"/>
      <c r="BK43" s="142">
        <f>IF($AA$43=0,1,BJ43/$AA$43-1)</f>
        <v>1</v>
      </c>
      <c r="BL43" s="142">
        <f t="shared" si="24"/>
        <v>1</v>
      </c>
      <c r="BM43" s="166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</row>
    <row r="44" spans="1:206" s="68" customFormat="1" ht="18" customHeight="1">
      <c r="A44" s="308" t="s">
        <v>101</v>
      </c>
      <c r="B44" s="309"/>
      <c r="C44" s="53"/>
      <c r="D44" s="140">
        <f t="shared" si="142"/>
        <v>0</v>
      </c>
      <c r="E44" s="53"/>
      <c r="F44" s="53"/>
      <c r="G44" s="132">
        <f t="shared" si="143"/>
        <v>0</v>
      </c>
      <c r="H44" s="53"/>
      <c r="I44" s="132">
        <f>G44+H44</f>
        <v>0</v>
      </c>
      <c r="J44" s="53"/>
      <c r="K44" s="132">
        <f>I44+J44</f>
        <v>0</v>
      </c>
      <c r="L44" s="53"/>
      <c r="M44" s="132">
        <f>K44+L44</f>
        <v>0</v>
      </c>
      <c r="N44" s="53"/>
      <c r="O44" s="132">
        <f>M44+N44</f>
        <v>0</v>
      </c>
      <c r="P44" s="53"/>
      <c r="Q44" s="132">
        <f>O44+P44</f>
        <v>0</v>
      </c>
      <c r="R44" s="53"/>
      <c r="S44" s="132">
        <f>Q44+R44</f>
        <v>0</v>
      </c>
      <c r="T44" s="53"/>
      <c r="U44" s="132">
        <f>S44+T44</f>
        <v>0</v>
      </c>
      <c r="V44" s="53"/>
      <c r="W44" s="132">
        <f>U44+V44</f>
        <v>0</v>
      </c>
      <c r="X44" s="53"/>
      <c r="Y44" s="132">
        <f>W44+X44</f>
        <v>0</v>
      </c>
      <c r="Z44" s="53"/>
      <c r="AA44" s="53"/>
      <c r="AB44" s="142">
        <f t="shared" si="145"/>
        <v>1</v>
      </c>
      <c r="AC44" s="53"/>
      <c r="AD44" s="53"/>
      <c r="AE44" s="132">
        <f t="shared" si="144"/>
        <v>0</v>
      </c>
      <c r="AF44" s="142">
        <f t="shared" si="146"/>
        <v>1</v>
      </c>
      <c r="AG44" s="53"/>
      <c r="AH44" s="132">
        <f>AE44+AG44</f>
        <v>0</v>
      </c>
      <c r="AI44" s="142">
        <f t="shared" si="147"/>
        <v>1</v>
      </c>
      <c r="AJ44" s="53"/>
      <c r="AK44" s="132">
        <f>AH44+AJ44</f>
        <v>0</v>
      </c>
      <c r="AL44" s="142">
        <f t="shared" si="148"/>
        <v>1</v>
      </c>
      <c r="AM44" s="53"/>
      <c r="AN44" s="132">
        <f>AK44+AM44</f>
        <v>0</v>
      </c>
      <c r="AO44" s="142">
        <f t="shared" si="149"/>
        <v>1</v>
      </c>
      <c r="AP44" s="53"/>
      <c r="AQ44" s="132">
        <f>AN44+AP44</f>
        <v>0</v>
      </c>
      <c r="AR44" s="142">
        <f t="shared" si="150"/>
        <v>1</v>
      </c>
      <c r="AS44" s="53"/>
      <c r="AT44" s="132">
        <f>AQ44+AS44</f>
        <v>0</v>
      </c>
      <c r="AU44" s="142">
        <f t="shared" si="151"/>
        <v>1</v>
      </c>
      <c r="AV44" s="53"/>
      <c r="AW44" s="132">
        <f>AT44+AV44</f>
        <v>0</v>
      </c>
      <c r="AX44" s="142">
        <f t="shared" si="152"/>
        <v>1</v>
      </c>
      <c r="AY44" s="53"/>
      <c r="AZ44" s="132">
        <f>AW44+AY44</f>
        <v>0</v>
      </c>
      <c r="BA44" s="142">
        <f t="shared" si="153"/>
        <v>1</v>
      </c>
      <c r="BB44" s="53"/>
      <c r="BC44" s="132">
        <f>AZ44+BB44</f>
        <v>0</v>
      </c>
      <c r="BD44" s="142">
        <f t="shared" si="154"/>
        <v>1</v>
      </c>
      <c r="BE44" s="53"/>
      <c r="BF44" s="132">
        <f>BC44+BE44</f>
        <v>0</v>
      </c>
      <c r="BG44" s="142">
        <f t="shared" si="155"/>
        <v>1</v>
      </c>
      <c r="BH44" s="132"/>
      <c r="BI44" s="23"/>
      <c r="BJ44" s="23"/>
      <c r="BK44" s="142">
        <f>IF($AA$44=0,1,BJ44/$AA$44-1)</f>
        <v>1</v>
      </c>
      <c r="BL44" s="142">
        <f t="shared" si="24"/>
        <v>1</v>
      </c>
      <c r="BM44" s="166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</row>
    <row r="45" spans="1:206" s="68" customFormat="1" ht="18" customHeight="1">
      <c r="A45" s="308" t="s">
        <v>102</v>
      </c>
      <c r="B45" s="309"/>
      <c r="C45" s="36"/>
      <c r="D45" s="140">
        <f t="shared" si="142"/>
        <v>0</v>
      </c>
      <c r="E45" s="36"/>
      <c r="F45" s="36"/>
      <c r="G45" s="132">
        <f t="shared" si="143"/>
        <v>0</v>
      </c>
      <c r="H45" s="36"/>
      <c r="I45" s="132">
        <f>G45+H45</f>
        <v>0</v>
      </c>
      <c r="J45" s="36"/>
      <c r="K45" s="132">
        <f>I45+J45</f>
        <v>0</v>
      </c>
      <c r="L45" s="36"/>
      <c r="M45" s="132">
        <f>K45+L45</f>
        <v>0</v>
      </c>
      <c r="N45" s="36"/>
      <c r="O45" s="132">
        <f>M45+N45</f>
        <v>0</v>
      </c>
      <c r="P45" s="36"/>
      <c r="Q45" s="132">
        <f>O45+P45</f>
        <v>0</v>
      </c>
      <c r="R45" s="36"/>
      <c r="S45" s="132">
        <f>Q45+R45</f>
        <v>0</v>
      </c>
      <c r="T45" s="36"/>
      <c r="U45" s="132">
        <f>S45+T45</f>
        <v>0</v>
      </c>
      <c r="V45" s="36"/>
      <c r="W45" s="132">
        <f>U45+V45</f>
        <v>0</v>
      </c>
      <c r="X45" s="36"/>
      <c r="Y45" s="132">
        <f>W45+X45</f>
        <v>0</v>
      </c>
      <c r="Z45" s="36"/>
      <c r="AA45" s="36"/>
      <c r="AB45" s="142">
        <f t="shared" si="145"/>
        <v>1</v>
      </c>
      <c r="AC45" s="36"/>
      <c r="AD45" s="36"/>
      <c r="AE45" s="132">
        <f t="shared" si="144"/>
        <v>0</v>
      </c>
      <c r="AF45" s="142">
        <f t="shared" si="146"/>
        <v>1</v>
      </c>
      <c r="AG45" s="36"/>
      <c r="AH45" s="132">
        <f>AE45+AG45</f>
        <v>0</v>
      </c>
      <c r="AI45" s="142">
        <f t="shared" si="147"/>
        <v>1</v>
      </c>
      <c r="AJ45" s="53"/>
      <c r="AK45" s="132">
        <f>AH45+AJ45</f>
        <v>0</v>
      </c>
      <c r="AL45" s="142">
        <f t="shared" si="148"/>
        <v>1</v>
      </c>
      <c r="AM45" s="36"/>
      <c r="AN45" s="132">
        <f>AK45+AM45</f>
        <v>0</v>
      </c>
      <c r="AO45" s="142">
        <f t="shared" si="149"/>
        <v>1</v>
      </c>
      <c r="AP45" s="36"/>
      <c r="AQ45" s="132">
        <f>AN45+AP45</f>
        <v>0</v>
      </c>
      <c r="AR45" s="142">
        <f t="shared" si="150"/>
        <v>1</v>
      </c>
      <c r="AS45" s="36"/>
      <c r="AT45" s="132">
        <f>AQ45+AS45</f>
        <v>0</v>
      </c>
      <c r="AU45" s="142">
        <f t="shared" si="151"/>
        <v>1</v>
      </c>
      <c r="AV45" s="36"/>
      <c r="AW45" s="132">
        <f>AT45+AV45</f>
        <v>0</v>
      </c>
      <c r="AX45" s="142">
        <f t="shared" si="152"/>
        <v>1</v>
      </c>
      <c r="AY45" s="36"/>
      <c r="AZ45" s="132">
        <f>AW45+AY45</f>
        <v>0</v>
      </c>
      <c r="BA45" s="142">
        <f t="shared" si="153"/>
        <v>1</v>
      </c>
      <c r="BB45" s="36"/>
      <c r="BC45" s="132">
        <f>AZ45+BB45</f>
        <v>0</v>
      </c>
      <c r="BD45" s="142">
        <f t="shared" si="154"/>
        <v>1</v>
      </c>
      <c r="BE45" s="36"/>
      <c r="BF45" s="132">
        <f>BC45+BE45</f>
        <v>0</v>
      </c>
      <c r="BG45" s="142">
        <f t="shared" si="155"/>
        <v>1</v>
      </c>
      <c r="BH45" s="132"/>
      <c r="BI45" s="23"/>
      <c r="BJ45" s="23"/>
      <c r="BK45" s="142">
        <f>IF($AA$45=0,1,BJ45/$AA$45-1)</f>
        <v>1</v>
      </c>
      <c r="BL45" s="142">
        <f t="shared" si="24"/>
        <v>1</v>
      </c>
      <c r="BM45" s="166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</row>
    <row r="46" spans="1:206" s="68" customFormat="1" ht="18" customHeight="1">
      <c r="A46" s="308" t="s">
        <v>103</v>
      </c>
      <c r="B46" s="309"/>
      <c r="C46" s="36"/>
      <c r="D46" s="140">
        <f t="shared" si="142"/>
        <v>0</v>
      </c>
      <c r="E46" s="36"/>
      <c r="F46" s="36"/>
      <c r="G46" s="132">
        <f t="shared" si="143"/>
        <v>0</v>
      </c>
      <c r="H46" s="36"/>
      <c r="I46" s="132"/>
      <c r="J46" s="36"/>
      <c r="K46" s="132"/>
      <c r="L46" s="36"/>
      <c r="M46" s="132"/>
      <c r="N46" s="36"/>
      <c r="O46" s="132"/>
      <c r="P46" s="36"/>
      <c r="Q46" s="132"/>
      <c r="R46" s="36"/>
      <c r="S46" s="132"/>
      <c r="T46" s="36"/>
      <c r="U46" s="132"/>
      <c r="V46" s="36"/>
      <c r="W46" s="132"/>
      <c r="X46" s="36"/>
      <c r="Y46" s="132"/>
      <c r="Z46" s="36"/>
      <c r="AA46" s="36"/>
      <c r="AB46" s="142">
        <f t="shared" si="145"/>
        <v>1</v>
      </c>
      <c r="AC46" s="36"/>
      <c r="AD46" s="36"/>
      <c r="AE46" s="132">
        <f t="shared" si="144"/>
        <v>0</v>
      </c>
      <c r="AF46" s="142">
        <f t="shared" si="146"/>
        <v>1</v>
      </c>
      <c r="AG46" s="36"/>
      <c r="AH46" s="132"/>
      <c r="AI46" s="142">
        <f t="shared" si="147"/>
        <v>1</v>
      </c>
      <c r="AJ46" s="53"/>
      <c r="AK46" s="132"/>
      <c r="AL46" s="142">
        <f t="shared" si="148"/>
        <v>1</v>
      </c>
      <c r="AM46" s="36"/>
      <c r="AN46" s="132"/>
      <c r="AO46" s="142">
        <f t="shared" si="149"/>
        <v>1</v>
      </c>
      <c r="AP46" s="36"/>
      <c r="AQ46" s="132"/>
      <c r="AR46" s="142">
        <f t="shared" si="150"/>
        <v>1</v>
      </c>
      <c r="AS46" s="36"/>
      <c r="AT46" s="132"/>
      <c r="AU46" s="142">
        <f t="shared" si="151"/>
        <v>1</v>
      </c>
      <c r="AV46" s="36"/>
      <c r="AW46" s="132"/>
      <c r="AX46" s="142">
        <f t="shared" si="152"/>
        <v>1</v>
      </c>
      <c r="AY46" s="36"/>
      <c r="AZ46" s="132"/>
      <c r="BA46" s="142">
        <f t="shared" si="153"/>
        <v>1</v>
      </c>
      <c r="BB46" s="36"/>
      <c r="BC46" s="132"/>
      <c r="BD46" s="142">
        <f t="shared" si="154"/>
        <v>1</v>
      </c>
      <c r="BE46" s="36"/>
      <c r="BF46" s="132"/>
      <c r="BG46" s="142">
        <f t="shared" si="155"/>
        <v>1</v>
      </c>
      <c r="BH46" s="132"/>
      <c r="BI46" s="23"/>
      <c r="BJ46" s="23"/>
      <c r="BK46" s="142">
        <f>IF($AA$46=0,1,BJ46/$AA$46-1)</f>
        <v>1</v>
      </c>
      <c r="BL46" s="142">
        <f t="shared" si="24"/>
        <v>1</v>
      </c>
      <c r="BM46" s="166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</row>
    <row r="47" spans="1:206" s="70" customFormat="1" ht="18" customHeight="1">
      <c r="A47" s="308" t="s">
        <v>106</v>
      </c>
      <c r="B47" s="309"/>
      <c r="C47" s="141">
        <f t="shared" ref="C47:F47" si="156">C48+C49+C55+C56+C61+C57+C58+C59+C60+C62</f>
        <v>0</v>
      </c>
      <c r="D47" s="141">
        <f t="shared" si="156"/>
        <v>0</v>
      </c>
      <c r="E47" s="141">
        <f t="shared" si="156"/>
        <v>0</v>
      </c>
      <c r="F47" s="141">
        <f t="shared" si="156"/>
        <v>0</v>
      </c>
      <c r="G47" s="132">
        <f t="shared" si="143"/>
        <v>0</v>
      </c>
      <c r="H47" s="141">
        <f t="shared" ref="H47:AA47" si="157">H48+H49+H55+H56+H61+H57+H58+H59+H60+H62</f>
        <v>0</v>
      </c>
      <c r="I47" s="141">
        <f t="shared" si="157"/>
        <v>0</v>
      </c>
      <c r="J47" s="141">
        <f t="shared" si="157"/>
        <v>0</v>
      </c>
      <c r="K47" s="141">
        <f t="shared" si="157"/>
        <v>0</v>
      </c>
      <c r="L47" s="141">
        <f t="shared" si="157"/>
        <v>0</v>
      </c>
      <c r="M47" s="141">
        <f t="shared" si="157"/>
        <v>0</v>
      </c>
      <c r="N47" s="141">
        <f t="shared" si="157"/>
        <v>0</v>
      </c>
      <c r="O47" s="141">
        <f t="shared" si="157"/>
        <v>0</v>
      </c>
      <c r="P47" s="141">
        <f t="shared" si="157"/>
        <v>0</v>
      </c>
      <c r="Q47" s="141">
        <f t="shared" si="157"/>
        <v>0</v>
      </c>
      <c r="R47" s="141">
        <f t="shared" si="157"/>
        <v>0</v>
      </c>
      <c r="S47" s="140">
        <f t="shared" si="157"/>
        <v>0</v>
      </c>
      <c r="T47" s="141">
        <f t="shared" si="157"/>
        <v>0</v>
      </c>
      <c r="U47" s="141">
        <f t="shared" si="157"/>
        <v>0</v>
      </c>
      <c r="V47" s="141">
        <f t="shared" si="157"/>
        <v>0</v>
      </c>
      <c r="W47" s="141">
        <f t="shared" si="157"/>
        <v>0</v>
      </c>
      <c r="X47" s="141">
        <f t="shared" si="157"/>
        <v>0</v>
      </c>
      <c r="Y47" s="141">
        <f t="shared" si="157"/>
        <v>0</v>
      </c>
      <c r="Z47" s="141">
        <f t="shared" si="157"/>
        <v>0</v>
      </c>
      <c r="AA47" s="141">
        <f t="shared" si="157"/>
        <v>0</v>
      </c>
      <c r="AB47" s="142">
        <f t="shared" si="145"/>
        <v>1</v>
      </c>
      <c r="AC47" s="141">
        <f t="shared" ref="AC47:AE47" si="158">AC48+AC49+AC55+AC56+AC61+AC57+AC58+AC59+AC60+AC62</f>
        <v>0</v>
      </c>
      <c r="AD47" s="141">
        <f t="shared" si="158"/>
        <v>0</v>
      </c>
      <c r="AE47" s="141">
        <f t="shared" si="158"/>
        <v>0</v>
      </c>
      <c r="AF47" s="142">
        <f t="shared" si="146"/>
        <v>1</v>
      </c>
      <c r="AG47" s="141">
        <f>AG48+AG49+AG55+AG56+AG61+AG57+AG58+AG59+AG60+AG62</f>
        <v>0</v>
      </c>
      <c r="AH47" s="141">
        <f>AH48+AH49+AH55+AH56+AH61+AH57+AH58+AH59+AH60+AH62</f>
        <v>0</v>
      </c>
      <c r="AI47" s="142">
        <f t="shared" si="147"/>
        <v>1</v>
      </c>
      <c r="AJ47" s="140">
        <f>AJ48+AJ49+AJ55+AJ56+AJ61+AJ57+AJ58+AJ59+AJ60+AJ62</f>
        <v>0</v>
      </c>
      <c r="AK47" s="141">
        <f>AK48+AK49+AK55+AK56+AK61+AK57+AK58+AK59+AK60+AK62</f>
        <v>0</v>
      </c>
      <c r="AL47" s="142">
        <f t="shared" si="148"/>
        <v>1</v>
      </c>
      <c r="AM47" s="141">
        <f>AM48+AM49+AM55+AM56+AM61+AM57+AM58+AM59+AM60+AM62</f>
        <v>0</v>
      </c>
      <c r="AN47" s="141">
        <f>AN48+AN49+AN55+AN56+AN61+AN57+AN58+AN59+AN60+AN62</f>
        <v>0</v>
      </c>
      <c r="AO47" s="142">
        <f t="shared" si="149"/>
        <v>1</v>
      </c>
      <c r="AP47" s="141">
        <f>AP48+AP49+AP55+AP56+AP61+AP57+AP58+AP59+AP60+AP62</f>
        <v>0</v>
      </c>
      <c r="AQ47" s="141">
        <f>AQ48+AQ49+AQ55+AQ56+AQ61+AQ57+AQ58+AQ59+AQ60+AQ62</f>
        <v>0</v>
      </c>
      <c r="AR47" s="142">
        <f t="shared" si="150"/>
        <v>1</v>
      </c>
      <c r="AS47" s="141">
        <f>AS48+AS49+AS55+AS56+AS61+AS57+AS58+AS59+AS60+AS62</f>
        <v>0</v>
      </c>
      <c r="AT47" s="141">
        <f>AT48+AT49+AT55+AT56+AT61+AT57+AT58+AT59+AT60+AT62</f>
        <v>0</v>
      </c>
      <c r="AU47" s="142">
        <f t="shared" si="151"/>
        <v>1</v>
      </c>
      <c r="AV47" s="141">
        <f>AV48+AV49+AV55+AV56+AV61+AV57+AV58+AV59+AV60+AV62</f>
        <v>0</v>
      </c>
      <c r="AW47" s="141">
        <f>AW48+AW49+AW55+AW56+AW61+AW57+AW58+AW59+AW60+AW62</f>
        <v>0</v>
      </c>
      <c r="AX47" s="142">
        <f t="shared" si="152"/>
        <v>1</v>
      </c>
      <c r="AY47" s="141">
        <f>AY48+AY49+AY55+AY56+AY61+AY57+AY58+AY59+AY60+AY62</f>
        <v>0</v>
      </c>
      <c r="AZ47" s="141">
        <f>AZ48+AZ49+AZ55+AZ56+AZ61+AZ57+AZ58+AZ59+AZ60+AZ62</f>
        <v>0</v>
      </c>
      <c r="BA47" s="142">
        <f t="shared" si="153"/>
        <v>1</v>
      </c>
      <c r="BB47" s="141">
        <f>BB48+BB49+BB55+BB56+BB61+BB57+BB58+BB59+BB60+BB62</f>
        <v>0</v>
      </c>
      <c r="BC47" s="141">
        <f>BC48+BC49+BC55+BC56+BC61+BC57+BC58+BC59+BC60+BC62</f>
        <v>0</v>
      </c>
      <c r="BD47" s="142">
        <f t="shared" si="154"/>
        <v>1</v>
      </c>
      <c r="BE47" s="141">
        <f>BE48+BE49+BE55+BE56+BE61+BE57+BE58+BE59+BE60+BE62</f>
        <v>0</v>
      </c>
      <c r="BF47" s="141">
        <f>BF48+BF49+BF55+BF56+BF61+BF57+BF58+BF59+BF60+BF62</f>
        <v>0</v>
      </c>
      <c r="BG47" s="142">
        <f t="shared" si="155"/>
        <v>1</v>
      </c>
      <c r="BH47" s="141">
        <f t="shared" ref="BH47:BJ47" si="159">BH48+BH49+BH55+BH56+BH61+BH57+BH58+BH59+BH60+BH62</f>
        <v>0</v>
      </c>
      <c r="BI47" s="141">
        <f t="shared" si="159"/>
        <v>0</v>
      </c>
      <c r="BJ47" s="141">
        <f t="shared" si="159"/>
        <v>0</v>
      </c>
      <c r="BK47" s="142">
        <f>IF($AA$47=0,1,BJ47/$AA$47-1)</f>
        <v>1</v>
      </c>
      <c r="BL47" s="142">
        <f t="shared" si="24"/>
        <v>1</v>
      </c>
      <c r="BM47" s="166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</row>
    <row r="48" spans="1:206" s="64" customFormat="1" ht="21.75" customHeight="1">
      <c r="A48" s="290" t="s">
        <v>132</v>
      </c>
      <c r="B48" s="291"/>
      <c r="C48" s="29"/>
      <c r="D48" s="134">
        <f>E48+F48+H48+J48+L48+N48+P48+R48+T48+V48+X48+Z48</f>
        <v>0</v>
      </c>
      <c r="E48" s="31"/>
      <c r="F48" s="31"/>
      <c r="G48" s="134">
        <f t="shared" si="143"/>
        <v>0</v>
      </c>
      <c r="H48" s="31"/>
      <c r="I48" s="134"/>
      <c r="J48" s="31"/>
      <c r="K48" s="134"/>
      <c r="L48" s="31"/>
      <c r="M48" s="134"/>
      <c r="N48" s="31"/>
      <c r="O48" s="134"/>
      <c r="P48" s="31"/>
      <c r="Q48" s="134"/>
      <c r="R48" s="31"/>
      <c r="S48" s="134"/>
      <c r="T48" s="31"/>
      <c r="U48" s="134"/>
      <c r="V48" s="31"/>
      <c r="W48" s="134"/>
      <c r="X48" s="31"/>
      <c r="Y48" s="134"/>
      <c r="Z48" s="31"/>
      <c r="AA48" s="31"/>
      <c r="AB48" s="135">
        <f t="shared" si="145"/>
        <v>1</v>
      </c>
      <c r="AC48" s="31"/>
      <c r="AD48" s="31"/>
      <c r="AE48" s="134">
        <f t="shared" ref="AE48:AE73" si="160">AC48+AD48</f>
        <v>0</v>
      </c>
      <c r="AF48" s="135">
        <f t="shared" si="146"/>
        <v>1</v>
      </c>
      <c r="AG48" s="31"/>
      <c r="AH48" s="134"/>
      <c r="AI48" s="135">
        <f t="shared" si="147"/>
        <v>1</v>
      </c>
      <c r="AJ48" s="29"/>
      <c r="AK48" s="134"/>
      <c r="AL48" s="135">
        <f t="shared" si="148"/>
        <v>1</v>
      </c>
      <c r="AM48" s="31"/>
      <c r="AN48" s="134"/>
      <c r="AO48" s="135">
        <f t="shared" si="149"/>
        <v>1</v>
      </c>
      <c r="AP48" s="31"/>
      <c r="AQ48" s="134"/>
      <c r="AR48" s="135">
        <f t="shared" si="150"/>
        <v>1</v>
      </c>
      <c r="AS48" s="31"/>
      <c r="AT48" s="134"/>
      <c r="AU48" s="135">
        <f t="shared" si="151"/>
        <v>1</v>
      </c>
      <c r="AV48" s="31"/>
      <c r="AW48" s="134"/>
      <c r="AX48" s="135">
        <f t="shared" si="152"/>
        <v>1</v>
      </c>
      <c r="AY48" s="31"/>
      <c r="AZ48" s="134"/>
      <c r="BA48" s="135">
        <f t="shared" si="153"/>
        <v>1</v>
      </c>
      <c r="BB48" s="31"/>
      <c r="BC48" s="134"/>
      <c r="BD48" s="135">
        <f t="shared" si="154"/>
        <v>1</v>
      </c>
      <c r="BE48" s="31"/>
      <c r="BF48" s="134"/>
      <c r="BG48" s="135">
        <f t="shared" si="155"/>
        <v>1</v>
      </c>
      <c r="BH48" s="134"/>
      <c r="BI48" s="26"/>
      <c r="BJ48" s="26"/>
      <c r="BK48" s="135">
        <f>IF($AA$48=0,1,BJ48/$AA$48-1)</f>
        <v>1</v>
      </c>
      <c r="BL48" s="135">
        <f t="shared" si="24"/>
        <v>1</v>
      </c>
      <c r="BM48" s="167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</row>
    <row r="49" spans="1:206" s="66" customFormat="1" ht="18" customHeight="1">
      <c r="A49" s="290" t="s">
        <v>108</v>
      </c>
      <c r="B49" s="291"/>
      <c r="C49" s="31">
        <f>C50+C51+C52</f>
        <v>0</v>
      </c>
      <c r="D49" s="139">
        <f t="shared" ref="D49:AA49" si="161">D50+D51+D52</f>
        <v>0</v>
      </c>
      <c r="E49" s="31">
        <f t="shared" si="161"/>
        <v>0</v>
      </c>
      <c r="F49" s="31">
        <f t="shared" si="161"/>
        <v>0</v>
      </c>
      <c r="G49" s="134">
        <f t="shared" si="143"/>
        <v>0</v>
      </c>
      <c r="H49" s="31">
        <f t="shared" ref="H49" si="162">H50+H51+H52</f>
        <v>0</v>
      </c>
      <c r="I49" s="139">
        <f t="shared" si="161"/>
        <v>0</v>
      </c>
      <c r="J49" s="31">
        <f t="shared" si="161"/>
        <v>0</v>
      </c>
      <c r="K49" s="139">
        <f t="shared" si="161"/>
        <v>0</v>
      </c>
      <c r="L49" s="31">
        <f t="shared" si="161"/>
        <v>0</v>
      </c>
      <c r="M49" s="139">
        <f t="shared" si="161"/>
        <v>0</v>
      </c>
      <c r="N49" s="31">
        <f t="shared" si="161"/>
        <v>0</v>
      </c>
      <c r="O49" s="139">
        <f t="shared" si="161"/>
        <v>0</v>
      </c>
      <c r="P49" s="31">
        <f t="shared" si="161"/>
        <v>0</v>
      </c>
      <c r="Q49" s="139">
        <f t="shared" si="161"/>
        <v>0</v>
      </c>
      <c r="R49" s="31">
        <f t="shared" si="161"/>
        <v>0</v>
      </c>
      <c r="S49" s="137">
        <f t="shared" si="161"/>
        <v>0</v>
      </c>
      <c r="T49" s="31">
        <f t="shared" si="161"/>
        <v>0</v>
      </c>
      <c r="U49" s="139">
        <f t="shared" si="161"/>
        <v>0</v>
      </c>
      <c r="V49" s="31">
        <f t="shared" si="161"/>
        <v>0</v>
      </c>
      <c r="W49" s="139">
        <f t="shared" si="161"/>
        <v>0</v>
      </c>
      <c r="X49" s="31">
        <f t="shared" si="161"/>
        <v>0</v>
      </c>
      <c r="Y49" s="139">
        <f t="shared" si="161"/>
        <v>0</v>
      </c>
      <c r="Z49" s="31">
        <f t="shared" si="161"/>
        <v>0</v>
      </c>
      <c r="AA49" s="31">
        <f t="shared" si="161"/>
        <v>0</v>
      </c>
      <c r="AB49" s="135">
        <f t="shared" si="145"/>
        <v>1</v>
      </c>
      <c r="AC49" s="31">
        <f t="shared" ref="AC49:AD49" si="163">AC50+AC51+AC52</f>
        <v>0</v>
      </c>
      <c r="AD49" s="31">
        <f t="shared" si="163"/>
        <v>0</v>
      </c>
      <c r="AE49" s="134">
        <f t="shared" si="160"/>
        <v>0</v>
      </c>
      <c r="AF49" s="135">
        <f t="shared" si="146"/>
        <v>1</v>
      </c>
      <c r="AG49" s="31">
        <f t="shared" ref="AG49:BF49" si="164">AG50+AG51+AG52</f>
        <v>0</v>
      </c>
      <c r="AH49" s="134">
        <f t="shared" si="164"/>
        <v>0</v>
      </c>
      <c r="AI49" s="135">
        <f t="shared" si="147"/>
        <v>1</v>
      </c>
      <c r="AJ49" s="29">
        <f t="shared" ref="AJ49" si="165">AJ50+AJ51+AJ52</f>
        <v>0</v>
      </c>
      <c r="AK49" s="134">
        <f t="shared" si="164"/>
        <v>0</v>
      </c>
      <c r="AL49" s="135">
        <f t="shared" si="148"/>
        <v>1</v>
      </c>
      <c r="AM49" s="31">
        <f t="shared" ref="AM49" si="166">AM50+AM51+AM52</f>
        <v>0</v>
      </c>
      <c r="AN49" s="134">
        <f t="shared" si="164"/>
        <v>0</v>
      </c>
      <c r="AO49" s="135">
        <f t="shared" si="149"/>
        <v>1</v>
      </c>
      <c r="AP49" s="31">
        <f t="shared" ref="AP49" si="167">AP50+AP51+AP52</f>
        <v>0</v>
      </c>
      <c r="AQ49" s="134">
        <f t="shared" si="164"/>
        <v>0</v>
      </c>
      <c r="AR49" s="135">
        <f t="shared" si="150"/>
        <v>1</v>
      </c>
      <c r="AS49" s="31">
        <f t="shared" ref="AS49" si="168">AS50+AS51+AS52</f>
        <v>0</v>
      </c>
      <c r="AT49" s="134">
        <f t="shared" si="164"/>
        <v>0</v>
      </c>
      <c r="AU49" s="135">
        <f t="shared" si="151"/>
        <v>1</v>
      </c>
      <c r="AV49" s="31">
        <f t="shared" ref="AV49" si="169">AV50+AV51+AV52</f>
        <v>0</v>
      </c>
      <c r="AW49" s="134">
        <f t="shared" si="164"/>
        <v>0</v>
      </c>
      <c r="AX49" s="135">
        <f t="shared" si="152"/>
        <v>1</v>
      </c>
      <c r="AY49" s="31">
        <f t="shared" ref="AY49" si="170">AY50+AY51+AY52</f>
        <v>0</v>
      </c>
      <c r="AZ49" s="134">
        <f t="shared" si="164"/>
        <v>0</v>
      </c>
      <c r="BA49" s="135">
        <f t="shared" si="153"/>
        <v>1</v>
      </c>
      <c r="BB49" s="31">
        <f t="shared" ref="BB49" si="171">BB50+BB51+BB52</f>
        <v>0</v>
      </c>
      <c r="BC49" s="134">
        <f t="shared" si="164"/>
        <v>0</v>
      </c>
      <c r="BD49" s="135">
        <f t="shared" si="154"/>
        <v>1</v>
      </c>
      <c r="BE49" s="31">
        <f t="shared" ref="BE49" si="172">BE50+BE51+BE52</f>
        <v>0</v>
      </c>
      <c r="BF49" s="134">
        <f t="shared" si="164"/>
        <v>0</v>
      </c>
      <c r="BG49" s="135">
        <f t="shared" si="155"/>
        <v>1</v>
      </c>
      <c r="BH49" s="134">
        <f t="shared" ref="BH49:BJ49" si="173">BH50+BH51+BH52</f>
        <v>0</v>
      </c>
      <c r="BI49" s="134">
        <f t="shared" si="173"/>
        <v>0</v>
      </c>
      <c r="BJ49" s="134">
        <f t="shared" si="173"/>
        <v>0</v>
      </c>
      <c r="BK49" s="135">
        <f>IF($AA$49=0,1,BJ49/$AA$49-1)</f>
        <v>1</v>
      </c>
      <c r="BL49" s="135">
        <f t="shared" si="24"/>
        <v>1</v>
      </c>
      <c r="BM49" s="167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</row>
    <row r="50" spans="1:206" s="66" customFormat="1" ht="18" customHeight="1">
      <c r="A50" s="290" t="s">
        <v>110</v>
      </c>
      <c r="B50" s="291"/>
      <c r="C50" s="31"/>
      <c r="D50" s="134">
        <f t="shared" ref="D50:D73" si="174">E50+F50+H50+J50+L50+N50+P50+R50+T50+V50+X50+Z50</f>
        <v>0</v>
      </c>
      <c r="E50" s="31"/>
      <c r="F50" s="31"/>
      <c r="G50" s="134">
        <f t="shared" si="143"/>
        <v>0</v>
      </c>
      <c r="H50" s="31"/>
      <c r="I50" s="134"/>
      <c r="J50" s="31"/>
      <c r="K50" s="134"/>
      <c r="L50" s="31"/>
      <c r="M50" s="134"/>
      <c r="N50" s="31"/>
      <c r="O50" s="134"/>
      <c r="P50" s="31"/>
      <c r="Q50" s="134"/>
      <c r="R50" s="31"/>
      <c r="S50" s="134"/>
      <c r="T50" s="31"/>
      <c r="U50" s="134"/>
      <c r="V50" s="31"/>
      <c r="W50" s="134"/>
      <c r="X50" s="31"/>
      <c r="Y50" s="134"/>
      <c r="Z50" s="31"/>
      <c r="AA50" s="31"/>
      <c r="AB50" s="135">
        <f t="shared" si="145"/>
        <v>1</v>
      </c>
      <c r="AC50" s="31"/>
      <c r="AD50" s="31"/>
      <c r="AE50" s="134">
        <f t="shared" si="160"/>
        <v>0</v>
      </c>
      <c r="AF50" s="135">
        <f t="shared" si="146"/>
        <v>1</v>
      </c>
      <c r="AG50" s="31"/>
      <c r="AH50" s="134"/>
      <c r="AI50" s="135">
        <f t="shared" si="147"/>
        <v>1</v>
      </c>
      <c r="AJ50" s="29"/>
      <c r="AK50" s="134"/>
      <c r="AL50" s="135">
        <f t="shared" si="148"/>
        <v>1</v>
      </c>
      <c r="AM50" s="31"/>
      <c r="AN50" s="134"/>
      <c r="AO50" s="135">
        <f t="shared" si="149"/>
        <v>1</v>
      </c>
      <c r="AP50" s="31"/>
      <c r="AQ50" s="134"/>
      <c r="AR50" s="135">
        <f t="shared" si="150"/>
        <v>1</v>
      </c>
      <c r="AS50" s="31"/>
      <c r="AT50" s="134"/>
      <c r="AU50" s="135">
        <f t="shared" si="151"/>
        <v>1</v>
      </c>
      <c r="AV50" s="31"/>
      <c r="AW50" s="134"/>
      <c r="AX50" s="135">
        <f t="shared" si="152"/>
        <v>1</v>
      </c>
      <c r="AY50" s="31"/>
      <c r="AZ50" s="134"/>
      <c r="BA50" s="135">
        <f t="shared" si="153"/>
        <v>1</v>
      </c>
      <c r="BB50" s="31"/>
      <c r="BC50" s="134"/>
      <c r="BD50" s="135">
        <f t="shared" si="154"/>
        <v>1</v>
      </c>
      <c r="BE50" s="31"/>
      <c r="BF50" s="134"/>
      <c r="BG50" s="135">
        <f t="shared" si="155"/>
        <v>1</v>
      </c>
      <c r="BH50" s="134"/>
      <c r="BI50" s="26"/>
      <c r="BJ50" s="26"/>
      <c r="BK50" s="135">
        <f>IF($AA$50=0,1,BJ50/$AA$50-1)</f>
        <v>1</v>
      </c>
      <c r="BL50" s="135">
        <f t="shared" si="24"/>
        <v>1</v>
      </c>
      <c r="BM50" s="167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</row>
    <row r="51" spans="1:206" s="66" customFormat="1" ht="18" customHeight="1">
      <c r="A51" s="290" t="s">
        <v>111</v>
      </c>
      <c r="B51" s="291"/>
      <c r="C51" s="31"/>
      <c r="D51" s="134">
        <f t="shared" si="174"/>
        <v>0</v>
      </c>
      <c r="E51" s="31"/>
      <c r="F51" s="31"/>
      <c r="G51" s="134">
        <f t="shared" si="143"/>
        <v>0</v>
      </c>
      <c r="H51" s="31"/>
      <c r="I51" s="134"/>
      <c r="J51" s="31"/>
      <c r="K51" s="134"/>
      <c r="L51" s="31"/>
      <c r="M51" s="134"/>
      <c r="N51" s="31"/>
      <c r="O51" s="134"/>
      <c r="P51" s="31"/>
      <c r="Q51" s="134"/>
      <c r="R51" s="31"/>
      <c r="S51" s="134"/>
      <c r="T51" s="31"/>
      <c r="U51" s="134"/>
      <c r="V51" s="31"/>
      <c r="W51" s="134"/>
      <c r="X51" s="31"/>
      <c r="Y51" s="134"/>
      <c r="Z51" s="31"/>
      <c r="AA51" s="31"/>
      <c r="AB51" s="135">
        <f t="shared" si="145"/>
        <v>1</v>
      </c>
      <c r="AC51" s="31"/>
      <c r="AD51" s="31"/>
      <c r="AE51" s="134">
        <f t="shared" si="160"/>
        <v>0</v>
      </c>
      <c r="AF51" s="135">
        <f t="shared" si="146"/>
        <v>1</v>
      </c>
      <c r="AG51" s="31"/>
      <c r="AH51" s="134"/>
      <c r="AI51" s="135">
        <f t="shared" si="147"/>
        <v>1</v>
      </c>
      <c r="AJ51" s="29"/>
      <c r="AK51" s="134"/>
      <c r="AL51" s="135">
        <f t="shared" si="148"/>
        <v>1</v>
      </c>
      <c r="AM51" s="31"/>
      <c r="AN51" s="134"/>
      <c r="AO51" s="135">
        <f t="shared" si="149"/>
        <v>1</v>
      </c>
      <c r="AP51" s="31"/>
      <c r="AQ51" s="134"/>
      <c r="AR51" s="135">
        <f t="shared" si="150"/>
        <v>1</v>
      </c>
      <c r="AS51" s="31"/>
      <c r="AT51" s="134"/>
      <c r="AU51" s="135">
        <f t="shared" si="151"/>
        <v>1</v>
      </c>
      <c r="AV51" s="31"/>
      <c r="AW51" s="134"/>
      <c r="AX51" s="135">
        <f t="shared" si="152"/>
        <v>1</v>
      </c>
      <c r="AY51" s="31"/>
      <c r="AZ51" s="134"/>
      <c r="BA51" s="135">
        <f t="shared" si="153"/>
        <v>1</v>
      </c>
      <c r="BB51" s="31"/>
      <c r="BC51" s="134"/>
      <c r="BD51" s="135">
        <f t="shared" si="154"/>
        <v>1</v>
      </c>
      <c r="BE51" s="31"/>
      <c r="BF51" s="134"/>
      <c r="BG51" s="135">
        <f t="shared" si="155"/>
        <v>1</v>
      </c>
      <c r="BH51" s="134"/>
      <c r="BI51" s="26"/>
      <c r="BJ51" s="26"/>
      <c r="BK51" s="135">
        <f>IF($AA$51=0,1,BJ51/$AA$51-1)</f>
        <v>1</v>
      </c>
      <c r="BL51" s="135">
        <f t="shared" si="24"/>
        <v>1</v>
      </c>
      <c r="BM51" s="167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</row>
    <row r="52" spans="1:206" s="66" customFormat="1" ht="18" customHeight="1">
      <c r="A52" s="290" t="s">
        <v>112</v>
      </c>
      <c r="B52" s="291"/>
      <c r="C52" s="31"/>
      <c r="D52" s="134">
        <f t="shared" si="174"/>
        <v>0</v>
      </c>
      <c r="E52" s="31"/>
      <c r="F52" s="31"/>
      <c r="G52" s="134">
        <f t="shared" si="143"/>
        <v>0</v>
      </c>
      <c r="H52" s="31"/>
      <c r="I52" s="134"/>
      <c r="J52" s="31"/>
      <c r="K52" s="134"/>
      <c r="L52" s="31"/>
      <c r="M52" s="134"/>
      <c r="N52" s="31"/>
      <c r="O52" s="134"/>
      <c r="P52" s="31"/>
      <c r="Q52" s="134"/>
      <c r="R52" s="31"/>
      <c r="S52" s="134"/>
      <c r="T52" s="31"/>
      <c r="U52" s="134"/>
      <c r="V52" s="31"/>
      <c r="W52" s="134"/>
      <c r="X52" s="31"/>
      <c r="Y52" s="134"/>
      <c r="Z52" s="31"/>
      <c r="AA52" s="31"/>
      <c r="AB52" s="135">
        <f t="shared" si="145"/>
        <v>1</v>
      </c>
      <c r="AC52" s="31"/>
      <c r="AD52" s="31"/>
      <c r="AE52" s="134">
        <f t="shared" si="160"/>
        <v>0</v>
      </c>
      <c r="AF52" s="135">
        <f t="shared" si="146"/>
        <v>1</v>
      </c>
      <c r="AG52" s="31"/>
      <c r="AH52" s="134"/>
      <c r="AI52" s="135">
        <f t="shared" si="147"/>
        <v>1</v>
      </c>
      <c r="AJ52" s="29"/>
      <c r="AK52" s="134"/>
      <c r="AL52" s="135">
        <f t="shared" si="148"/>
        <v>1</v>
      </c>
      <c r="AM52" s="31"/>
      <c r="AN52" s="134"/>
      <c r="AO52" s="135">
        <f t="shared" si="149"/>
        <v>1</v>
      </c>
      <c r="AP52" s="31"/>
      <c r="AQ52" s="134"/>
      <c r="AR52" s="135">
        <f t="shared" si="150"/>
        <v>1</v>
      </c>
      <c r="AS52" s="31"/>
      <c r="AT52" s="134"/>
      <c r="AU52" s="135">
        <f t="shared" si="151"/>
        <v>1</v>
      </c>
      <c r="AV52" s="31"/>
      <c r="AW52" s="134"/>
      <c r="AX52" s="135">
        <f t="shared" si="152"/>
        <v>1</v>
      </c>
      <c r="AY52" s="31"/>
      <c r="AZ52" s="134"/>
      <c r="BA52" s="135">
        <f t="shared" si="153"/>
        <v>1</v>
      </c>
      <c r="BB52" s="31"/>
      <c r="BC52" s="134"/>
      <c r="BD52" s="135">
        <f t="shared" si="154"/>
        <v>1</v>
      </c>
      <c r="BE52" s="31"/>
      <c r="BF52" s="134"/>
      <c r="BG52" s="135">
        <f t="shared" si="155"/>
        <v>1</v>
      </c>
      <c r="BH52" s="134"/>
      <c r="BI52" s="26"/>
      <c r="BJ52" s="26"/>
      <c r="BK52" s="135">
        <f>IF($AA$52=0,1,BJ52/$AA$52-1)</f>
        <v>1</v>
      </c>
      <c r="BL52" s="135">
        <f t="shared" si="24"/>
        <v>1</v>
      </c>
      <c r="BM52" s="167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</row>
    <row r="53" spans="1:206" s="66" customFormat="1" ht="18" customHeight="1">
      <c r="A53" s="290" t="s">
        <v>104</v>
      </c>
      <c r="B53" s="291"/>
      <c r="C53" s="29"/>
      <c r="D53" s="134">
        <f t="shared" si="174"/>
        <v>0</v>
      </c>
      <c r="E53" s="31"/>
      <c r="F53" s="31"/>
      <c r="G53" s="134">
        <f t="shared" si="143"/>
        <v>0</v>
      </c>
      <c r="H53" s="31"/>
      <c r="I53" s="134">
        <f>G53+H53</f>
        <v>0</v>
      </c>
      <c r="J53" s="31"/>
      <c r="K53" s="134">
        <f>I53+J53</f>
        <v>0</v>
      </c>
      <c r="L53" s="31"/>
      <c r="M53" s="134">
        <f>K53+L53</f>
        <v>0</v>
      </c>
      <c r="N53" s="31"/>
      <c r="O53" s="134">
        <f>M53+N53</f>
        <v>0</v>
      </c>
      <c r="P53" s="31"/>
      <c r="Q53" s="134">
        <f>O53+P53</f>
        <v>0</v>
      </c>
      <c r="R53" s="31"/>
      <c r="S53" s="134">
        <f>Q53+R53</f>
        <v>0</v>
      </c>
      <c r="T53" s="31"/>
      <c r="U53" s="134">
        <f>S53+T53</f>
        <v>0</v>
      </c>
      <c r="V53" s="31"/>
      <c r="W53" s="134">
        <f>U53+V53</f>
        <v>0</v>
      </c>
      <c r="X53" s="31"/>
      <c r="Y53" s="134">
        <f>W53+X53</f>
        <v>0</v>
      </c>
      <c r="Z53" s="31"/>
      <c r="AA53" s="31"/>
      <c r="AB53" s="135">
        <f t="shared" si="145"/>
        <v>1</v>
      </c>
      <c r="AC53" s="31"/>
      <c r="AD53" s="31"/>
      <c r="AE53" s="134">
        <f t="shared" si="160"/>
        <v>0</v>
      </c>
      <c r="AF53" s="135">
        <f t="shared" si="146"/>
        <v>1</v>
      </c>
      <c r="AG53" s="31"/>
      <c r="AH53" s="134">
        <f>AE53+AG53</f>
        <v>0</v>
      </c>
      <c r="AI53" s="135">
        <f t="shared" si="147"/>
        <v>1</v>
      </c>
      <c r="AJ53" s="29"/>
      <c r="AK53" s="134">
        <f>AH53+AJ53</f>
        <v>0</v>
      </c>
      <c r="AL53" s="135">
        <f t="shared" si="148"/>
        <v>1</v>
      </c>
      <c r="AM53" s="31"/>
      <c r="AN53" s="134">
        <f>AK53+AM53</f>
        <v>0</v>
      </c>
      <c r="AO53" s="135">
        <f t="shared" si="149"/>
        <v>1</v>
      </c>
      <c r="AP53" s="31"/>
      <c r="AQ53" s="134">
        <f>AN53+AP53</f>
        <v>0</v>
      </c>
      <c r="AR53" s="135">
        <f t="shared" si="150"/>
        <v>1</v>
      </c>
      <c r="AS53" s="31"/>
      <c r="AT53" s="134">
        <f>AQ53+AS53</f>
        <v>0</v>
      </c>
      <c r="AU53" s="135">
        <f t="shared" si="151"/>
        <v>1</v>
      </c>
      <c r="AV53" s="31"/>
      <c r="AW53" s="134">
        <f>AT53+AV53</f>
        <v>0</v>
      </c>
      <c r="AX53" s="135">
        <f t="shared" si="152"/>
        <v>1</v>
      </c>
      <c r="AY53" s="31"/>
      <c r="AZ53" s="134">
        <f>AW53+AY53</f>
        <v>0</v>
      </c>
      <c r="BA53" s="135">
        <f t="shared" si="153"/>
        <v>1</v>
      </c>
      <c r="BB53" s="31"/>
      <c r="BC53" s="134">
        <f>AZ53+BB53</f>
        <v>0</v>
      </c>
      <c r="BD53" s="135">
        <f t="shared" si="154"/>
        <v>1</v>
      </c>
      <c r="BE53" s="31"/>
      <c r="BF53" s="134">
        <f>BC53+BE53</f>
        <v>0</v>
      </c>
      <c r="BG53" s="135">
        <f t="shared" si="155"/>
        <v>1</v>
      </c>
      <c r="BH53" s="134"/>
      <c r="BI53" s="26"/>
      <c r="BJ53" s="26"/>
      <c r="BK53" s="135">
        <f>IF($AA$53=0,1,BJ53/$AA$53-1)</f>
        <v>1</v>
      </c>
      <c r="BL53" s="135">
        <f t="shared" si="24"/>
        <v>1</v>
      </c>
      <c r="BM53" s="167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</row>
    <row r="54" spans="1:206" s="66" customFormat="1" ht="18" customHeight="1">
      <c r="A54" s="290" t="s">
        <v>107</v>
      </c>
      <c r="B54" s="291"/>
      <c r="C54" s="31"/>
      <c r="D54" s="134">
        <f t="shared" si="174"/>
        <v>0</v>
      </c>
      <c r="E54" s="31"/>
      <c r="F54" s="31"/>
      <c r="G54" s="134">
        <f t="shared" si="143"/>
        <v>0</v>
      </c>
      <c r="H54" s="31"/>
      <c r="I54" s="134"/>
      <c r="J54" s="31"/>
      <c r="K54" s="134"/>
      <c r="L54" s="31"/>
      <c r="M54" s="134"/>
      <c r="N54" s="31"/>
      <c r="O54" s="134"/>
      <c r="P54" s="31"/>
      <c r="Q54" s="134"/>
      <c r="R54" s="31"/>
      <c r="S54" s="134"/>
      <c r="T54" s="31"/>
      <c r="U54" s="134"/>
      <c r="V54" s="31"/>
      <c r="W54" s="134"/>
      <c r="X54" s="31"/>
      <c r="Y54" s="134"/>
      <c r="Z54" s="31"/>
      <c r="AA54" s="31"/>
      <c r="AB54" s="135">
        <f t="shared" si="145"/>
        <v>1</v>
      </c>
      <c r="AC54" s="31"/>
      <c r="AD54" s="31"/>
      <c r="AE54" s="134">
        <f t="shared" si="160"/>
        <v>0</v>
      </c>
      <c r="AF54" s="135">
        <f t="shared" si="146"/>
        <v>1</v>
      </c>
      <c r="AG54" s="31"/>
      <c r="AH54" s="134"/>
      <c r="AI54" s="135">
        <f t="shared" si="147"/>
        <v>1</v>
      </c>
      <c r="AJ54" s="29"/>
      <c r="AK54" s="134"/>
      <c r="AL54" s="135">
        <f t="shared" si="148"/>
        <v>1</v>
      </c>
      <c r="AM54" s="31"/>
      <c r="AN54" s="134"/>
      <c r="AO54" s="135">
        <f t="shared" si="149"/>
        <v>1</v>
      </c>
      <c r="AP54" s="31"/>
      <c r="AQ54" s="134"/>
      <c r="AR54" s="135">
        <f t="shared" si="150"/>
        <v>1</v>
      </c>
      <c r="AS54" s="31"/>
      <c r="AT54" s="134"/>
      <c r="AU54" s="135">
        <f t="shared" si="151"/>
        <v>1</v>
      </c>
      <c r="AV54" s="31"/>
      <c r="AW54" s="134"/>
      <c r="AX54" s="135">
        <f t="shared" si="152"/>
        <v>1</v>
      </c>
      <c r="AY54" s="31"/>
      <c r="AZ54" s="134"/>
      <c r="BA54" s="135">
        <f t="shared" si="153"/>
        <v>1</v>
      </c>
      <c r="BB54" s="31"/>
      <c r="BC54" s="134"/>
      <c r="BD54" s="135">
        <f t="shared" si="154"/>
        <v>1</v>
      </c>
      <c r="BE54" s="31"/>
      <c r="BF54" s="134"/>
      <c r="BG54" s="135">
        <f t="shared" si="155"/>
        <v>1</v>
      </c>
      <c r="BH54" s="134"/>
      <c r="BI54" s="26"/>
      <c r="BJ54" s="26"/>
      <c r="BK54" s="135">
        <f>IF($AA$54=0,1,BJ54/$AA$54-1)</f>
        <v>1</v>
      </c>
      <c r="BL54" s="135">
        <f t="shared" si="24"/>
        <v>1</v>
      </c>
      <c r="BM54" s="167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</row>
    <row r="55" spans="1:206" s="64" customFormat="1" ht="18" customHeight="1">
      <c r="A55" s="290" t="s">
        <v>131</v>
      </c>
      <c r="B55" s="291"/>
      <c r="C55" s="31"/>
      <c r="D55" s="134">
        <f t="shared" si="174"/>
        <v>0</v>
      </c>
      <c r="E55" s="31"/>
      <c r="F55" s="31"/>
      <c r="G55" s="134">
        <f t="shared" si="143"/>
        <v>0</v>
      </c>
      <c r="H55" s="31"/>
      <c r="I55" s="134">
        <f>G55+H55</f>
        <v>0</v>
      </c>
      <c r="J55" s="31"/>
      <c r="K55" s="134">
        <f>I55+J55</f>
        <v>0</v>
      </c>
      <c r="L55" s="31"/>
      <c r="M55" s="134">
        <f>K55+L55</f>
        <v>0</v>
      </c>
      <c r="N55" s="31"/>
      <c r="O55" s="134">
        <f>M55+N55</f>
        <v>0</v>
      </c>
      <c r="P55" s="31"/>
      <c r="Q55" s="134">
        <f>O55+P55</f>
        <v>0</v>
      </c>
      <c r="R55" s="31"/>
      <c r="S55" s="134">
        <f>Q55+R55</f>
        <v>0</v>
      </c>
      <c r="T55" s="31"/>
      <c r="U55" s="134">
        <f>S55+T55</f>
        <v>0</v>
      </c>
      <c r="V55" s="31"/>
      <c r="W55" s="134">
        <f>U55+V55</f>
        <v>0</v>
      </c>
      <c r="X55" s="31"/>
      <c r="Y55" s="134">
        <f>W55+X55</f>
        <v>0</v>
      </c>
      <c r="Z55" s="31"/>
      <c r="AA55" s="31"/>
      <c r="AB55" s="135">
        <f t="shared" si="145"/>
        <v>1</v>
      </c>
      <c r="AC55" s="31"/>
      <c r="AD55" s="31"/>
      <c r="AE55" s="134">
        <f t="shared" si="160"/>
        <v>0</v>
      </c>
      <c r="AF55" s="135">
        <f t="shared" si="146"/>
        <v>1</v>
      </c>
      <c r="AG55" s="31"/>
      <c r="AH55" s="134">
        <f>AE55+AG55</f>
        <v>0</v>
      </c>
      <c r="AI55" s="135">
        <f t="shared" si="147"/>
        <v>1</v>
      </c>
      <c r="AJ55" s="29"/>
      <c r="AK55" s="134">
        <f>AH55+AJ55</f>
        <v>0</v>
      </c>
      <c r="AL55" s="135">
        <f t="shared" si="148"/>
        <v>1</v>
      </c>
      <c r="AM55" s="31"/>
      <c r="AN55" s="134">
        <f>AK55+AM55</f>
        <v>0</v>
      </c>
      <c r="AO55" s="135">
        <f t="shared" si="149"/>
        <v>1</v>
      </c>
      <c r="AP55" s="31"/>
      <c r="AQ55" s="134">
        <f>AN55+AP55</f>
        <v>0</v>
      </c>
      <c r="AR55" s="135">
        <f t="shared" si="150"/>
        <v>1</v>
      </c>
      <c r="AS55" s="31"/>
      <c r="AT55" s="134">
        <f>AQ55+AS55</f>
        <v>0</v>
      </c>
      <c r="AU55" s="135">
        <f t="shared" si="151"/>
        <v>1</v>
      </c>
      <c r="AV55" s="31"/>
      <c r="AW55" s="134">
        <f>AT55+AV55</f>
        <v>0</v>
      </c>
      <c r="AX55" s="135">
        <f t="shared" si="152"/>
        <v>1</v>
      </c>
      <c r="AY55" s="31"/>
      <c r="AZ55" s="134">
        <f>AW55+AY55</f>
        <v>0</v>
      </c>
      <c r="BA55" s="135">
        <f t="shared" si="153"/>
        <v>1</v>
      </c>
      <c r="BB55" s="31"/>
      <c r="BC55" s="134">
        <f>AZ55+BB55</f>
        <v>0</v>
      </c>
      <c r="BD55" s="135">
        <f t="shared" si="154"/>
        <v>1</v>
      </c>
      <c r="BE55" s="31"/>
      <c r="BF55" s="134">
        <f>BC55+BE55</f>
        <v>0</v>
      </c>
      <c r="BG55" s="135">
        <f t="shared" si="155"/>
        <v>1</v>
      </c>
      <c r="BH55" s="134"/>
      <c r="BI55" s="26"/>
      <c r="BJ55" s="26"/>
      <c r="BK55" s="135">
        <f>IF($AA$55=0,1,BJ55/$AA$55-1)</f>
        <v>1</v>
      </c>
      <c r="BL55" s="135">
        <f t="shared" si="24"/>
        <v>1</v>
      </c>
      <c r="BM55" s="167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</row>
    <row r="56" spans="1:206" s="64" customFormat="1" ht="18" customHeight="1">
      <c r="A56" s="290" t="s">
        <v>109</v>
      </c>
      <c r="B56" s="291"/>
      <c r="C56" s="31"/>
      <c r="D56" s="134">
        <f t="shared" si="174"/>
        <v>0</v>
      </c>
      <c r="E56" s="31"/>
      <c r="F56" s="31"/>
      <c r="G56" s="134">
        <f t="shared" si="143"/>
        <v>0</v>
      </c>
      <c r="H56" s="31"/>
      <c r="I56" s="134">
        <f>G56+H56</f>
        <v>0</v>
      </c>
      <c r="J56" s="31"/>
      <c r="K56" s="134">
        <f>I56+J56</f>
        <v>0</v>
      </c>
      <c r="L56" s="31"/>
      <c r="M56" s="134">
        <f>K56+L56</f>
        <v>0</v>
      </c>
      <c r="N56" s="31"/>
      <c r="O56" s="134">
        <f>M56+N56</f>
        <v>0</v>
      </c>
      <c r="P56" s="31"/>
      <c r="Q56" s="134">
        <f>O56+P56</f>
        <v>0</v>
      </c>
      <c r="R56" s="31"/>
      <c r="S56" s="134">
        <f>Q56+R56</f>
        <v>0</v>
      </c>
      <c r="T56" s="31"/>
      <c r="U56" s="134">
        <f>S56+T56</f>
        <v>0</v>
      </c>
      <c r="V56" s="31"/>
      <c r="W56" s="134">
        <f>U56+V56</f>
        <v>0</v>
      </c>
      <c r="X56" s="31"/>
      <c r="Y56" s="134">
        <f>W56+X56</f>
        <v>0</v>
      </c>
      <c r="Z56" s="31"/>
      <c r="AA56" s="31"/>
      <c r="AB56" s="135">
        <f t="shared" si="145"/>
        <v>1</v>
      </c>
      <c r="AC56" s="31"/>
      <c r="AD56" s="31"/>
      <c r="AE56" s="134">
        <f t="shared" si="160"/>
        <v>0</v>
      </c>
      <c r="AF56" s="135">
        <f t="shared" si="146"/>
        <v>1</v>
      </c>
      <c r="AG56" s="31"/>
      <c r="AH56" s="134">
        <f>AE56+AG56</f>
        <v>0</v>
      </c>
      <c r="AI56" s="135">
        <f t="shared" si="147"/>
        <v>1</v>
      </c>
      <c r="AJ56" s="29"/>
      <c r="AK56" s="134">
        <f>AH56+AJ56</f>
        <v>0</v>
      </c>
      <c r="AL56" s="135">
        <f t="shared" si="148"/>
        <v>1</v>
      </c>
      <c r="AM56" s="31"/>
      <c r="AN56" s="134">
        <f>AK56+AM56</f>
        <v>0</v>
      </c>
      <c r="AO56" s="135">
        <f t="shared" si="149"/>
        <v>1</v>
      </c>
      <c r="AP56" s="31"/>
      <c r="AQ56" s="134">
        <f>AN56+AP56</f>
        <v>0</v>
      </c>
      <c r="AR56" s="135">
        <f t="shared" si="150"/>
        <v>1</v>
      </c>
      <c r="AS56" s="31"/>
      <c r="AT56" s="134">
        <f>AQ56+AS56</f>
        <v>0</v>
      </c>
      <c r="AU56" s="135">
        <f t="shared" si="151"/>
        <v>1</v>
      </c>
      <c r="AV56" s="31"/>
      <c r="AW56" s="134">
        <f>AT56+AV56</f>
        <v>0</v>
      </c>
      <c r="AX56" s="135">
        <f t="shared" si="152"/>
        <v>1</v>
      </c>
      <c r="AY56" s="31"/>
      <c r="AZ56" s="134">
        <f>AW56+AY56</f>
        <v>0</v>
      </c>
      <c r="BA56" s="135">
        <f t="shared" si="153"/>
        <v>1</v>
      </c>
      <c r="BB56" s="31"/>
      <c r="BC56" s="134">
        <f>AZ56+BB56</f>
        <v>0</v>
      </c>
      <c r="BD56" s="135">
        <f t="shared" si="154"/>
        <v>1</v>
      </c>
      <c r="BE56" s="31"/>
      <c r="BF56" s="134">
        <f>BC56+BE56</f>
        <v>0</v>
      </c>
      <c r="BG56" s="135">
        <f t="shared" si="155"/>
        <v>1</v>
      </c>
      <c r="BH56" s="134"/>
      <c r="BI56" s="26"/>
      <c r="BJ56" s="26"/>
      <c r="BK56" s="135">
        <f>IF($AA$56=0,1,BJ56/$AA$56-1)</f>
        <v>1</v>
      </c>
      <c r="BL56" s="135">
        <f t="shared" si="24"/>
        <v>1</v>
      </c>
      <c r="BM56" s="167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</row>
    <row r="57" spans="1:206" s="64" customFormat="1" ht="18" customHeight="1">
      <c r="A57" s="290" t="s">
        <v>119</v>
      </c>
      <c r="B57" s="291"/>
      <c r="C57" s="29"/>
      <c r="D57" s="134">
        <f t="shared" si="174"/>
        <v>0</v>
      </c>
      <c r="E57" s="31"/>
      <c r="F57" s="31"/>
      <c r="G57" s="134">
        <f t="shared" si="143"/>
        <v>0</v>
      </c>
      <c r="H57" s="31"/>
      <c r="I57" s="134"/>
      <c r="J57" s="31"/>
      <c r="K57" s="134"/>
      <c r="L57" s="31"/>
      <c r="M57" s="134"/>
      <c r="N57" s="31"/>
      <c r="O57" s="134"/>
      <c r="P57" s="31"/>
      <c r="Q57" s="134"/>
      <c r="R57" s="31"/>
      <c r="S57" s="134"/>
      <c r="T57" s="31"/>
      <c r="U57" s="134"/>
      <c r="V57" s="31"/>
      <c r="W57" s="134"/>
      <c r="X57" s="31"/>
      <c r="Y57" s="134"/>
      <c r="Z57" s="31"/>
      <c r="AA57" s="31"/>
      <c r="AB57" s="135">
        <f t="shared" si="145"/>
        <v>1</v>
      </c>
      <c r="AC57" s="31"/>
      <c r="AD57" s="31"/>
      <c r="AE57" s="134">
        <f t="shared" si="160"/>
        <v>0</v>
      </c>
      <c r="AF57" s="135">
        <f t="shared" si="146"/>
        <v>1</v>
      </c>
      <c r="AG57" s="31"/>
      <c r="AH57" s="134"/>
      <c r="AI57" s="135">
        <f t="shared" si="147"/>
        <v>1</v>
      </c>
      <c r="AJ57" s="29"/>
      <c r="AK57" s="134"/>
      <c r="AL57" s="135">
        <f t="shared" si="148"/>
        <v>1</v>
      </c>
      <c r="AM57" s="31"/>
      <c r="AN57" s="134"/>
      <c r="AO57" s="135">
        <f t="shared" si="149"/>
        <v>1</v>
      </c>
      <c r="AP57" s="31"/>
      <c r="AQ57" s="134"/>
      <c r="AR57" s="135">
        <f t="shared" si="150"/>
        <v>1</v>
      </c>
      <c r="AS57" s="31"/>
      <c r="AT57" s="134"/>
      <c r="AU57" s="135">
        <f t="shared" si="151"/>
        <v>1</v>
      </c>
      <c r="AV57" s="31"/>
      <c r="AW57" s="134"/>
      <c r="AX57" s="135">
        <f t="shared" si="152"/>
        <v>1</v>
      </c>
      <c r="AY57" s="31"/>
      <c r="AZ57" s="134"/>
      <c r="BA57" s="135">
        <f t="shared" si="153"/>
        <v>1</v>
      </c>
      <c r="BB57" s="31"/>
      <c r="BC57" s="134"/>
      <c r="BD57" s="135">
        <f t="shared" si="154"/>
        <v>1</v>
      </c>
      <c r="BE57" s="31"/>
      <c r="BF57" s="134"/>
      <c r="BG57" s="135">
        <f t="shared" si="155"/>
        <v>1</v>
      </c>
      <c r="BH57" s="134"/>
      <c r="BI57" s="26"/>
      <c r="BJ57" s="26"/>
      <c r="BK57" s="135">
        <f>IF($AA$57=0,1,BJ57/$AA$57-1)</f>
        <v>1</v>
      </c>
      <c r="BL57" s="135">
        <f t="shared" si="24"/>
        <v>1</v>
      </c>
      <c r="BM57" s="167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</row>
    <row r="58" spans="1:206" s="64" customFormat="1" ht="18" customHeight="1">
      <c r="A58" s="290" t="s">
        <v>120</v>
      </c>
      <c r="B58" s="291"/>
      <c r="C58" s="31"/>
      <c r="D58" s="134">
        <f t="shared" si="174"/>
        <v>0</v>
      </c>
      <c r="E58" s="31"/>
      <c r="F58" s="31"/>
      <c r="G58" s="134">
        <f t="shared" si="143"/>
        <v>0</v>
      </c>
      <c r="H58" s="31"/>
      <c r="I58" s="134">
        <f>G58+H58</f>
        <v>0</v>
      </c>
      <c r="J58" s="31"/>
      <c r="K58" s="134">
        <f>I58+J58</f>
        <v>0</v>
      </c>
      <c r="L58" s="31"/>
      <c r="M58" s="134">
        <f>K58+L58</f>
        <v>0</v>
      </c>
      <c r="N58" s="31"/>
      <c r="O58" s="134">
        <f>M58+N58</f>
        <v>0</v>
      </c>
      <c r="P58" s="31"/>
      <c r="Q58" s="134">
        <f>O58+P58</f>
        <v>0</v>
      </c>
      <c r="R58" s="31"/>
      <c r="S58" s="134">
        <f>Q58+R58</f>
        <v>0</v>
      </c>
      <c r="T58" s="31"/>
      <c r="U58" s="134">
        <f>S58+T58</f>
        <v>0</v>
      </c>
      <c r="V58" s="31"/>
      <c r="W58" s="134">
        <f>U58+V58</f>
        <v>0</v>
      </c>
      <c r="X58" s="31"/>
      <c r="Y58" s="134">
        <f>W58+X58</f>
        <v>0</v>
      </c>
      <c r="Z58" s="31"/>
      <c r="AA58" s="31"/>
      <c r="AB58" s="135">
        <f t="shared" si="145"/>
        <v>1</v>
      </c>
      <c r="AC58" s="31"/>
      <c r="AD58" s="31"/>
      <c r="AE58" s="134">
        <f t="shared" si="160"/>
        <v>0</v>
      </c>
      <c r="AF58" s="135">
        <f t="shared" si="146"/>
        <v>1</v>
      </c>
      <c r="AG58" s="31"/>
      <c r="AH58" s="134">
        <f>AE58+AG58</f>
        <v>0</v>
      </c>
      <c r="AI58" s="135">
        <f t="shared" si="147"/>
        <v>1</v>
      </c>
      <c r="AJ58" s="29"/>
      <c r="AK58" s="134">
        <f>AH58+AJ58</f>
        <v>0</v>
      </c>
      <c r="AL58" s="135">
        <f t="shared" si="148"/>
        <v>1</v>
      </c>
      <c r="AM58" s="31"/>
      <c r="AN58" s="134">
        <f>AK58+AM58</f>
        <v>0</v>
      </c>
      <c r="AO58" s="135">
        <f t="shared" si="149"/>
        <v>1</v>
      </c>
      <c r="AP58" s="31"/>
      <c r="AQ58" s="134">
        <f>AN58+AP58</f>
        <v>0</v>
      </c>
      <c r="AR58" s="135">
        <f t="shared" si="150"/>
        <v>1</v>
      </c>
      <c r="AS58" s="31"/>
      <c r="AT58" s="134">
        <f>AQ58+AS58</f>
        <v>0</v>
      </c>
      <c r="AU58" s="135">
        <f t="shared" si="151"/>
        <v>1</v>
      </c>
      <c r="AV58" s="31"/>
      <c r="AW58" s="134">
        <f>AT58+AV58</f>
        <v>0</v>
      </c>
      <c r="AX58" s="135">
        <f t="shared" si="152"/>
        <v>1</v>
      </c>
      <c r="AY58" s="31"/>
      <c r="AZ58" s="134">
        <f>AW58+AY58</f>
        <v>0</v>
      </c>
      <c r="BA58" s="135">
        <f t="shared" si="153"/>
        <v>1</v>
      </c>
      <c r="BB58" s="31"/>
      <c r="BC58" s="134">
        <f>AZ58+BB58</f>
        <v>0</v>
      </c>
      <c r="BD58" s="135">
        <f t="shared" si="154"/>
        <v>1</v>
      </c>
      <c r="BE58" s="31"/>
      <c r="BF58" s="134">
        <f>BC58+BE58</f>
        <v>0</v>
      </c>
      <c r="BG58" s="135">
        <f t="shared" si="155"/>
        <v>1</v>
      </c>
      <c r="BH58" s="134"/>
      <c r="BI58" s="26"/>
      <c r="BJ58" s="26"/>
      <c r="BK58" s="135">
        <f>IF($AA$58=0,1,BJ58/$AA$58-1)</f>
        <v>1</v>
      </c>
      <c r="BL58" s="135">
        <f t="shared" si="24"/>
        <v>1</v>
      </c>
      <c r="BM58" s="167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</row>
    <row r="59" spans="1:206" s="64" customFormat="1" ht="18" customHeight="1">
      <c r="A59" s="290" t="s">
        <v>121</v>
      </c>
      <c r="B59" s="291"/>
      <c r="C59" s="29"/>
      <c r="D59" s="134">
        <f t="shared" si="174"/>
        <v>0</v>
      </c>
      <c r="E59" s="31"/>
      <c r="F59" s="31"/>
      <c r="G59" s="134">
        <f t="shared" si="143"/>
        <v>0</v>
      </c>
      <c r="H59" s="31"/>
      <c r="I59" s="134"/>
      <c r="J59" s="31"/>
      <c r="K59" s="134"/>
      <c r="L59" s="31"/>
      <c r="M59" s="134"/>
      <c r="N59" s="31"/>
      <c r="O59" s="134"/>
      <c r="P59" s="31"/>
      <c r="Q59" s="134"/>
      <c r="R59" s="31"/>
      <c r="S59" s="134"/>
      <c r="T59" s="31"/>
      <c r="U59" s="134"/>
      <c r="V59" s="31"/>
      <c r="W59" s="134"/>
      <c r="X59" s="31"/>
      <c r="Y59" s="134"/>
      <c r="Z59" s="31"/>
      <c r="AA59" s="31"/>
      <c r="AB59" s="135">
        <f t="shared" si="145"/>
        <v>1</v>
      </c>
      <c r="AC59" s="31"/>
      <c r="AD59" s="31"/>
      <c r="AE59" s="134">
        <f t="shared" si="160"/>
        <v>0</v>
      </c>
      <c r="AF59" s="135">
        <f t="shared" si="146"/>
        <v>1</v>
      </c>
      <c r="AG59" s="31"/>
      <c r="AH59" s="134"/>
      <c r="AI59" s="135">
        <f t="shared" si="147"/>
        <v>1</v>
      </c>
      <c r="AJ59" s="29"/>
      <c r="AK59" s="134"/>
      <c r="AL59" s="135">
        <f t="shared" si="148"/>
        <v>1</v>
      </c>
      <c r="AM59" s="31"/>
      <c r="AN59" s="134"/>
      <c r="AO59" s="135">
        <f t="shared" si="149"/>
        <v>1</v>
      </c>
      <c r="AP59" s="31"/>
      <c r="AQ59" s="134"/>
      <c r="AR59" s="135">
        <f t="shared" si="150"/>
        <v>1</v>
      </c>
      <c r="AS59" s="31"/>
      <c r="AT59" s="134"/>
      <c r="AU59" s="135">
        <f t="shared" si="151"/>
        <v>1</v>
      </c>
      <c r="AV59" s="31"/>
      <c r="AW59" s="134"/>
      <c r="AX59" s="135">
        <f t="shared" si="152"/>
        <v>1</v>
      </c>
      <c r="AY59" s="31"/>
      <c r="AZ59" s="134"/>
      <c r="BA59" s="135">
        <f t="shared" si="153"/>
        <v>1</v>
      </c>
      <c r="BB59" s="31"/>
      <c r="BC59" s="134"/>
      <c r="BD59" s="135">
        <f t="shared" si="154"/>
        <v>1</v>
      </c>
      <c r="BE59" s="31"/>
      <c r="BF59" s="134"/>
      <c r="BG59" s="135">
        <f t="shared" si="155"/>
        <v>1</v>
      </c>
      <c r="BH59" s="134"/>
      <c r="BI59" s="26"/>
      <c r="BJ59" s="26"/>
      <c r="BK59" s="135">
        <f>IF($AA$59=0,1,BJ59/$AA$59-1)</f>
        <v>1</v>
      </c>
      <c r="BL59" s="135">
        <f t="shared" si="24"/>
        <v>1</v>
      </c>
      <c r="BM59" s="167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</row>
    <row r="60" spans="1:206" s="64" customFormat="1" ht="18" customHeight="1">
      <c r="A60" s="290" t="s">
        <v>122</v>
      </c>
      <c r="B60" s="291"/>
      <c r="C60" s="29"/>
      <c r="D60" s="134">
        <f t="shared" si="174"/>
        <v>0</v>
      </c>
      <c r="E60" s="31"/>
      <c r="F60" s="31"/>
      <c r="G60" s="134">
        <f t="shared" si="143"/>
        <v>0</v>
      </c>
      <c r="H60" s="31"/>
      <c r="I60" s="134"/>
      <c r="J60" s="31"/>
      <c r="K60" s="134"/>
      <c r="L60" s="31"/>
      <c r="M60" s="134"/>
      <c r="N60" s="31"/>
      <c r="O60" s="134"/>
      <c r="P60" s="31"/>
      <c r="Q60" s="134"/>
      <c r="R60" s="31"/>
      <c r="S60" s="134"/>
      <c r="T60" s="31"/>
      <c r="U60" s="134"/>
      <c r="V60" s="31"/>
      <c r="W60" s="134"/>
      <c r="X60" s="31"/>
      <c r="Y60" s="134"/>
      <c r="Z60" s="31"/>
      <c r="AA60" s="31"/>
      <c r="AB60" s="135">
        <f t="shared" si="145"/>
        <v>1</v>
      </c>
      <c r="AC60" s="31"/>
      <c r="AD60" s="31"/>
      <c r="AE60" s="134">
        <f t="shared" si="160"/>
        <v>0</v>
      </c>
      <c r="AF60" s="135">
        <f t="shared" si="146"/>
        <v>1</v>
      </c>
      <c r="AG60" s="31"/>
      <c r="AH60" s="134"/>
      <c r="AI60" s="135">
        <f t="shared" si="147"/>
        <v>1</v>
      </c>
      <c r="AJ60" s="29"/>
      <c r="AK60" s="134"/>
      <c r="AL60" s="135">
        <f t="shared" si="148"/>
        <v>1</v>
      </c>
      <c r="AM60" s="31"/>
      <c r="AN60" s="134"/>
      <c r="AO60" s="135">
        <f t="shared" si="149"/>
        <v>1</v>
      </c>
      <c r="AP60" s="31"/>
      <c r="AQ60" s="134"/>
      <c r="AR60" s="135">
        <f t="shared" si="150"/>
        <v>1</v>
      </c>
      <c r="AS60" s="31"/>
      <c r="AT60" s="134"/>
      <c r="AU60" s="135">
        <f t="shared" si="151"/>
        <v>1</v>
      </c>
      <c r="AV60" s="31"/>
      <c r="AW60" s="134"/>
      <c r="AX60" s="135">
        <f t="shared" si="152"/>
        <v>1</v>
      </c>
      <c r="AY60" s="31"/>
      <c r="AZ60" s="134"/>
      <c r="BA60" s="135">
        <f t="shared" si="153"/>
        <v>1</v>
      </c>
      <c r="BB60" s="31"/>
      <c r="BC60" s="134"/>
      <c r="BD60" s="135">
        <f t="shared" si="154"/>
        <v>1</v>
      </c>
      <c r="BE60" s="31"/>
      <c r="BF60" s="134"/>
      <c r="BG60" s="135">
        <f t="shared" si="155"/>
        <v>1</v>
      </c>
      <c r="BH60" s="134"/>
      <c r="BI60" s="26"/>
      <c r="BJ60" s="26"/>
      <c r="BK60" s="135">
        <f>IF($AA$60=0,1,BJ60/$AA$60-1)</f>
        <v>1</v>
      </c>
      <c r="BL60" s="135">
        <f t="shared" si="24"/>
        <v>1</v>
      </c>
      <c r="BM60" s="167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</row>
    <row r="61" spans="1:206" s="64" customFormat="1" ht="18" customHeight="1">
      <c r="A61" s="290" t="s">
        <v>123</v>
      </c>
      <c r="B61" s="291"/>
      <c r="C61" s="31"/>
      <c r="D61" s="134">
        <f t="shared" si="174"/>
        <v>0</v>
      </c>
      <c r="E61" s="31"/>
      <c r="F61" s="31"/>
      <c r="G61" s="134">
        <f t="shared" si="143"/>
        <v>0</v>
      </c>
      <c r="H61" s="31"/>
      <c r="I61" s="134">
        <f>G61+H61</f>
        <v>0</v>
      </c>
      <c r="J61" s="31"/>
      <c r="K61" s="134">
        <f>I61+J61</f>
        <v>0</v>
      </c>
      <c r="L61" s="31"/>
      <c r="M61" s="134">
        <f>K61+L61</f>
        <v>0</v>
      </c>
      <c r="N61" s="31"/>
      <c r="O61" s="134">
        <f>M61+N61</f>
        <v>0</v>
      </c>
      <c r="P61" s="31"/>
      <c r="Q61" s="134">
        <f>O61+P61</f>
        <v>0</v>
      </c>
      <c r="R61" s="31"/>
      <c r="S61" s="134">
        <f>Q61+R61</f>
        <v>0</v>
      </c>
      <c r="T61" s="31"/>
      <c r="U61" s="134">
        <f>S61+T61</f>
        <v>0</v>
      </c>
      <c r="V61" s="31"/>
      <c r="W61" s="134">
        <f>U61+V61</f>
        <v>0</v>
      </c>
      <c r="X61" s="31"/>
      <c r="Y61" s="134">
        <f>W61+X61</f>
        <v>0</v>
      </c>
      <c r="Z61" s="31"/>
      <c r="AA61" s="31"/>
      <c r="AB61" s="135">
        <f t="shared" si="145"/>
        <v>1</v>
      </c>
      <c r="AC61" s="31"/>
      <c r="AD61" s="31"/>
      <c r="AE61" s="134">
        <f t="shared" si="160"/>
        <v>0</v>
      </c>
      <c r="AF61" s="135">
        <f t="shared" si="146"/>
        <v>1</v>
      </c>
      <c r="AG61" s="31"/>
      <c r="AH61" s="134">
        <f>AE61+AG61</f>
        <v>0</v>
      </c>
      <c r="AI61" s="135">
        <f t="shared" si="147"/>
        <v>1</v>
      </c>
      <c r="AJ61" s="29"/>
      <c r="AK61" s="134">
        <f>AH61+AJ61</f>
        <v>0</v>
      </c>
      <c r="AL61" s="135">
        <f t="shared" si="148"/>
        <v>1</v>
      </c>
      <c r="AM61" s="31"/>
      <c r="AN61" s="134">
        <f>AK61+AM61</f>
        <v>0</v>
      </c>
      <c r="AO61" s="135">
        <f t="shared" si="149"/>
        <v>1</v>
      </c>
      <c r="AP61" s="31"/>
      <c r="AQ61" s="134">
        <f>AN61+AP61</f>
        <v>0</v>
      </c>
      <c r="AR61" s="135">
        <f t="shared" si="150"/>
        <v>1</v>
      </c>
      <c r="AS61" s="31"/>
      <c r="AT61" s="134">
        <f>AQ61+AS61</f>
        <v>0</v>
      </c>
      <c r="AU61" s="135">
        <f t="shared" si="151"/>
        <v>1</v>
      </c>
      <c r="AV61" s="31"/>
      <c r="AW61" s="134">
        <f>AT61+AV61</f>
        <v>0</v>
      </c>
      <c r="AX61" s="135">
        <f t="shared" si="152"/>
        <v>1</v>
      </c>
      <c r="AY61" s="31"/>
      <c r="AZ61" s="134">
        <f>AW61+AY61</f>
        <v>0</v>
      </c>
      <c r="BA61" s="135">
        <f t="shared" si="153"/>
        <v>1</v>
      </c>
      <c r="BB61" s="31"/>
      <c r="BC61" s="134">
        <f>AZ61+BB61</f>
        <v>0</v>
      </c>
      <c r="BD61" s="135">
        <f t="shared" si="154"/>
        <v>1</v>
      </c>
      <c r="BE61" s="31"/>
      <c r="BF61" s="134">
        <f>BC61+BE61</f>
        <v>0</v>
      </c>
      <c r="BG61" s="135">
        <f t="shared" si="155"/>
        <v>1</v>
      </c>
      <c r="BH61" s="134"/>
      <c r="BI61" s="26"/>
      <c r="BJ61" s="26"/>
      <c r="BK61" s="135">
        <f>IF($AA$61=0,1,BJ61/$AA$61-1)</f>
        <v>1</v>
      </c>
      <c r="BL61" s="135">
        <f t="shared" si="24"/>
        <v>1</v>
      </c>
      <c r="BM61" s="167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</row>
    <row r="62" spans="1:206" s="64" customFormat="1" ht="18" customHeight="1">
      <c r="A62" s="290" t="s">
        <v>124</v>
      </c>
      <c r="B62" s="291"/>
      <c r="C62" s="29"/>
      <c r="D62" s="134">
        <f t="shared" si="174"/>
        <v>0</v>
      </c>
      <c r="E62" s="31"/>
      <c r="F62" s="31"/>
      <c r="G62" s="134">
        <f t="shared" si="143"/>
        <v>0</v>
      </c>
      <c r="H62" s="31"/>
      <c r="I62" s="134"/>
      <c r="J62" s="31"/>
      <c r="K62" s="134"/>
      <c r="L62" s="31"/>
      <c r="M62" s="134"/>
      <c r="N62" s="31"/>
      <c r="O62" s="134"/>
      <c r="P62" s="31"/>
      <c r="Q62" s="134"/>
      <c r="R62" s="31"/>
      <c r="S62" s="134"/>
      <c r="T62" s="31"/>
      <c r="U62" s="134"/>
      <c r="V62" s="31"/>
      <c r="W62" s="134"/>
      <c r="X62" s="31"/>
      <c r="Y62" s="134"/>
      <c r="Z62" s="31"/>
      <c r="AA62" s="31"/>
      <c r="AB62" s="135">
        <f t="shared" si="145"/>
        <v>1</v>
      </c>
      <c r="AC62" s="31"/>
      <c r="AD62" s="31"/>
      <c r="AE62" s="134">
        <f t="shared" si="160"/>
        <v>0</v>
      </c>
      <c r="AF62" s="135">
        <f t="shared" si="146"/>
        <v>1</v>
      </c>
      <c r="AG62" s="31"/>
      <c r="AH62" s="134"/>
      <c r="AI62" s="135">
        <f t="shared" si="147"/>
        <v>1</v>
      </c>
      <c r="AJ62" s="29"/>
      <c r="AK62" s="134"/>
      <c r="AL62" s="135">
        <f t="shared" si="148"/>
        <v>1</v>
      </c>
      <c r="AM62" s="31"/>
      <c r="AN62" s="134"/>
      <c r="AO62" s="135">
        <f t="shared" si="149"/>
        <v>1</v>
      </c>
      <c r="AP62" s="31"/>
      <c r="AQ62" s="134"/>
      <c r="AR62" s="135">
        <f t="shared" si="150"/>
        <v>1</v>
      </c>
      <c r="AS62" s="31"/>
      <c r="AT62" s="134"/>
      <c r="AU62" s="135">
        <f t="shared" si="151"/>
        <v>1</v>
      </c>
      <c r="AV62" s="31"/>
      <c r="AW62" s="134"/>
      <c r="AX62" s="135">
        <f t="shared" si="152"/>
        <v>1</v>
      </c>
      <c r="AY62" s="31"/>
      <c r="AZ62" s="134"/>
      <c r="BA62" s="135">
        <f t="shared" si="153"/>
        <v>1</v>
      </c>
      <c r="BB62" s="31"/>
      <c r="BC62" s="134"/>
      <c r="BD62" s="135">
        <f t="shared" si="154"/>
        <v>1</v>
      </c>
      <c r="BE62" s="31"/>
      <c r="BF62" s="134"/>
      <c r="BG62" s="135">
        <f t="shared" si="155"/>
        <v>1</v>
      </c>
      <c r="BH62" s="134"/>
      <c r="BI62" s="26"/>
      <c r="BJ62" s="26"/>
      <c r="BK62" s="135">
        <f>IF($AA$62=0,1,BJ62/$AA$62-1)</f>
        <v>1</v>
      </c>
      <c r="BL62" s="135">
        <f t="shared" si="24"/>
        <v>1</v>
      </c>
      <c r="BM62" s="167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</row>
    <row r="63" spans="1:206" s="64" customFormat="1" ht="18.75" customHeight="1">
      <c r="A63" s="290" t="s">
        <v>133</v>
      </c>
      <c r="B63" s="291"/>
      <c r="C63" s="29"/>
      <c r="D63" s="134">
        <f t="shared" si="174"/>
        <v>0</v>
      </c>
      <c r="E63" s="31"/>
      <c r="F63" s="31"/>
      <c r="G63" s="134">
        <f t="shared" si="143"/>
        <v>0</v>
      </c>
      <c r="H63" s="31"/>
      <c r="I63" s="134"/>
      <c r="J63" s="31"/>
      <c r="K63" s="134"/>
      <c r="L63" s="31"/>
      <c r="M63" s="134"/>
      <c r="N63" s="31"/>
      <c r="O63" s="134"/>
      <c r="P63" s="31"/>
      <c r="Q63" s="134"/>
      <c r="R63" s="31"/>
      <c r="S63" s="134"/>
      <c r="T63" s="31"/>
      <c r="U63" s="134"/>
      <c r="V63" s="31"/>
      <c r="W63" s="134"/>
      <c r="X63" s="31"/>
      <c r="Y63" s="134"/>
      <c r="Z63" s="31"/>
      <c r="AA63" s="31"/>
      <c r="AB63" s="135">
        <f t="shared" si="145"/>
        <v>1</v>
      </c>
      <c r="AC63" s="31"/>
      <c r="AD63" s="31"/>
      <c r="AE63" s="134">
        <f t="shared" si="160"/>
        <v>0</v>
      </c>
      <c r="AF63" s="135">
        <f t="shared" si="146"/>
        <v>1</v>
      </c>
      <c r="AG63" s="31"/>
      <c r="AH63" s="134"/>
      <c r="AI63" s="135">
        <f t="shared" si="147"/>
        <v>1</v>
      </c>
      <c r="AJ63" s="29"/>
      <c r="AK63" s="134"/>
      <c r="AL63" s="135">
        <f t="shared" si="148"/>
        <v>1</v>
      </c>
      <c r="AM63" s="31"/>
      <c r="AN63" s="134"/>
      <c r="AO63" s="135">
        <f t="shared" si="149"/>
        <v>1</v>
      </c>
      <c r="AP63" s="31"/>
      <c r="AQ63" s="134"/>
      <c r="AR63" s="135">
        <f t="shared" si="150"/>
        <v>1</v>
      </c>
      <c r="AS63" s="31"/>
      <c r="AT63" s="134"/>
      <c r="AU63" s="135">
        <f t="shared" si="151"/>
        <v>1</v>
      </c>
      <c r="AV63" s="31"/>
      <c r="AW63" s="134"/>
      <c r="AX63" s="135">
        <f t="shared" si="152"/>
        <v>1</v>
      </c>
      <c r="AY63" s="31"/>
      <c r="AZ63" s="134"/>
      <c r="BA63" s="135">
        <f t="shared" si="153"/>
        <v>1</v>
      </c>
      <c r="BB63" s="31"/>
      <c r="BC63" s="134"/>
      <c r="BD63" s="135">
        <f t="shared" si="154"/>
        <v>1</v>
      </c>
      <c r="BE63" s="31"/>
      <c r="BF63" s="134"/>
      <c r="BG63" s="135">
        <f t="shared" si="155"/>
        <v>1</v>
      </c>
      <c r="BH63" s="134"/>
      <c r="BI63" s="26"/>
      <c r="BJ63" s="26"/>
      <c r="BK63" s="135">
        <f>IF($AA$63=0,1,BJ63/$AA$63-1)</f>
        <v>1</v>
      </c>
      <c r="BL63" s="135">
        <f t="shared" si="24"/>
        <v>1</v>
      </c>
      <c r="BM63" s="167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</row>
    <row r="64" spans="1:206" s="64" customFormat="1" ht="18.75" hidden="1" customHeight="1">
      <c r="A64" s="33"/>
      <c r="B64" s="174"/>
      <c r="C64" s="29"/>
      <c r="D64" s="134">
        <f t="shared" si="174"/>
        <v>0</v>
      </c>
      <c r="E64" s="31"/>
      <c r="F64" s="31"/>
      <c r="G64" s="134">
        <f t="shared" si="143"/>
        <v>0</v>
      </c>
      <c r="H64" s="31"/>
      <c r="I64" s="134"/>
      <c r="J64" s="31"/>
      <c r="K64" s="134"/>
      <c r="L64" s="31"/>
      <c r="M64" s="134"/>
      <c r="N64" s="31"/>
      <c r="O64" s="134"/>
      <c r="P64" s="31"/>
      <c r="Q64" s="134"/>
      <c r="R64" s="31"/>
      <c r="S64" s="134"/>
      <c r="T64" s="31"/>
      <c r="U64" s="134"/>
      <c r="V64" s="31"/>
      <c r="W64" s="134"/>
      <c r="X64" s="31"/>
      <c r="Y64" s="134"/>
      <c r="Z64" s="31"/>
      <c r="AA64" s="31"/>
      <c r="AB64" s="135">
        <f t="shared" si="145"/>
        <v>1</v>
      </c>
      <c r="AC64" s="31"/>
      <c r="AD64" s="31"/>
      <c r="AE64" s="134">
        <f t="shared" si="160"/>
        <v>0</v>
      </c>
      <c r="AF64" s="135">
        <f t="shared" si="146"/>
        <v>1</v>
      </c>
      <c r="AG64" s="31"/>
      <c r="AH64" s="134"/>
      <c r="AI64" s="135">
        <f t="shared" si="147"/>
        <v>1</v>
      </c>
      <c r="AJ64" s="29"/>
      <c r="AK64" s="134"/>
      <c r="AL64" s="135">
        <f t="shared" si="148"/>
        <v>1</v>
      </c>
      <c r="AM64" s="31"/>
      <c r="AN64" s="134"/>
      <c r="AO64" s="135">
        <f t="shared" si="149"/>
        <v>1</v>
      </c>
      <c r="AP64" s="31"/>
      <c r="AQ64" s="134"/>
      <c r="AR64" s="135">
        <f t="shared" si="150"/>
        <v>1</v>
      </c>
      <c r="AS64" s="31"/>
      <c r="AT64" s="134"/>
      <c r="AU64" s="135">
        <f t="shared" si="151"/>
        <v>1</v>
      </c>
      <c r="AV64" s="31"/>
      <c r="AW64" s="134"/>
      <c r="AX64" s="135">
        <f t="shared" si="152"/>
        <v>1</v>
      </c>
      <c r="AY64" s="31"/>
      <c r="AZ64" s="134"/>
      <c r="BA64" s="135">
        <f t="shared" si="153"/>
        <v>1</v>
      </c>
      <c r="BB64" s="31"/>
      <c r="BC64" s="134"/>
      <c r="BD64" s="135">
        <f t="shared" si="154"/>
        <v>1</v>
      </c>
      <c r="BE64" s="31"/>
      <c r="BF64" s="134"/>
      <c r="BG64" s="135">
        <f t="shared" si="155"/>
        <v>1</v>
      </c>
      <c r="BH64" s="134"/>
      <c r="BI64" s="134"/>
      <c r="BJ64" s="134"/>
      <c r="BK64" s="135">
        <f t="shared" ref="BK64:BK73" si="175">IF($AA$63=0,1,BJ64/$AA$63-1)</f>
        <v>1</v>
      </c>
      <c r="BL64" s="135">
        <f t="shared" ref="BL64:BL73" si="176">IF($D$63=0,1,BJ64/$D$63-1)</f>
        <v>1</v>
      </c>
      <c r="BM64" s="167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</row>
    <row r="65" spans="1:206" s="64" customFormat="1" ht="18.75" hidden="1" customHeight="1">
      <c r="A65" s="33"/>
      <c r="B65" s="174"/>
      <c r="C65" s="29"/>
      <c r="D65" s="134">
        <f t="shared" si="174"/>
        <v>0</v>
      </c>
      <c r="E65" s="31"/>
      <c r="F65" s="31"/>
      <c r="G65" s="134">
        <f t="shared" si="143"/>
        <v>0</v>
      </c>
      <c r="H65" s="31"/>
      <c r="I65" s="134"/>
      <c r="J65" s="31"/>
      <c r="K65" s="134"/>
      <c r="L65" s="31"/>
      <c r="M65" s="134"/>
      <c r="N65" s="31"/>
      <c r="O65" s="134"/>
      <c r="P65" s="31"/>
      <c r="Q65" s="134"/>
      <c r="R65" s="31"/>
      <c r="S65" s="134"/>
      <c r="T65" s="31"/>
      <c r="U65" s="134"/>
      <c r="V65" s="31"/>
      <c r="W65" s="134"/>
      <c r="X65" s="31"/>
      <c r="Y65" s="134"/>
      <c r="Z65" s="31"/>
      <c r="AA65" s="31"/>
      <c r="AB65" s="135">
        <f t="shared" si="145"/>
        <v>1</v>
      </c>
      <c r="AC65" s="31"/>
      <c r="AD65" s="31"/>
      <c r="AE65" s="134">
        <f t="shared" si="160"/>
        <v>0</v>
      </c>
      <c r="AF65" s="135">
        <f t="shared" si="146"/>
        <v>1</v>
      </c>
      <c r="AG65" s="31"/>
      <c r="AH65" s="134"/>
      <c r="AI65" s="135">
        <f t="shared" si="147"/>
        <v>1</v>
      </c>
      <c r="AJ65" s="29"/>
      <c r="AK65" s="134"/>
      <c r="AL65" s="135">
        <f t="shared" si="148"/>
        <v>1</v>
      </c>
      <c r="AM65" s="31"/>
      <c r="AN65" s="134"/>
      <c r="AO65" s="135">
        <f t="shared" si="149"/>
        <v>1</v>
      </c>
      <c r="AP65" s="31"/>
      <c r="AQ65" s="134"/>
      <c r="AR65" s="135">
        <f t="shared" si="150"/>
        <v>1</v>
      </c>
      <c r="AS65" s="31"/>
      <c r="AT65" s="134"/>
      <c r="AU65" s="135">
        <f t="shared" si="151"/>
        <v>1</v>
      </c>
      <c r="AV65" s="31"/>
      <c r="AW65" s="134"/>
      <c r="AX65" s="135">
        <f t="shared" si="152"/>
        <v>1</v>
      </c>
      <c r="AY65" s="31"/>
      <c r="AZ65" s="134"/>
      <c r="BA65" s="135">
        <f t="shared" si="153"/>
        <v>1</v>
      </c>
      <c r="BB65" s="31"/>
      <c r="BC65" s="134"/>
      <c r="BD65" s="135">
        <f t="shared" si="154"/>
        <v>1</v>
      </c>
      <c r="BE65" s="31"/>
      <c r="BF65" s="134"/>
      <c r="BG65" s="135">
        <f t="shared" si="155"/>
        <v>1</v>
      </c>
      <c r="BH65" s="134"/>
      <c r="BI65" s="134"/>
      <c r="BJ65" s="134"/>
      <c r="BK65" s="135">
        <f t="shared" si="175"/>
        <v>1</v>
      </c>
      <c r="BL65" s="135">
        <f t="shared" si="176"/>
        <v>1</v>
      </c>
      <c r="BM65" s="167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</row>
    <row r="66" spans="1:206" s="64" customFormat="1" ht="18.75" hidden="1" customHeight="1">
      <c r="A66" s="33"/>
      <c r="B66" s="174"/>
      <c r="C66" s="29"/>
      <c r="D66" s="134">
        <f t="shared" si="174"/>
        <v>0</v>
      </c>
      <c r="E66" s="31"/>
      <c r="F66" s="31"/>
      <c r="G66" s="134">
        <f t="shared" si="143"/>
        <v>0</v>
      </c>
      <c r="H66" s="31"/>
      <c r="I66" s="134"/>
      <c r="J66" s="31"/>
      <c r="K66" s="134"/>
      <c r="L66" s="31"/>
      <c r="M66" s="134"/>
      <c r="N66" s="31"/>
      <c r="O66" s="134"/>
      <c r="P66" s="31"/>
      <c r="Q66" s="134"/>
      <c r="R66" s="31"/>
      <c r="S66" s="134"/>
      <c r="T66" s="31"/>
      <c r="U66" s="134"/>
      <c r="V66" s="31"/>
      <c r="W66" s="134"/>
      <c r="X66" s="31"/>
      <c r="Y66" s="134"/>
      <c r="Z66" s="31"/>
      <c r="AA66" s="31"/>
      <c r="AB66" s="135">
        <f t="shared" si="145"/>
        <v>1</v>
      </c>
      <c r="AC66" s="31"/>
      <c r="AD66" s="31"/>
      <c r="AE66" s="134">
        <f t="shared" si="160"/>
        <v>0</v>
      </c>
      <c r="AF66" s="135">
        <f t="shared" si="146"/>
        <v>1</v>
      </c>
      <c r="AG66" s="31"/>
      <c r="AH66" s="134"/>
      <c r="AI66" s="135">
        <f t="shared" si="147"/>
        <v>1</v>
      </c>
      <c r="AJ66" s="29"/>
      <c r="AK66" s="134"/>
      <c r="AL66" s="135">
        <f t="shared" si="148"/>
        <v>1</v>
      </c>
      <c r="AM66" s="31"/>
      <c r="AN66" s="134"/>
      <c r="AO66" s="135">
        <f t="shared" si="149"/>
        <v>1</v>
      </c>
      <c r="AP66" s="31"/>
      <c r="AQ66" s="134"/>
      <c r="AR66" s="135">
        <f t="shared" si="150"/>
        <v>1</v>
      </c>
      <c r="AS66" s="31"/>
      <c r="AT66" s="134"/>
      <c r="AU66" s="135">
        <f t="shared" si="151"/>
        <v>1</v>
      </c>
      <c r="AV66" s="31"/>
      <c r="AW66" s="134"/>
      <c r="AX66" s="135">
        <f t="shared" si="152"/>
        <v>1</v>
      </c>
      <c r="AY66" s="31"/>
      <c r="AZ66" s="134"/>
      <c r="BA66" s="135">
        <f t="shared" si="153"/>
        <v>1</v>
      </c>
      <c r="BB66" s="31"/>
      <c r="BC66" s="134"/>
      <c r="BD66" s="135">
        <f t="shared" si="154"/>
        <v>1</v>
      </c>
      <c r="BE66" s="31"/>
      <c r="BF66" s="134"/>
      <c r="BG66" s="135">
        <f t="shared" si="155"/>
        <v>1</v>
      </c>
      <c r="BH66" s="134"/>
      <c r="BI66" s="134"/>
      <c r="BJ66" s="134"/>
      <c r="BK66" s="135">
        <f t="shared" si="175"/>
        <v>1</v>
      </c>
      <c r="BL66" s="135">
        <f t="shared" si="176"/>
        <v>1</v>
      </c>
      <c r="BM66" s="167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</row>
    <row r="67" spans="1:206" s="64" customFormat="1" ht="18.75" hidden="1" customHeight="1">
      <c r="A67" s="33"/>
      <c r="B67" s="174"/>
      <c r="C67" s="29"/>
      <c r="D67" s="134">
        <f t="shared" si="174"/>
        <v>0</v>
      </c>
      <c r="E67" s="31"/>
      <c r="F67" s="31"/>
      <c r="G67" s="134">
        <f t="shared" si="143"/>
        <v>0</v>
      </c>
      <c r="H67" s="31"/>
      <c r="I67" s="134"/>
      <c r="J67" s="31"/>
      <c r="K67" s="134"/>
      <c r="L67" s="31"/>
      <c r="M67" s="134"/>
      <c r="N67" s="31"/>
      <c r="O67" s="134"/>
      <c r="P67" s="31"/>
      <c r="Q67" s="134"/>
      <c r="R67" s="31"/>
      <c r="S67" s="134"/>
      <c r="T67" s="31"/>
      <c r="U67" s="134"/>
      <c r="V67" s="31"/>
      <c r="W67" s="134"/>
      <c r="X67" s="31"/>
      <c r="Y67" s="134"/>
      <c r="Z67" s="31"/>
      <c r="AA67" s="31"/>
      <c r="AB67" s="135">
        <f t="shared" si="145"/>
        <v>1</v>
      </c>
      <c r="AC67" s="31"/>
      <c r="AD67" s="31"/>
      <c r="AE67" s="134">
        <f t="shared" si="160"/>
        <v>0</v>
      </c>
      <c r="AF67" s="135">
        <f t="shared" si="146"/>
        <v>1</v>
      </c>
      <c r="AG67" s="31"/>
      <c r="AH67" s="134"/>
      <c r="AI67" s="135">
        <f t="shared" si="147"/>
        <v>1</v>
      </c>
      <c r="AJ67" s="29"/>
      <c r="AK67" s="134"/>
      <c r="AL67" s="135">
        <f t="shared" si="148"/>
        <v>1</v>
      </c>
      <c r="AM67" s="31"/>
      <c r="AN67" s="134"/>
      <c r="AO67" s="135">
        <f t="shared" si="149"/>
        <v>1</v>
      </c>
      <c r="AP67" s="31"/>
      <c r="AQ67" s="134"/>
      <c r="AR67" s="135">
        <f t="shared" si="150"/>
        <v>1</v>
      </c>
      <c r="AS67" s="31"/>
      <c r="AT67" s="134"/>
      <c r="AU67" s="135">
        <f t="shared" si="151"/>
        <v>1</v>
      </c>
      <c r="AV67" s="31"/>
      <c r="AW67" s="134"/>
      <c r="AX67" s="135">
        <f t="shared" si="152"/>
        <v>1</v>
      </c>
      <c r="AY67" s="31"/>
      <c r="AZ67" s="134"/>
      <c r="BA67" s="135">
        <f t="shared" si="153"/>
        <v>1</v>
      </c>
      <c r="BB67" s="31"/>
      <c r="BC67" s="134"/>
      <c r="BD67" s="135">
        <f t="shared" si="154"/>
        <v>1</v>
      </c>
      <c r="BE67" s="31"/>
      <c r="BF67" s="134"/>
      <c r="BG67" s="135">
        <f t="shared" si="155"/>
        <v>1</v>
      </c>
      <c r="BH67" s="134"/>
      <c r="BI67" s="134"/>
      <c r="BJ67" s="134"/>
      <c r="BK67" s="135">
        <f t="shared" si="175"/>
        <v>1</v>
      </c>
      <c r="BL67" s="135">
        <f t="shared" si="176"/>
        <v>1</v>
      </c>
      <c r="BM67" s="167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</row>
    <row r="68" spans="1:206" s="64" customFormat="1" ht="18.75" hidden="1" customHeight="1">
      <c r="A68" s="33"/>
      <c r="B68" s="174"/>
      <c r="C68" s="29"/>
      <c r="D68" s="134">
        <f t="shared" si="174"/>
        <v>0</v>
      </c>
      <c r="E68" s="31"/>
      <c r="F68" s="31"/>
      <c r="G68" s="134">
        <f t="shared" si="143"/>
        <v>0</v>
      </c>
      <c r="H68" s="31"/>
      <c r="I68" s="134"/>
      <c r="J68" s="31"/>
      <c r="K68" s="134"/>
      <c r="L68" s="31"/>
      <c r="M68" s="134"/>
      <c r="N68" s="31"/>
      <c r="O68" s="134"/>
      <c r="P68" s="31"/>
      <c r="Q68" s="134"/>
      <c r="R68" s="31"/>
      <c r="S68" s="134"/>
      <c r="T68" s="31"/>
      <c r="U68" s="134"/>
      <c r="V68" s="31"/>
      <c r="W68" s="134"/>
      <c r="X68" s="31"/>
      <c r="Y68" s="134"/>
      <c r="Z68" s="31"/>
      <c r="AA68" s="31"/>
      <c r="AB68" s="135">
        <f t="shared" si="145"/>
        <v>1</v>
      </c>
      <c r="AC68" s="31"/>
      <c r="AD68" s="31"/>
      <c r="AE68" s="134">
        <f t="shared" si="160"/>
        <v>0</v>
      </c>
      <c r="AF68" s="135">
        <f t="shared" si="146"/>
        <v>1</v>
      </c>
      <c r="AG68" s="31"/>
      <c r="AH68" s="134"/>
      <c r="AI68" s="135">
        <f t="shared" si="147"/>
        <v>1</v>
      </c>
      <c r="AJ68" s="29"/>
      <c r="AK68" s="134"/>
      <c r="AL68" s="135">
        <f t="shared" si="148"/>
        <v>1</v>
      </c>
      <c r="AM68" s="31"/>
      <c r="AN68" s="134"/>
      <c r="AO68" s="135">
        <f t="shared" si="149"/>
        <v>1</v>
      </c>
      <c r="AP68" s="31"/>
      <c r="AQ68" s="134"/>
      <c r="AR68" s="135">
        <f t="shared" si="150"/>
        <v>1</v>
      </c>
      <c r="AS68" s="31"/>
      <c r="AT68" s="134"/>
      <c r="AU68" s="135">
        <f t="shared" si="151"/>
        <v>1</v>
      </c>
      <c r="AV68" s="31"/>
      <c r="AW68" s="134"/>
      <c r="AX68" s="135">
        <f t="shared" si="152"/>
        <v>1</v>
      </c>
      <c r="AY68" s="31"/>
      <c r="AZ68" s="134"/>
      <c r="BA68" s="135">
        <f t="shared" si="153"/>
        <v>1</v>
      </c>
      <c r="BB68" s="31"/>
      <c r="BC68" s="134"/>
      <c r="BD68" s="135">
        <f t="shared" si="154"/>
        <v>1</v>
      </c>
      <c r="BE68" s="31"/>
      <c r="BF68" s="134"/>
      <c r="BG68" s="135">
        <f t="shared" si="155"/>
        <v>1</v>
      </c>
      <c r="BH68" s="134"/>
      <c r="BI68" s="134"/>
      <c r="BJ68" s="134"/>
      <c r="BK68" s="135">
        <f t="shared" si="175"/>
        <v>1</v>
      </c>
      <c r="BL68" s="135">
        <f t="shared" si="176"/>
        <v>1</v>
      </c>
      <c r="BM68" s="167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</row>
    <row r="69" spans="1:206" s="64" customFormat="1" ht="18.75" hidden="1" customHeight="1">
      <c r="A69" s="33"/>
      <c r="B69" s="174"/>
      <c r="C69" s="29"/>
      <c r="D69" s="134">
        <f t="shared" si="174"/>
        <v>0</v>
      </c>
      <c r="E69" s="31"/>
      <c r="F69" s="31"/>
      <c r="G69" s="134">
        <f t="shared" si="143"/>
        <v>0</v>
      </c>
      <c r="H69" s="31"/>
      <c r="I69" s="134"/>
      <c r="J69" s="31"/>
      <c r="K69" s="134"/>
      <c r="L69" s="31"/>
      <c r="M69" s="134"/>
      <c r="N69" s="31"/>
      <c r="O69" s="134"/>
      <c r="P69" s="31"/>
      <c r="Q69" s="134"/>
      <c r="R69" s="31"/>
      <c r="S69" s="134"/>
      <c r="T69" s="31"/>
      <c r="U69" s="134"/>
      <c r="V69" s="31"/>
      <c r="W69" s="134"/>
      <c r="X69" s="31"/>
      <c r="Y69" s="134"/>
      <c r="Z69" s="31"/>
      <c r="AA69" s="31"/>
      <c r="AB69" s="135">
        <f t="shared" si="145"/>
        <v>1</v>
      </c>
      <c r="AC69" s="31"/>
      <c r="AD69" s="31"/>
      <c r="AE69" s="134">
        <f t="shared" si="160"/>
        <v>0</v>
      </c>
      <c r="AF69" s="135">
        <f t="shared" si="146"/>
        <v>1</v>
      </c>
      <c r="AG69" s="31"/>
      <c r="AH69" s="134"/>
      <c r="AI69" s="135">
        <f t="shared" si="147"/>
        <v>1</v>
      </c>
      <c r="AJ69" s="29"/>
      <c r="AK69" s="134"/>
      <c r="AL69" s="135">
        <f t="shared" si="148"/>
        <v>1</v>
      </c>
      <c r="AM69" s="31"/>
      <c r="AN69" s="134"/>
      <c r="AO69" s="135">
        <f t="shared" si="149"/>
        <v>1</v>
      </c>
      <c r="AP69" s="31"/>
      <c r="AQ69" s="134"/>
      <c r="AR69" s="135">
        <f t="shared" si="150"/>
        <v>1</v>
      </c>
      <c r="AS69" s="31"/>
      <c r="AT69" s="134"/>
      <c r="AU69" s="135">
        <f t="shared" si="151"/>
        <v>1</v>
      </c>
      <c r="AV69" s="31"/>
      <c r="AW69" s="134"/>
      <c r="AX69" s="135">
        <f t="shared" si="152"/>
        <v>1</v>
      </c>
      <c r="AY69" s="31"/>
      <c r="AZ69" s="134"/>
      <c r="BA69" s="135">
        <f t="shared" si="153"/>
        <v>1</v>
      </c>
      <c r="BB69" s="31"/>
      <c r="BC69" s="134"/>
      <c r="BD69" s="135">
        <f t="shared" si="154"/>
        <v>1</v>
      </c>
      <c r="BE69" s="31"/>
      <c r="BF69" s="134"/>
      <c r="BG69" s="135">
        <f t="shared" si="155"/>
        <v>1</v>
      </c>
      <c r="BH69" s="134"/>
      <c r="BI69" s="134"/>
      <c r="BJ69" s="134"/>
      <c r="BK69" s="135">
        <f t="shared" si="175"/>
        <v>1</v>
      </c>
      <c r="BL69" s="135">
        <f t="shared" si="176"/>
        <v>1</v>
      </c>
      <c r="BM69" s="167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</row>
    <row r="70" spans="1:206" s="64" customFormat="1" ht="18.75" hidden="1" customHeight="1">
      <c r="A70" s="33"/>
      <c r="B70" s="174"/>
      <c r="C70" s="29"/>
      <c r="D70" s="134">
        <f t="shared" si="174"/>
        <v>0</v>
      </c>
      <c r="E70" s="31"/>
      <c r="F70" s="31"/>
      <c r="G70" s="134">
        <f t="shared" si="143"/>
        <v>0</v>
      </c>
      <c r="H70" s="31"/>
      <c r="I70" s="134"/>
      <c r="J70" s="31"/>
      <c r="K70" s="134"/>
      <c r="L70" s="31"/>
      <c r="M70" s="134"/>
      <c r="N70" s="31"/>
      <c r="O70" s="134"/>
      <c r="P70" s="31"/>
      <c r="Q70" s="134"/>
      <c r="R70" s="31"/>
      <c r="S70" s="134"/>
      <c r="T70" s="31"/>
      <c r="U70" s="134"/>
      <c r="V70" s="31"/>
      <c r="W70" s="134"/>
      <c r="X70" s="31"/>
      <c r="Y70" s="134"/>
      <c r="Z70" s="31"/>
      <c r="AA70" s="31"/>
      <c r="AB70" s="135">
        <f t="shared" si="145"/>
        <v>1</v>
      </c>
      <c r="AC70" s="31"/>
      <c r="AD70" s="31"/>
      <c r="AE70" s="134">
        <f t="shared" si="160"/>
        <v>0</v>
      </c>
      <c r="AF70" s="135">
        <f t="shared" si="146"/>
        <v>1</v>
      </c>
      <c r="AG70" s="31"/>
      <c r="AH70" s="134"/>
      <c r="AI70" s="135">
        <f t="shared" si="147"/>
        <v>1</v>
      </c>
      <c r="AJ70" s="29"/>
      <c r="AK70" s="134"/>
      <c r="AL70" s="135">
        <f t="shared" si="148"/>
        <v>1</v>
      </c>
      <c r="AM70" s="31"/>
      <c r="AN70" s="134"/>
      <c r="AO70" s="135">
        <f t="shared" si="149"/>
        <v>1</v>
      </c>
      <c r="AP70" s="31"/>
      <c r="AQ70" s="134"/>
      <c r="AR70" s="135">
        <f t="shared" si="150"/>
        <v>1</v>
      </c>
      <c r="AS70" s="31"/>
      <c r="AT70" s="134"/>
      <c r="AU70" s="135">
        <f t="shared" si="151"/>
        <v>1</v>
      </c>
      <c r="AV70" s="31"/>
      <c r="AW70" s="134"/>
      <c r="AX70" s="135">
        <f t="shared" si="152"/>
        <v>1</v>
      </c>
      <c r="AY70" s="31"/>
      <c r="AZ70" s="134"/>
      <c r="BA70" s="135">
        <f t="shared" si="153"/>
        <v>1</v>
      </c>
      <c r="BB70" s="31"/>
      <c r="BC70" s="134"/>
      <c r="BD70" s="135">
        <f t="shared" si="154"/>
        <v>1</v>
      </c>
      <c r="BE70" s="31"/>
      <c r="BF70" s="134"/>
      <c r="BG70" s="135">
        <f t="shared" si="155"/>
        <v>1</v>
      </c>
      <c r="BH70" s="134"/>
      <c r="BI70" s="134"/>
      <c r="BJ70" s="134"/>
      <c r="BK70" s="135">
        <f t="shared" si="175"/>
        <v>1</v>
      </c>
      <c r="BL70" s="135">
        <f t="shared" si="176"/>
        <v>1</v>
      </c>
      <c r="BM70" s="167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</row>
    <row r="71" spans="1:206" s="64" customFormat="1" ht="18.75" hidden="1" customHeight="1">
      <c r="A71" s="33"/>
      <c r="B71" s="174"/>
      <c r="C71" s="29"/>
      <c r="D71" s="134">
        <f t="shared" si="174"/>
        <v>0</v>
      </c>
      <c r="E71" s="31"/>
      <c r="F71" s="31"/>
      <c r="G71" s="134">
        <f t="shared" si="143"/>
        <v>0</v>
      </c>
      <c r="H71" s="31"/>
      <c r="I71" s="134"/>
      <c r="J71" s="31"/>
      <c r="K71" s="134"/>
      <c r="L71" s="31"/>
      <c r="M71" s="134"/>
      <c r="N71" s="31"/>
      <c r="O71" s="134"/>
      <c r="P71" s="31"/>
      <c r="Q71" s="134"/>
      <c r="R71" s="31"/>
      <c r="S71" s="134"/>
      <c r="T71" s="31"/>
      <c r="U71" s="134"/>
      <c r="V71" s="31"/>
      <c r="W71" s="134"/>
      <c r="X71" s="31"/>
      <c r="Y71" s="134"/>
      <c r="Z71" s="31"/>
      <c r="AA71" s="31"/>
      <c r="AB71" s="135">
        <f t="shared" si="145"/>
        <v>1</v>
      </c>
      <c r="AC71" s="31"/>
      <c r="AD71" s="31"/>
      <c r="AE71" s="134">
        <f t="shared" si="160"/>
        <v>0</v>
      </c>
      <c r="AF71" s="135">
        <f t="shared" si="146"/>
        <v>1</v>
      </c>
      <c r="AG71" s="31"/>
      <c r="AH71" s="134"/>
      <c r="AI71" s="135">
        <f t="shared" si="147"/>
        <v>1</v>
      </c>
      <c r="AJ71" s="29"/>
      <c r="AK71" s="134"/>
      <c r="AL71" s="135">
        <f t="shared" si="148"/>
        <v>1</v>
      </c>
      <c r="AM71" s="31"/>
      <c r="AN71" s="134"/>
      <c r="AO71" s="135">
        <f t="shared" si="149"/>
        <v>1</v>
      </c>
      <c r="AP71" s="31"/>
      <c r="AQ71" s="134"/>
      <c r="AR71" s="135">
        <f t="shared" si="150"/>
        <v>1</v>
      </c>
      <c r="AS71" s="31"/>
      <c r="AT71" s="134"/>
      <c r="AU71" s="135">
        <f t="shared" si="151"/>
        <v>1</v>
      </c>
      <c r="AV71" s="31"/>
      <c r="AW71" s="134"/>
      <c r="AX71" s="135">
        <f t="shared" si="152"/>
        <v>1</v>
      </c>
      <c r="AY71" s="31"/>
      <c r="AZ71" s="134"/>
      <c r="BA71" s="135">
        <f t="shared" si="153"/>
        <v>1</v>
      </c>
      <c r="BB71" s="31"/>
      <c r="BC71" s="134"/>
      <c r="BD71" s="135">
        <f t="shared" si="154"/>
        <v>1</v>
      </c>
      <c r="BE71" s="31"/>
      <c r="BF71" s="134"/>
      <c r="BG71" s="135">
        <f t="shared" si="155"/>
        <v>1</v>
      </c>
      <c r="BH71" s="134"/>
      <c r="BI71" s="134"/>
      <c r="BJ71" s="134"/>
      <c r="BK71" s="135">
        <f t="shared" si="175"/>
        <v>1</v>
      </c>
      <c r="BL71" s="135">
        <f t="shared" si="176"/>
        <v>1</v>
      </c>
      <c r="BM71" s="167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</row>
    <row r="72" spans="1:206" s="64" customFormat="1" ht="18.75" hidden="1" customHeight="1">
      <c r="A72" s="33"/>
      <c r="B72" s="174"/>
      <c r="C72" s="29"/>
      <c r="D72" s="134">
        <f t="shared" si="174"/>
        <v>0</v>
      </c>
      <c r="E72" s="31"/>
      <c r="F72" s="31"/>
      <c r="G72" s="134">
        <f t="shared" si="143"/>
        <v>0</v>
      </c>
      <c r="H72" s="31"/>
      <c r="I72" s="134"/>
      <c r="J72" s="31"/>
      <c r="K72" s="134"/>
      <c r="L72" s="31"/>
      <c r="M72" s="134"/>
      <c r="N72" s="31"/>
      <c r="O72" s="134"/>
      <c r="P72" s="31"/>
      <c r="Q72" s="134"/>
      <c r="R72" s="31"/>
      <c r="S72" s="134"/>
      <c r="T72" s="31"/>
      <c r="U72" s="134"/>
      <c r="V72" s="31"/>
      <c r="W72" s="134"/>
      <c r="X72" s="31"/>
      <c r="Y72" s="134"/>
      <c r="Z72" s="31"/>
      <c r="AA72" s="31"/>
      <c r="AB72" s="135">
        <f t="shared" si="145"/>
        <v>1</v>
      </c>
      <c r="AC72" s="31"/>
      <c r="AD72" s="31"/>
      <c r="AE72" s="134">
        <f t="shared" si="160"/>
        <v>0</v>
      </c>
      <c r="AF72" s="135">
        <f t="shared" si="146"/>
        <v>1</v>
      </c>
      <c r="AG72" s="31"/>
      <c r="AH72" s="134"/>
      <c r="AI72" s="135">
        <f t="shared" si="147"/>
        <v>1</v>
      </c>
      <c r="AJ72" s="29"/>
      <c r="AK72" s="134"/>
      <c r="AL72" s="135">
        <f t="shared" si="148"/>
        <v>1</v>
      </c>
      <c r="AM72" s="31"/>
      <c r="AN72" s="134"/>
      <c r="AO72" s="135">
        <f t="shared" si="149"/>
        <v>1</v>
      </c>
      <c r="AP72" s="31"/>
      <c r="AQ72" s="134"/>
      <c r="AR72" s="135">
        <f t="shared" si="150"/>
        <v>1</v>
      </c>
      <c r="AS72" s="31"/>
      <c r="AT72" s="134"/>
      <c r="AU72" s="135">
        <f t="shared" si="151"/>
        <v>1</v>
      </c>
      <c r="AV72" s="31"/>
      <c r="AW72" s="134"/>
      <c r="AX72" s="135">
        <f t="shared" si="152"/>
        <v>1</v>
      </c>
      <c r="AY72" s="31"/>
      <c r="AZ72" s="134"/>
      <c r="BA72" s="135">
        <f t="shared" si="153"/>
        <v>1</v>
      </c>
      <c r="BB72" s="31"/>
      <c r="BC72" s="134"/>
      <c r="BD72" s="135">
        <f t="shared" si="154"/>
        <v>1</v>
      </c>
      <c r="BE72" s="31"/>
      <c r="BF72" s="134"/>
      <c r="BG72" s="135">
        <f t="shared" si="155"/>
        <v>1</v>
      </c>
      <c r="BH72" s="134"/>
      <c r="BI72" s="134"/>
      <c r="BJ72" s="134"/>
      <c r="BK72" s="135">
        <f t="shared" si="175"/>
        <v>1</v>
      </c>
      <c r="BL72" s="135">
        <f t="shared" si="176"/>
        <v>1</v>
      </c>
      <c r="BM72" s="167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</row>
    <row r="73" spans="1:206" s="64" customFormat="1" ht="18.75" hidden="1" customHeight="1">
      <c r="A73" s="33"/>
      <c r="B73" s="174"/>
      <c r="C73" s="29"/>
      <c r="D73" s="134">
        <f t="shared" si="174"/>
        <v>0</v>
      </c>
      <c r="E73" s="31"/>
      <c r="F73" s="31"/>
      <c r="G73" s="134">
        <f t="shared" si="143"/>
        <v>0</v>
      </c>
      <c r="H73" s="31"/>
      <c r="I73" s="134"/>
      <c r="J73" s="31"/>
      <c r="K73" s="134"/>
      <c r="L73" s="31"/>
      <c r="M73" s="134"/>
      <c r="N73" s="31"/>
      <c r="O73" s="134"/>
      <c r="P73" s="31"/>
      <c r="Q73" s="134"/>
      <c r="R73" s="31"/>
      <c r="S73" s="134"/>
      <c r="T73" s="31"/>
      <c r="U73" s="134"/>
      <c r="V73" s="31"/>
      <c r="W73" s="134"/>
      <c r="X73" s="31"/>
      <c r="Y73" s="134"/>
      <c r="Z73" s="31"/>
      <c r="AA73" s="31"/>
      <c r="AB73" s="135">
        <f t="shared" ref="AB73" si="177">IF(D73=0,1,AA73/D73-1)</f>
        <v>1</v>
      </c>
      <c r="AC73" s="31"/>
      <c r="AD73" s="31"/>
      <c r="AE73" s="134">
        <f t="shared" si="160"/>
        <v>0</v>
      </c>
      <c r="AF73" s="135">
        <f t="shared" ref="AF73" si="178">IF(G73=0,1,AE73/G73-1)</f>
        <v>1</v>
      </c>
      <c r="AG73" s="31"/>
      <c r="AH73" s="134"/>
      <c r="AI73" s="135">
        <f t="shared" ref="AI73" si="179">IF(I73=0,1,AH73/I73-1)</f>
        <v>1</v>
      </c>
      <c r="AJ73" s="29"/>
      <c r="AK73" s="134"/>
      <c r="AL73" s="135">
        <f t="shared" ref="AL73" si="180">IF(K73=0,1,AK73/K73-1)</f>
        <v>1</v>
      </c>
      <c r="AM73" s="31"/>
      <c r="AN73" s="134"/>
      <c r="AO73" s="135">
        <f t="shared" ref="AO73" si="181">IF(M73=0,1,AN73/M73-1)</f>
        <v>1</v>
      </c>
      <c r="AP73" s="31"/>
      <c r="AQ73" s="134"/>
      <c r="AR73" s="135">
        <f t="shared" ref="AR73" si="182">IF(O73=0,1,AQ73/O73-1)</f>
        <v>1</v>
      </c>
      <c r="AS73" s="31"/>
      <c r="AT73" s="134"/>
      <c r="AU73" s="135">
        <f t="shared" ref="AU73" si="183">IF(Q73=0,1,AT73/Q73-1)</f>
        <v>1</v>
      </c>
      <c r="AV73" s="31"/>
      <c r="AW73" s="134"/>
      <c r="AX73" s="135">
        <f t="shared" ref="AX73" si="184">IF(S73=0,1,AW73/S73-1)</f>
        <v>1</v>
      </c>
      <c r="AY73" s="31"/>
      <c r="AZ73" s="134"/>
      <c r="BA73" s="135">
        <f t="shared" ref="BA73" si="185">IF(U73=0,1,AZ73/U73-1)</f>
        <v>1</v>
      </c>
      <c r="BB73" s="31"/>
      <c r="BC73" s="134"/>
      <c r="BD73" s="135">
        <f t="shared" ref="BD73" si="186">IF(W73=0,1,BC73/W73-1)</f>
        <v>1</v>
      </c>
      <c r="BE73" s="31"/>
      <c r="BF73" s="134"/>
      <c r="BG73" s="135">
        <f t="shared" ref="BG73" si="187">IF(Y73=0,1,BF73/Y73-1)</f>
        <v>1</v>
      </c>
      <c r="BH73" s="134"/>
      <c r="BI73" s="134"/>
      <c r="BJ73" s="134"/>
      <c r="BK73" s="135">
        <f t="shared" si="175"/>
        <v>1</v>
      </c>
      <c r="BL73" s="135">
        <f t="shared" si="176"/>
        <v>1</v>
      </c>
      <c r="BM73" s="167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</row>
    <row r="74" spans="1:206" s="72" customFormat="1" ht="16.5">
      <c r="A74" s="279" t="s">
        <v>50</v>
      </c>
      <c r="B74" s="280"/>
      <c r="C74" s="130">
        <f>C9-C37</f>
        <v>0</v>
      </c>
      <c r="D74" s="130">
        <f t="shared" ref="D74:AA74" si="188">D9-D37</f>
        <v>0</v>
      </c>
      <c r="E74" s="130">
        <f t="shared" si="188"/>
        <v>0</v>
      </c>
      <c r="F74" s="130">
        <f t="shared" si="188"/>
        <v>0</v>
      </c>
      <c r="G74" s="130">
        <f t="shared" si="188"/>
        <v>0</v>
      </c>
      <c r="H74" s="130">
        <f t="shared" si="188"/>
        <v>0</v>
      </c>
      <c r="I74" s="130">
        <f t="shared" si="188"/>
        <v>0</v>
      </c>
      <c r="J74" s="130">
        <f t="shared" si="188"/>
        <v>0</v>
      </c>
      <c r="K74" s="130">
        <f t="shared" si="188"/>
        <v>0</v>
      </c>
      <c r="L74" s="130">
        <f t="shared" si="188"/>
        <v>0</v>
      </c>
      <c r="M74" s="130">
        <f t="shared" si="188"/>
        <v>0</v>
      </c>
      <c r="N74" s="130">
        <f t="shared" si="188"/>
        <v>0</v>
      </c>
      <c r="O74" s="130">
        <f t="shared" si="188"/>
        <v>0</v>
      </c>
      <c r="P74" s="130">
        <f t="shared" si="188"/>
        <v>0</v>
      </c>
      <c r="Q74" s="130">
        <f t="shared" si="188"/>
        <v>0</v>
      </c>
      <c r="R74" s="130">
        <f t="shared" si="188"/>
        <v>0</v>
      </c>
      <c r="S74" s="130">
        <f t="shared" si="188"/>
        <v>0</v>
      </c>
      <c r="T74" s="130">
        <f t="shared" si="188"/>
        <v>0</v>
      </c>
      <c r="U74" s="130">
        <f t="shared" si="188"/>
        <v>0</v>
      </c>
      <c r="V74" s="130">
        <f t="shared" si="188"/>
        <v>0</v>
      </c>
      <c r="W74" s="130">
        <f t="shared" si="188"/>
        <v>0</v>
      </c>
      <c r="X74" s="130">
        <f t="shared" si="188"/>
        <v>0</v>
      </c>
      <c r="Y74" s="130">
        <f t="shared" si="188"/>
        <v>0</v>
      </c>
      <c r="Z74" s="130">
        <f t="shared" si="188"/>
        <v>0</v>
      </c>
      <c r="AA74" s="130">
        <f t="shared" si="188"/>
        <v>0</v>
      </c>
      <c r="AB74" s="143" t="s">
        <v>51</v>
      </c>
      <c r="AC74" s="130">
        <f t="shared" ref="AC74:BH74" si="189">AC9-AC37</f>
        <v>0</v>
      </c>
      <c r="AD74" s="130">
        <f t="shared" si="189"/>
        <v>0</v>
      </c>
      <c r="AE74" s="130">
        <f t="shared" si="189"/>
        <v>0</v>
      </c>
      <c r="AF74" s="143" t="s">
        <v>51</v>
      </c>
      <c r="AG74" s="130">
        <f t="shared" si="189"/>
        <v>0</v>
      </c>
      <c r="AH74" s="130">
        <f t="shared" si="189"/>
        <v>0</v>
      </c>
      <c r="AI74" s="143" t="s">
        <v>51</v>
      </c>
      <c r="AJ74" s="130">
        <f t="shared" si="189"/>
        <v>0</v>
      </c>
      <c r="AK74" s="130">
        <f t="shared" si="189"/>
        <v>0</v>
      </c>
      <c r="AL74" s="143" t="s">
        <v>51</v>
      </c>
      <c r="AM74" s="130">
        <f t="shared" si="189"/>
        <v>0</v>
      </c>
      <c r="AN74" s="130">
        <f t="shared" si="189"/>
        <v>0</v>
      </c>
      <c r="AO74" s="143" t="s">
        <v>51</v>
      </c>
      <c r="AP74" s="130">
        <f t="shared" si="189"/>
        <v>0</v>
      </c>
      <c r="AQ74" s="130">
        <f t="shared" si="189"/>
        <v>0</v>
      </c>
      <c r="AR74" s="143" t="s">
        <v>51</v>
      </c>
      <c r="AS74" s="130">
        <f t="shared" si="189"/>
        <v>0</v>
      </c>
      <c r="AT74" s="130">
        <f t="shared" si="189"/>
        <v>0</v>
      </c>
      <c r="AU74" s="143" t="s">
        <v>51</v>
      </c>
      <c r="AV74" s="130">
        <f t="shared" si="189"/>
        <v>0</v>
      </c>
      <c r="AW74" s="130">
        <f t="shared" si="189"/>
        <v>0</v>
      </c>
      <c r="AX74" s="143" t="s">
        <v>51</v>
      </c>
      <c r="AY74" s="130">
        <f t="shared" si="189"/>
        <v>0</v>
      </c>
      <c r="AZ74" s="130">
        <f t="shared" si="189"/>
        <v>0</v>
      </c>
      <c r="BA74" s="143" t="s">
        <v>51</v>
      </c>
      <c r="BB74" s="130">
        <f t="shared" si="189"/>
        <v>0</v>
      </c>
      <c r="BC74" s="130">
        <f t="shared" si="189"/>
        <v>0</v>
      </c>
      <c r="BD74" s="143" t="s">
        <v>51</v>
      </c>
      <c r="BE74" s="130">
        <f t="shared" si="189"/>
        <v>0</v>
      </c>
      <c r="BF74" s="130">
        <f t="shared" si="189"/>
        <v>0</v>
      </c>
      <c r="BG74" s="143" t="s">
        <v>51</v>
      </c>
      <c r="BH74" s="130">
        <f t="shared" si="189"/>
        <v>0</v>
      </c>
      <c r="BI74" s="130">
        <f t="shared" ref="BI74:BJ74" si="190">BI9-BI37</f>
        <v>0</v>
      </c>
      <c r="BJ74" s="130">
        <f t="shared" si="190"/>
        <v>0</v>
      </c>
      <c r="BK74" s="143" t="s">
        <v>51</v>
      </c>
      <c r="BL74" s="143" t="s">
        <v>51</v>
      </c>
      <c r="BM74" s="165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</row>
    <row r="75" spans="1:206" s="75" customFormat="1" ht="18" customHeight="1">
      <c r="A75" s="283" t="s">
        <v>52</v>
      </c>
      <c r="B75" s="284"/>
      <c r="C75" s="133" t="e">
        <f t="shared" ref="C75:R75" si="191">IF(C74&gt;0,"-",-C74/(C10-C12))</f>
        <v>#DIV/0!</v>
      </c>
      <c r="D75" s="133" t="e">
        <f t="shared" si="191"/>
        <v>#DIV/0!</v>
      </c>
      <c r="E75" s="133" t="e">
        <f t="shared" si="191"/>
        <v>#DIV/0!</v>
      </c>
      <c r="F75" s="133" t="e">
        <f t="shared" si="191"/>
        <v>#DIV/0!</v>
      </c>
      <c r="G75" s="133" t="e">
        <f t="shared" si="191"/>
        <v>#DIV/0!</v>
      </c>
      <c r="H75" s="133" t="e">
        <f t="shared" si="191"/>
        <v>#DIV/0!</v>
      </c>
      <c r="I75" s="133" t="e">
        <f t="shared" si="191"/>
        <v>#DIV/0!</v>
      </c>
      <c r="J75" s="133" t="e">
        <f t="shared" si="191"/>
        <v>#DIV/0!</v>
      </c>
      <c r="K75" s="133" t="e">
        <f t="shared" si="191"/>
        <v>#DIV/0!</v>
      </c>
      <c r="L75" s="133" t="e">
        <f t="shared" si="191"/>
        <v>#DIV/0!</v>
      </c>
      <c r="M75" s="133" t="e">
        <f t="shared" si="191"/>
        <v>#DIV/0!</v>
      </c>
      <c r="N75" s="133" t="e">
        <f t="shared" si="191"/>
        <v>#DIV/0!</v>
      </c>
      <c r="O75" s="133" t="e">
        <f t="shared" si="191"/>
        <v>#DIV/0!</v>
      </c>
      <c r="P75" s="133" t="e">
        <f t="shared" si="191"/>
        <v>#DIV/0!</v>
      </c>
      <c r="Q75" s="133" t="e">
        <f t="shared" si="191"/>
        <v>#DIV/0!</v>
      </c>
      <c r="R75" s="133" t="e">
        <f t="shared" si="191"/>
        <v>#DIV/0!</v>
      </c>
      <c r="S75" s="133" t="e">
        <f t="shared" ref="S75:AA75" si="192">IF(S74&gt;0,"-",-S74/(S10-S12))</f>
        <v>#DIV/0!</v>
      </c>
      <c r="T75" s="133" t="e">
        <f t="shared" si="192"/>
        <v>#DIV/0!</v>
      </c>
      <c r="U75" s="133" t="e">
        <f t="shared" si="192"/>
        <v>#DIV/0!</v>
      </c>
      <c r="V75" s="133" t="e">
        <f t="shared" si="192"/>
        <v>#DIV/0!</v>
      </c>
      <c r="W75" s="133" t="e">
        <f t="shared" si="192"/>
        <v>#DIV/0!</v>
      </c>
      <c r="X75" s="133" t="e">
        <f t="shared" si="192"/>
        <v>#DIV/0!</v>
      </c>
      <c r="Y75" s="133" t="e">
        <f t="shared" si="192"/>
        <v>#DIV/0!</v>
      </c>
      <c r="Z75" s="133" t="e">
        <f t="shared" si="192"/>
        <v>#DIV/0!</v>
      </c>
      <c r="AA75" s="133" t="e">
        <f t="shared" si="192"/>
        <v>#DIV/0!</v>
      </c>
      <c r="AB75" s="144" t="s">
        <v>51</v>
      </c>
      <c r="AC75" s="133" t="e">
        <f t="shared" ref="AC75:AE75" si="193">IF(AC74&gt;0,"-",-AC74/(AC10-AC12))</f>
        <v>#DIV/0!</v>
      </c>
      <c r="AD75" s="133" t="e">
        <f t="shared" si="193"/>
        <v>#DIV/0!</v>
      </c>
      <c r="AE75" s="133" t="e">
        <f t="shared" si="193"/>
        <v>#DIV/0!</v>
      </c>
      <c r="AF75" s="144" t="s">
        <v>51</v>
      </c>
      <c r="AG75" s="133" t="e">
        <f>IF(AG74&gt;0,"-",-AG74/(AG10-AG12))</f>
        <v>#DIV/0!</v>
      </c>
      <c r="AH75" s="133" t="e">
        <f>IF(AH74&gt;0,"-",-AH74/(AH10-AH12))</f>
        <v>#DIV/0!</v>
      </c>
      <c r="AI75" s="144" t="s">
        <v>51</v>
      </c>
      <c r="AJ75" s="133" t="e">
        <f>IF(AJ74&gt;0,"-",-AJ74/(AJ10-AJ12))</f>
        <v>#DIV/0!</v>
      </c>
      <c r="AK75" s="133" t="e">
        <f>IF(AK74&gt;0,"-",-AK74/(AK10-AK12))</f>
        <v>#DIV/0!</v>
      </c>
      <c r="AL75" s="144" t="s">
        <v>51</v>
      </c>
      <c r="AM75" s="133" t="e">
        <f>IF(AM74&gt;0,"-",-AM74/(AM10-AM12))</f>
        <v>#DIV/0!</v>
      </c>
      <c r="AN75" s="133" t="e">
        <f>IF(AN74&gt;0,"-",-AN74/(AN10-AN12))</f>
        <v>#DIV/0!</v>
      </c>
      <c r="AO75" s="144" t="s">
        <v>51</v>
      </c>
      <c r="AP75" s="133" t="e">
        <f>IF(AP74&gt;0,"-",-AP74/(AP10-AP12))</f>
        <v>#DIV/0!</v>
      </c>
      <c r="AQ75" s="133" t="e">
        <f>IF(AQ74&gt;0,"-",-AQ74/(AQ10-AQ12))</f>
        <v>#DIV/0!</v>
      </c>
      <c r="AR75" s="144" t="s">
        <v>51</v>
      </c>
      <c r="AS75" s="133" t="e">
        <f>IF(AS74&gt;0,"-",-AS74/(AS10-AS12))</f>
        <v>#DIV/0!</v>
      </c>
      <c r="AT75" s="133" t="e">
        <f>IF(AT74&gt;0,"-",-AT74/(AT10-AT12))</f>
        <v>#DIV/0!</v>
      </c>
      <c r="AU75" s="144" t="s">
        <v>51</v>
      </c>
      <c r="AV75" s="133" t="e">
        <f>IF(AV74&gt;0,"-",-AV74/(AV10-AV12))</f>
        <v>#DIV/0!</v>
      </c>
      <c r="AW75" s="133" t="e">
        <f>IF(AW74&gt;0,"-",-AW74/(AW10-AW12))</f>
        <v>#DIV/0!</v>
      </c>
      <c r="AX75" s="144" t="s">
        <v>51</v>
      </c>
      <c r="AY75" s="133" t="e">
        <f>IF(AY74&gt;0,"-",-AY74/(AY10-AY12))</f>
        <v>#DIV/0!</v>
      </c>
      <c r="AZ75" s="133" t="e">
        <f>IF(AZ74&gt;0,"-",-AZ74/(AZ10-AZ12))</f>
        <v>#DIV/0!</v>
      </c>
      <c r="BA75" s="144" t="s">
        <v>51</v>
      </c>
      <c r="BB75" s="133" t="e">
        <f>IF(BB74&gt;0,"-",-BB74/(BB10-BB12))</f>
        <v>#DIV/0!</v>
      </c>
      <c r="BC75" s="133" t="e">
        <f>IF(BC74&gt;0,"-",-BC74/(BC10-BC12))</f>
        <v>#DIV/0!</v>
      </c>
      <c r="BD75" s="144" t="s">
        <v>51</v>
      </c>
      <c r="BE75" s="133" t="e">
        <f>IF(BE74&gt;0,"-",-BE74/(BE10-BE12))</f>
        <v>#DIV/0!</v>
      </c>
      <c r="BF75" s="133" t="e">
        <f>IF(BF74&gt;0,"-",-BF74/(BF10-BF12))</f>
        <v>#DIV/0!</v>
      </c>
      <c r="BG75" s="144" t="s">
        <v>51</v>
      </c>
      <c r="BH75" s="133" t="e">
        <f t="shared" ref="BH75:BJ75" si="194">IF(BH74&gt;0,"-",-BH74/(BH10-BH12))</f>
        <v>#DIV/0!</v>
      </c>
      <c r="BI75" s="133" t="e">
        <f t="shared" si="194"/>
        <v>#DIV/0!</v>
      </c>
      <c r="BJ75" s="133" t="e">
        <f t="shared" si="194"/>
        <v>#DIV/0!</v>
      </c>
      <c r="BK75" s="144" t="s">
        <v>51</v>
      </c>
      <c r="BL75" s="144" t="s">
        <v>51</v>
      </c>
      <c r="BM75" s="73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</row>
    <row r="76" spans="1:206" s="75" customFormat="1" ht="19.5" customHeight="1">
      <c r="A76" s="306" t="s">
        <v>127</v>
      </c>
      <c r="B76" s="307"/>
      <c r="C76" s="145" t="str">
        <f t="shared" ref="C76:R76" si="195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195"/>
        <v>-</v>
      </c>
      <c r="E76" s="145" t="str">
        <f t="shared" si="195"/>
        <v>-</v>
      </c>
      <c r="F76" s="145" t="str">
        <f t="shared" si="195"/>
        <v>-</v>
      </c>
      <c r="G76" s="145" t="str">
        <f t="shared" si="195"/>
        <v>-</v>
      </c>
      <c r="H76" s="145" t="str">
        <f t="shared" si="195"/>
        <v>-</v>
      </c>
      <c r="I76" s="145" t="str">
        <f t="shared" si="195"/>
        <v>-</v>
      </c>
      <c r="J76" s="145" t="str">
        <f t="shared" si="195"/>
        <v>-</v>
      </c>
      <c r="K76" s="145" t="str">
        <f t="shared" si="195"/>
        <v>-</v>
      </c>
      <c r="L76" s="145" t="str">
        <f t="shared" si="195"/>
        <v>-</v>
      </c>
      <c r="M76" s="145" t="str">
        <f t="shared" si="195"/>
        <v>-</v>
      </c>
      <c r="N76" s="145" t="str">
        <f t="shared" si="195"/>
        <v>-</v>
      </c>
      <c r="O76" s="145" t="str">
        <f t="shared" si="195"/>
        <v>-</v>
      </c>
      <c r="P76" s="145" t="str">
        <f t="shared" si="195"/>
        <v>-</v>
      </c>
      <c r="Q76" s="145" t="str">
        <f t="shared" si="195"/>
        <v>-</v>
      </c>
      <c r="R76" s="145" t="str">
        <f t="shared" si="195"/>
        <v>-</v>
      </c>
      <c r="S76" s="145" t="str">
        <f t="shared" ref="S76:AA76" si="196">IF(OR(S10-S12=0,S74&gt;=0),"-",IF(AND(S78&lt;=0,S87&lt;=0),(-S74)/(S10-S12),IF(AND(S87&gt;0,S78&lt;=0),(-S74-S87)/(S10-S12),IF(AND(S87&lt;=0,S78&gt;0),(-S74-S78)/(S10-S12),(-S74-S78-S87)/(S10-S12)))))</f>
        <v>-</v>
      </c>
      <c r="T76" s="145" t="str">
        <f t="shared" si="196"/>
        <v>-</v>
      </c>
      <c r="U76" s="145" t="str">
        <f t="shared" si="196"/>
        <v>-</v>
      </c>
      <c r="V76" s="145" t="str">
        <f t="shared" si="196"/>
        <v>-</v>
      </c>
      <c r="W76" s="145" t="str">
        <f t="shared" si="196"/>
        <v>-</v>
      </c>
      <c r="X76" s="145" t="str">
        <f t="shared" si="196"/>
        <v>-</v>
      </c>
      <c r="Y76" s="145" t="str">
        <f t="shared" si="196"/>
        <v>-</v>
      </c>
      <c r="Z76" s="145" t="str">
        <f t="shared" si="196"/>
        <v>-</v>
      </c>
      <c r="AA76" s="145" t="str">
        <f t="shared" si="196"/>
        <v>-</v>
      </c>
      <c r="AB76" s="144" t="s">
        <v>51</v>
      </c>
      <c r="AC76" s="145" t="str">
        <f t="shared" ref="AC76:AE76" si="197">IF(OR(AC10-AC12=0,AC74&gt;=0),"-",IF(AND(AC78&lt;=0,AC87&lt;=0),(-AC74)/(AC10-AC12),IF(AND(AC87&gt;0,AC78&lt;=0),(-AC74-AC87)/(AC10-AC12),IF(AND(AC87&lt;=0,AC78&gt;0),(-AC74-AC78)/(AC10-AC12),(-AC74-AC78-AC87)/(AC10-AC12)))))</f>
        <v>-</v>
      </c>
      <c r="AD76" s="145" t="str">
        <f t="shared" si="197"/>
        <v>-</v>
      </c>
      <c r="AE76" s="145" t="str">
        <f t="shared" si="197"/>
        <v>-</v>
      </c>
      <c r="AF76" s="144" t="s">
        <v>51</v>
      </c>
      <c r="AG76" s="145" t="str">
        <f>IF(OR(AG10-AG12=0,AG74&gt;=0),"-",IF(AND(AG78&lt;=0,AG87&lt;=0),(-AG74)/(AG10-AG12),IF(AND(AG87&gt;0,AG78&lt;=0),(-AG74-AG87)/(AG10-AG12),IF(AND(AG87&lt;=0,AG78&gt;0),(-AG74-AG78)/(AG10-AG12),(-AG74-AG78-AG87)/(AG10-AG12)))))</f>
        <v>-</v>
      </c>
      <c r="AH76" s="145" t="str">
        <f>IF(OR(AH10-AH12=0,AH74&gt;=0),"-",IF(AND(AH78&lt;=0,AH87&lt;=0),(-AH74)/(AH10-AH12),IF(AND(AH87&gt;0,AH78&lt;=0),(-AH74-AH87)/(AH10-AH12),IF(AND(AH87&lt;=0,AH78&gt;0),(-AH74-AH78)/(AH10-AH12),(-AH74-AH78-AH87)/(AH10-AH12)))))</f>
        <v>-</v>
      </c>
      <c r="AI76" s="144" t="s">
        <v>51</v>
      </c>
      <c r="AJ76" s="145" t="str">
        <f>IF(OR(AJ10-AJ12=0,AJ74&gt;=0),"-",IF(AND(AJ78&lt;=0,AJ87&lt;=0),(-AJ74)/(AJ10-AJ12),IF(AND(AJ87&gt;0,AJ78&lt;=0),(-AJ74-AJ87)/(AJ10-AJ12),IF(AND(AJ87&lt;=0,AJ78&gt;0),(-AJ74-AJ78)/(AJ10-AJ12),(-AJ74-AJ78-AJ87)/(AJ10-AJ12)))))</f>
        <v>-</v>
      </c>
      <c r="AK76" s="145" t="str">
        <f>IF(OR(AK10-AK12=0,AK74&gt;=0),"-",IF(AND(AK78&lt;=0,AK87&lt;=0),(-AK74)/(AK10-AK12),IF(AND(AK87&gt;0,AK78&lt;=0),(-AK74-AK87)/(AK10-AK12),IF(AND(AK87&lt;=0,AK78&gt;0),(-AK74-AK78)/(AK10-AK12),(-AK74-AK78-AK87)/(AK10-AK12)))))</f>
        <v>-</v>
      </c>
      <c r="AL76" s="144" t="s">
        <v>51</v>
      </c>
      <c r="AM76" s="145" t="str">
        <f>IF(OR(AM10-AM12=0,AM74&gt;=0),"-",IF(AND(AM78&lt;=0,AM87&lt;=0),(-AM74)/(AM10-AM12),IF(AND(AM87&gt;0,AM78&lt;=0),(-AM74-AM87)/(AM10-AM12),IF(AND(AM87&lt;=0,AM78&gt;0),(-AM74-AM78)/(AM10-AM12),(-AM74-AM78-AM87)/(AM10-AM12)))))</f>
        <v>-</v>
      </c>
      <c r="AN76" s="145" t="str">
        <f>IF(OR(AN10-AN12=0,AN74&gt;=0),"-",IF(AND(AN78&lt;=0,AN87&lt;=0),(-AN74)/(AN10-AN12),IF(AND(AN87&gt;0,AN78&lt;=0),(-AN74-AN87)/(AN10-AN12),IF(AND(AN87&lt;=0,AN78&gt;0),(-AN74-AN78)/(AN10-AN12),(-AN74-AN78-AN87)/(AN10-AN12)))))</f>
        <v>-</v>
      </c>
      <c r="AO76" s="144" t="s">
        <v>51</v>
      </c>
      <c r="AP76" s="145" t="str">
        <f>IF(OR(AP10-AP12=0,AP74&gt;=0),"-",IF(AND(AP78&lt;=0,AP87&lt;=0),(-AP74)/(AP10-AP12),IF(AND(AP87&gt;0,AP78&lt;=0),(-AP74-AP87)/(AP10-AP12),IF(AND(AP87&lt;=0,AP78&gt;0),(-AP74-AP78)/(AP10-AP12),(-AP74-AP78-AP87)/(AP10-AP12)))))</f>
        <v>-</v>
      </c>
      <c r="AQ76" s="145" t="str">
        <f>IF(OR(AQ10-AQ12=0,AQ74&gt;=0),"-",IF(AND(AQ78&lt;=0,AQ87&lt;=0),(-AQ74)/(AQ10-AQ12),IF(AND(AQ87&gt;0,AQ78&lt;=0),(-AQ74-AQ87)/(AQ10-AQ12),IF(AND(AQ87&lt;=0,AQ78&gt;0),(-AQ74-AQ78)/(AQ10-AQ12),(-AQ74-AQ78-AQ87)/(AQ10-AQ12)))))</f>
        <v>-</v>
      </c>
      <c r="AR76" s="144" t="s">
        <v>51</v>
      </c>
      <c r="AS76" s="145" t="str">
        <f>IF(OR(AS10-AS12=0,AS74&gt;=0),"-",IF(AND(AS78&lt;=0,AS87&lt;=0),(-AS74)/(AS10-AS12),IF(AND(AS87&gt;0,AS78&lt;=0),(-AS74-AS87)/(AS10-AS12),IF(AND(AS87&lt;=0,AS78&gt;0),(-AS74-AS78)/(AS10-AS12),(-AS74-AS78-AS87)/(AS10-AS12)))))</f>
        <v>-</v>
      </c>
      <c r="AT76" s="145" t="str">
        <f>IF(OR(AT10-AT12=0,AT74&gt;=0),"-",IF(AND(AT78&lt;=0,AT87&lt;=0),(-AT74)/(AT10-AT12),IF(AND(AT87&gt;0,AT78&lt;=0),(-AT74-AT87)/(AT10-AT12),IF(AND(AT87&lt;=0,AT78&gt;0),(-AT74-AT78)/(AT10-AT12),(-AT74-AT78-AT87)/(AT10-AT12)))))</f>
        <v>-</v>
      </c>
      <c r="AU76" s="144" t="s">
        <v>51</v>
      </c>
      <c r="AV76" s="145" t="str">
        <f>IF(OR(AV10-AV12=0,AV74&gt;=0),"-",IF(AND(AV78&lt;=0,AV87&lt;=0),(-AV74)/(AV10-AV12),IF(AND(AV87&gt;0,AV78&lt;=0),(-AV74-AV87)/(AV10-AV12),IF(AND(AV87&lt;=0,AV78&gt;0),(-AV74-AV78)/(AV10-AV12),(-AV74-AV78-AV87)/(AV10-AV12)))))</f>
        <v>-</v>
      </c>
      <c r="AW76" s="145" t="str">
        <f>IF(OR(AW10-AW12=0,AW74&gt;=0),"-",IF(AND(AW78&lt;=0,AW87&lt;=0),(-AW74)/(AW10-AW12),IF(AND(AW87&gt;0,AW78&lt;=0),(-AW74-AW87)/(AW10-AW12),IF(AND(AW87&lt;=0,AW78&gt;0),(-AW74-AW78)/(AW10-AW12),(-AW74-AW78-AW87)/(AW10-AW12)))))</f>
        <v>-</v>
      </c>
      <c r="AX76" s="144" t="s">
        <v>51</v>
      </c>
      <c r="AY76" s="145" t="str">
        <f>IF(OR(AY10-AY12=0,AY74&gt;=0),"-",IF(AND(AY78&lt;=0,AY87&lt;=0),(-AY74)/(AY10-AY12),IF(AND(AY87&gt;0,AY78&lt;=0),(-AY74-AY87)/(AY10-AY12),IF(AND(AY87&lt;=0,AY78&gt;0),(-AY74-AY78)/(AY10-AY12),(-AY74-AY78-AY87)/(AY10-AY12)))))</f>
        <v>-</v>
      </c>
      <c r="AZ76" s="145" t="str">
        <f>IF(OR(AZ10-AZ12=0,AZ74&gt;=0),"-",IF(AND(AZ78&lt;=0,AZ87&lt;=0),(-AZ74)/(AZ10-AZ12),IF(AND(AZ87&gt;0,AZ78&lt;=0),(-AZ74-AZ87)/(AZ10-AZ12),IF(AND(AZ87&lt;=0,AZ78&gt;0),(-AZ74-AZ78)/(AZ10-AZ12),(-AZ74-AZ78-AZ87)/(AZ10-AZ12)))))</f>
        <v>-</v>
      </c>
      <c r="BA76" s="144" t="s">
        <v>51</v>
      </c>
      <c r="BB76" s="145" t="str">
        <f>IF(OR(BB10-BB12=0,BB74&gt;=0),"-",IF(AND(BB78&lt;=0,BB87&lt;=0),(-BB74)/(BB10-BB12),IF(AND(BB87&gt;0,BB78&lt;=0),(-BB74-BB87)/(BB10-BB12),IF(AND(BB87&lt;=0,BB78&gt;0),(-BB74-BB78)/(BB10-BB12),(-BB74-BB78-BB87)/(BB10-BB12)))))</f>
        <v>-</v>
      </c>
      <c r="BC76" s="145" t="str">
        <f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4" t="s">
        <v>51</v>
      </c>
      <c r="BE76" s="145" t="str">
        <f>IF(OR(BE10-BE12=0,BE74&gt;=0),"-",IF(AND(BE78&lt;=0,BE87&lt;=0),(-BE74)/(BE10-BE12),IF(AND(BE87&gt;0,BE78&lt;=0),(-BE74-BE87)/(BE10-BE12),IF(AND(BE87&lt;=0,BE78&gt;0),(-BE74-BE78)/(BE10-BE12),(-BE74-BE78-BE87)/(BE10-BE12)))))</f>
        <v>-</v>
      </c>
      <c r="BF76" s="145" t="str">
        <f>IF(OR(BF10-BF12=0,BF74&gt;=0),"-",IF(AND(BF78&lt;=0,BF87&lt;=0),(-BF74)/(BF10-BF12),IF(AND(BF87&gt;0,BF78&lt;=0),(-BF74-BF87)/(BF10-BF12),IF(AND(BF87&lt;=0,BF78&gt;0),(-BF74-BF78)/(BF10-BF12),(-BF74-BF78-BF87)/(BF10-BF12)))))</f>
        <v>-</v>
      </c>
      <c r="BG76" s="144" t="s">
        <v>51</v>
      </c>
      <c r="BH76" s="145" t="str">
        <f t="shared" ref="BH76:BJ76" si="198">IF(OR(BH10-BH12=0,BH74&gt;=0),"-",IF(AND(BH78&lt;=0,BH87&lt;=0),(-BH74)/(BH10-BH12),IF(AND(BH87&gt;0,BH78&lt;=0),(-BH74-BH87)/(BH10-BH12),IF(AND(BH87&lt;=0,BH78&gt;0),(-BH74-BH78)/(BH10-BH12),(-BH74-BH78-BH87)/(BH10-BH12)))))</f>
        <v>-</v>
      </c>
      <c r="BI76" s="145" t="str">
        <f t="shared" si="198"/>
        <v>-</v>
      </c>
      <c r="BJ76" s="145" t="str">
        <f t="shared" si="198"/>
        <v>-</v>
      </c>
      <c r="BK76" s="144" t="s">
        <v>51</v>
      </c>
      <c r="BL76" s="144" t="s">
        <v>51</v>
      </c>
      <c r="BM76" s="73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</row>
    <row r="77" spans="1:206" s="77" customFormat="1" ht="32.25" customHeight="1">
      <c r="A77" s="279" t="s">
        <v>53</v>
      </c>
      <c r="B77" s="280"/>
      <c r="C77" s="146">
        <f t="shared" ref="C77" si="199">C78+C81+C84+C87</f>
        <v>0</v>
      </c>
      <c r="D77" s="146">
        <f>D78+D81+D84+D87</f>
        <v>0</v>
      </c>
      <c r="E77" s="146">
        <f t="shared" ref="E77:J77" si="200">E78+E81+E84+E87</f>
        <v>0</v>
      </c>
      <c r="F77" s="146">
        <f t="shared" si="200"/>
        <v>0</v>
      </c>
      <c r="G77" s="146">
        <f t="shared" si="200"/>
        <v>0</v>
      </c>
      <c r="H77" s="146">
        <f t="shared" si="200"/>
        <v>0</v>
      </c>
      <c r="I77" s="146">
        <f>I78+I81+I84+I87</f>
        <v>0</v>
      </c>
      <c r="J77" s="146">
        <f t="shared" si="200"/>
        <v>0</v>
      </c>
      <c r="K77" s="146">
        <f>K78+K81+K84+K87</f>
        <v>0</v>
      </c>
      <c r="L77" s="146">
        <f t="shared" ref="L77" si="201">L78+L81+L84+L87</f>
        <v>0</v>
      </c>
      <c r="M77" s="146">
        <f>M78+M81+M84+M87</f>
        <v>0</v>
      </c>
      <c r="N77" s="146">
        <f t="shared" ref="N77" si="202">N78+N81+N84+N87</f>
        <v>0</v>
      </c>
      <c r="O77" s="146">
        <f>O78+O81+O84+O87</f>
        <v>0</v>
      </c>
      <c r="P77" s="146">
        <f t="shared" ref="P77" si="203">P78+P81+P84+P87</f>
        <v>0</v>
      </c>
      <c r="Q77" s="146">
        <f>Q78+Q81+Q84+Q87</f>
        <v>0</v>
      </c>
      <c r="R77" s="146">
        <f t="shared" ref="R77" si="204">R78+R81+R84+R87</f>
        <v>0</v>
      </c>
      <c r="S77" s="146">
        <f>S78+S81+S84+S87</f>
        <v>0</v>
      </c>
      <c r="T77" s="146">
        <f t="shared" ref="T77" si="205">T78+T81+T84+T87</f>
        <v>0</v>
      </c>
      <c r="U77" s="146">
        <f>U78+U81+U84+U87</f>
        <v>0</v>
      </c>
      <c r="V77" s="146">
        <f t="shared" ref="V77" si="206">V78+V81+V84+V87</f>
        <v>0</v>
      </c>
      <c r="W77" s="146">
        <f>W78+W81+W84+W87</f>
        <v>0</v>
      </c>
      <c r="X77" s="146">
        <f t="shared" ref="X77" si="207">X78+X81+X84+X87</f>
        <v>0</v>
      </c>
      <c r="Y77" s="146">
        <f>Y78+Y81+Y84+Y87</f>
        <v>0</v>
      </c>
      <c r="Z77" s="146">
        <f t="shared" ref="Z77:AA77" si="208">Z78+Z81+Z84+Z87</f>
        <v>0</v>
      </c>
      <c r="AA77" s="146">
        <f t="shared" si="208"/>
        <v>0</v>
      </c>
      <c r="AB77" s="147" t="s">
        <v>51</v>
      </c>
      <c r="AC77" s="146">
        <f t="shared" ref="AC77:BH77" si="209">AC78+AC81+AC84+AC87</f>
        <v>0</v>
      </c>
      <c r="AD77" s="146">
        <f t="shared" si="209"/>
        <v>0</v>
      </c>
      <c r="AE77" s="146">
        <f t="shared" si="209"/>
        <v>0</v>
      </c>
      <c r="AF77" s="147" t="s">
        <v>51</v>
      </c>
      <c r="AG77" s="146">
        <f t="shared" ref="AG77" si="210">AG78+AG81+AG84+AG87</f>
        <v>0</v>
      </c>
      <c r="AH77" s="146">
        <f t="shared" si="209"/>
        <v>0</v>
      </c>
      <c r="AI77" s="147" t="s">
        <v>51</v>
      </c>
      <c r="AJ77" s="146">
        <f t="shared" si="209"/>
        <v>0</v>
      </c>
      <c r="AK77" s="146">
        <f t="shared" si="209"/>
        <v>0</v>
      </c>
      <c r="AL77" s="147" t="s">
        <v>51</v>
      </c>
      <c r="AM77" s="146">
        <f t="shared" si="209"/>
        <v>0</v>
      </c>
      <c r="AN77" s="146">
        <f t="shared" si="209"/>
        <v>0</v>
      </c>
      <c r="AO77" s="147" t="s">
        <v>51</v>
      </c>
      <c r="AP77" s="146">
        <f t="shared" si="209"/>
        <v>0</v>
      </c>
      <c r="AQ77" s="146">
        <f t="shared" si="209"/>
        <v>0</v>
      </c>
      <c r="AR77" s="147" t="s">
        <v>51</v>
      </c>
      <c r="AS77" s="146">
        <f t="shared" si="209"/>
        <v>0</v>
      </c>
      <c r="AT77" s="146">
        <f t="shared" si="209"/>
        <v>0</v>
      </c>
      <c r="AU77" s="147" t="s">
        <v>51</v>
      </c>
      <c r="AV77" s="146">
        <f t="shared" si="209"/>
        <v>0</v>
      </c>
      <c r="AW77" s="146">
        <f t="shared" si="209"/>
        <v>0</v>
      </c>
      <c r="AX77" s="147" t="s">
        <v>51</v>
      </c>
      <c r="AY77" s="146">
        <f t="shared" si="209"/>
        <v>0</v>
      </c>
      <c r="AZ77" s="146">
        <f t="shared" si="209"/>
        <v>0</v>
      </c>
      <c r="BA77" s="147" t="s">
        <v>51</v>
      </c>
      <c r="BB77" s="146">
        <f t="shared" si="209"/>
        <v>0</v>
      </c>
      <c r="BC77" s="146">
        <f t="shared" si="209"/>
        <v>0</v>
      </c>
      <c r="BD77" s="147" t="s">
        <v>51</v>
      </c>
      <c r="BE77" s="146">
        <f t="shared" si="209"/>
        <v>0</v>
      </c>
      <c r="BF77" s="146">
        <f t="shared" si="209"/>
        <v>0</v>
      </c>
      <c r="BG77" s="147" t="s">
        <v>51</v>
      </c>
      <c r="BH77" s="146">
        <f t="shared" si="209"/>
        <v>0</v>
      </c>
      <c r="BI77" s="146">
        <f t="shared" ref="BI77:BJ77" si="211">BI78+BI81+BI84+BI87</f>
        <v>0</v>
      </c>
      <c r="BJ77" s="146">
        <f t="shared" si="211"/>
        <v>0</v>
      </c>
      <c r="BK77" s="147" t="s">
        <v>51</v>
      </c>
      <c r="BL77" s="147" t="s">
        <v>51</v>
      </c>
      <c r="BM77" s="168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</row>
    <row r="78" spans="1:206" s="75" customFormat="1" ht="18" customHeight="1">
      <c r="A78" s="300" t="s">
        <v>54</v>
      </c>
      <c r="B78" s="301"/>
      <c r="C78" s="148">
        <f t="shared" ref="C78:AA78" si="212">C79-C80</f>
        <v>0</v>
      </c>
      <c r="D78" s="148">
        <f>D79-D80</f>
        <v>0</v>
      </c>
      <c r="E78" s="148">
        <f t="shared" si="212"/>
        <v>0</v>
      </c>
      <c r="F78" s="148">
        <f t="shared" si="212"/>
        <v>0</v>
      </c>
      <c r="G78" s="148">
        <f t="shared" si="212"/>
        <v>0</v>
      </c>
      <c r="H78" s="148">
        <f t="shared" si="212"/>
        <v>0</v>
      </c>
      <c r="I78" s="148">
        <f t="shared" si="212"/>
        <v>0</v>
      </c>
      <c r="J78" s="148">
        <f t="shared" si="212"/>
        <v>0</v>
      </c>
      <c r="K78" s="148">
        <f t="shared" si="212"/>
        <v>0</v>
      </c>
      <c r="L78" s="148">
        <f t="shared" si="212"/>
        <v>0</v>
      </c>
      <c r="M78" s="148">
        <f t="shared" si="212"/>
        <v>0</v>
      </c>
      <c r="N78" s="148">
        <f t="shared" si="212"/>
        <v>0</v>
      </c>
      <c r="O78" s="148">
        <f t="shared" si="212"/>
        <v>0</v>
      </c>
      <c r="P78" s="148">
        <f t="shared" si="212"/>
        <v>0</v>
      </c>
      <c r="Q78" s="148">
        <f t="shared" si="212"/>
        <v>0</v>
      </c>
      <c r="R78" s="148">
        <f t="shared" si="212"/>
        <v>0</v>
      </c>
      <c r="S78" s="148">
        <f t="shared" si="212"/>
        <v>0</v>
      </c>
      <c r="T78" s="148">
        <f t="shared" si="212"/>
        <v>0</v>
      </c>
      <c r="U78" s="148">
        <f t="shared" si="212"/>
        <v>0</v>
      </c>
      <c r="V78" s="148">
        <f t="shared" si="212"/>
        <v>0</v>
      </c>
      <c r="W78" s="148">
        <f t="shared" si="212"/>
        <v>0</v>
      </c>
      <c r="X78" s="148">
        <f t="shared" si="212"/>
        <v>0</v>
      </c>
      <c r="Y78" s="148">
        <f t="shared" si="212"/>
        <v>0</v>
      </c>
      <c r="Z78" s="148">
        <f t="shared" si="212"/>
        <v>0</v>
      </c>
      <c r="AA78" s="148">
        <f t="shared" si="212"/>
        <v>0</v>
      </c>
      <c r="AB78" s="133">
        <f t="shared" ref="AB78:AB87" si="213">IF(D78=0,1,AA78/D78-1)</f>
        <v>1</v>
      </c>
      <c r="AC78" s="148">
        <f t="shared" ref="AC78:BH78" si="214">AC79-AC80</f>
        <v>0</v>
      </c>
      <c r="AD78" s="148">
        <f t="shared" si="214"/>
        <v>0</v>
      </c>
      <c r="AE78" s="148">
        <f t="shared" si="214"/>
        <v>0</v>
      </c>
      <c r="AF78" s="133">
        <f t="shared" ref="AF78:AF87" si="215">IF(G78=0,1,AE78/G78-1)</f>
        <v>1</v>
      </c>
      <c r="AG78" s="148">
        <f t="shared" ref="AG78" si="216">AG79-AG80</f>
        <v>0</v>
      </c>
      <c r="AH78" s="148">
        <f t="shared" si="214"/>
        <v>0</v>
      </c>
      <c r="AI78" s="133">
        <f t="shared" ref="AI78:AI87" si="217">IF(I78=0,1,AH78/I78-1)</f>
        <v>1</v>
      </c>
      <c r="AJ78" s="148">
        <f t="shared" si="214"/>
        <v>0</v>
      </c>
      <c r="AK78" s="148">
        <f t="shared" si="214"/>
        <v>0</v>
      </c>
      <c r="AL78" s="133">
        <f t="shared" ref="AL78:AL87" si="218">IF(K78=0,1,AK78/K78-1)</f>
        <v>1</v>
      </c>
      <c r="AM78" s="148">
        <f t="shared" si="214"/>
        <v>0</v>
      </c>
      <c r="AN78" s="148">
        <f t="shared" si="214"/>
        <v>0</v>
      </c>
      <c r="AO78" s="133">
        <f t="shared" ref="AO78:AO87" si="219">IF(M78=0,1,AN78/M78-1)</f>
        <v>1</v>
      </c>
      <c r="AP78" s="148">
        <f t="shared" si="214"/>
        <v>0</v>
      </c>
      <c r="AQ78" s="148">
        <f t="shared" si="214"/>
        <v>0</v>
      </c>
      <c r="AR78" s="133">
        <f t="shared" ref="AR78:AR87" si="220">IF(O78=0,1,AQ78/O78-1)</f>
        <v>1</v>
      </c>
      <c r="AS78" s="148">
        <f t="shared" si="214"/>
        <v>0</v>
      </c>
      <c r="AT78" s="148">
        <f t="shared" si="214"/>
        <v>0</v>
      </c>
      <c r="AU78" s="133">
        <f t="shared" ref="AU78:AU87" si="221">IF(Q78=0,1,AT78/Q78-1)</f>
        <v>1</v>
      </c>
      <c r="AV78" s="148">
        <f t="shared" si="214"/>
        <v>0</v>
      </c>
      <c r="AW78" s="148">
        <f t="shared" si="214"/>
        <v>0</v>
      </c>
      <c r="AX78" s="133">
        <f t="shared" ref="AX78:AX87" si="222">IF(S78=0,1,AW78/S78-1)</f>
        <v>1</v>
      </c>
      <c r="AY78" s="148">
        <f t="shared" si="214"/>
        <v>0</v>
      </c>
      <c r="AZ78" s="148">
        <f t="shared" si="214"/>
        <v>0</v>
      </c>
      <c r="BA78" s="133">
        <f t="shared" ref="BA78:BA87" si="223">IF(U78=0,1,AZ78/U78-1)</f>
        <v>1</v>
      </c>
      <c r="BB78" s="148">
        <f t="shared" si="214"/>
        <v>0</v>
      </c>
      <c r="BC78" s="148">
        <f t="shared" si="214"/>
        <v>0</v>
      </c>
      <c r="BD78" s="133">
        <f t="shared" ref="BD78:BD87" si="224">IF(W78=0,1,BC78/W78-1)</f>
        <v>1</v>
      </c>
      <c r="BE78" s="148">
        <f t="shared" si="214"/>
        <v>0</v>
      </c>
      <c r="BF78" s="148">
        <f t="shared" si="214"/>
        <v>0</v>
      </c>
      <c r="BG78" s="133">
        <f t="shared" ref="BG78:BG87" si="225">IF(Y78=0,1,BF78/Y78-1)</f>
        <v>1</v>
      </c>
      <c r="BH78" s="148">
        <f t="shared" si="214"/>
        <v>0</v>
      </c>
      <c r="BI78" s="148">
        <f t="shared" ref="BI78:BJ78" si="226">BI79-BI80</f>
        <v>0</v>
      </c>
      <c r="BJ78" s="148">
        <f t="shared" si="226"/>
        <v>0</v>
      </c>
      <c r="BK78" s="133">
        <f>IF($AA$78=0,1,BJ78/$AA$78-1)</f>
        <v>1</v>
      </c>
      <c r="BL78" s="133">
        <f t="shared" ref="BL78:BL87" si="227">IF($D78=0,1,BJ78/$D78-1)</f>
        <v>1</v>
      </c>
      <c r="BM78" s="169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</row>
    <row r="79" spans="1:206" s="66" customFormat="1" ht="18" customHeight="1">
      <c r="A79" s="298" t="s">
        <v>144</v>
      </c>
      <c r="B79" s="299"/>
      <c r="C79" s="29"/>
      <c r="D79" s="134">
        <f>E79+F79+H79+J79+L79+N79+P79+R79+T79+V79+X79+Z79</f>
        <v>0</v>
      </c>
      <c r="E79" s="29"/>
      <c r="F79" s="29"/>
      <c r="G79" s="137">
        <f>E79+F79</f>
        <v>0</v>
      </c>
      <c r="H79" s="29"/>
      <c r="I79" s="137">
        <f>G79+H79</f>
        <v>0</v>
      </c>
      <c r="J79" s="29"/>
      <c r="K79" s="137">
        <f>I79+J79</f>
        <v>0</v>
      </c>
      <c r="L79" s="29"/>
      <c r="M79" s="137">
        <f>K79+L79</f>
        <v>0</v>
      </c>
      <c r="N79" s="29"/>
      <c r="O79" s="137">
        <f>M79+N79</f>
        <v>0</v>
      </c>
      <c r="P79" s="29"/>
      <c r="Q79" s="137">
        <f>O79+P79</f>
        <v>0</v>
      </c>
      <c r="R79" s="29"/>
      <c r="S79" s="137">
        <f>Q79+R79</f>
        <v>0</v>
      </c>
      <c r="T79" s="29"/>
      <c r="U79" s="137">
        <f>S79+T79</f>
        <v>0</v>
      </c>
      <c r="V79" s="29"/>
      <c r="W79" s="137">
        <f>U79+V79</f>
        <v>0</v>
      </c>
      <c r="X79" s="29"/>
      <c r="Y79" s="137">
        <f>W79+X79</f>
        <v>0</v>
      </c>
      <c r="Z79" s="29"/>
      <c r="AA79" s="29"/>
      <c r="AB79" s="135">
        <f t="shared" si="213"/>
        <v>1</v>
      </c>
      <c r="AC79" s="29"/>
      <c r="AD79" s="29"/>
      <c r="AE79" s="137">
        <f>AC79+AD79</f>
        <v>0</v>
      </c>
      <c r="AF79" s="135">
        <f t="shared" si="215"/>
        <v>1</v>
      </c>
      <c r="AG79" s="29"/>
      <c r="AH79" s="137">
        <f>AE79+AG79</f>
        <v>0</v>
      </c>
      <c r="AI79" s="135">
        <f t="shared" si="217"/>
        <v>1</v>
      </c>
      <c r="AJ79" s="29"/>
      <c r="AK79" s="137">
        <f>AH79+AJ79</f>
        <v>0</v>
      </c>
      <c r="AL79" s="135">
        <f t="shared" si="218"/>
        <v>1</v>
      </c>
      <c r="AM79" s="29"/>
      <c r="AN79" s="137">
        <f>AK79+AM79</f>
        <v>0</v>
      </c>
      <c r="AO79" s="135">
        <f t="shared" si="219"/>
        <v>1</v>
      </c>
      <c r="AP79" s="29"/>
      <c r="AQ79" s="137">
        <f>AN79+AP79</f>
        <v>0</v>
      </c>
      <c r="AR79" s="135">
        <f t="shared" si="220"/>
        <v>1</v>
      </c>
      <c r="AS79" s="29"/>
      <c r="AT79" s="137">
        <f>AQ79+AS79</f>
        <v>0</v>
      </c>
      <c r="AU79" s="135">
        <f t="shared" si="221"/>
        <v>1</v>
      </c>
      <c r="AV79" s="29"/>
      <c r="AW79" s="137">
        <f>AT79+AV79</f>
        <v>0</v>
      </c>
      <c r="AX79" s="135">
        <f t="shared" si="222"/>
        <v>1</v>
      </c>
      <c r="AY79" s="29"/>
      <c r="AZ79" s="137">
        <f>AW79+AY79</f>
        <v>0</v>
      </c>
      <c r="BA79" s="135">
        <f t="shared" si="223"/>
        <v>1</v>
      </c>
      <c r="BB79" s="29"/>
      <c r="BC79" s="137">
        <f>AZ79+BB79</f>
        <v>0</v>
      </c>
      <c r="BD79" s="135">
        <f t="shared" si="224"/>
        <v>1</v>
      </c>
      <c r="BE79" s="29"/>
      <c r="BF79" s="137">
        <f>BC79+BE79</f>
        <v>0</v>
      </c>
      <c r="BG79" s="135">
        <f t="shared" si="225"/>
        <v>1</v>
      </c>
      <c r="BH79" s="137"/>
      <c r="BI79" s="29"/>
      <c r="BJ79" s="29"/>
      <c r="BK79" s="135">
        <f>IF($AA$79=0,1,BJ79/$AA$79-1)</f>
        <v>1</v>
      </c>
      <c r="BL79" s="135">
        <f t="shared" si="227"/>
        <v>1</v>
      </c>
      <c r="BM79" s="167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</row>
    <row r="80" spans="1:206" s="66" customFormat="1" ht="18" customHeight="1">
      <c r="A80" s="298" t="s">
        <v>145</v>
      </c>
      <c r="B80" s="299"/>
      <c r="C80" s="29"/>
      <c r="D80" s="134">
        <f>E80+F80+H80+J80+L80+N80+P80+R80+T80+V80+X80+Z80</f>
        <v>0</v>
      </c>
      <c r="E80" s="29"/>
      <c r="F80" s="29"/>
      <c r="G80" s="137">
        <f>E80+F80</f>
        <v>0</v>
      </c>
      <c r="H80" s="29"/>
      <c r="I80" s="137">
        <f>G80+H80</f>
        <v>0</v>
      </c>
      <c r="J80" s="29"/>
      <c r="K80" s="137">
        <f>I80+J80</f>
        <v>0</v>
      </c>
      <c r="L80" s="29"/>
      <c r="M80" s="137">
        <f>K80+L80</f>
        <v>0</v>
      </c>
      <c r="N80" s="29"/>
      <c r="O80" s="137">
        <f>M80+N80</f>
        <v>0</v>
      </c>
      <c r="P80" s="29"/>
      <c r="Q80" s="137">
        <f>O80+P80</f>
        <v>0</v>
      </c>
      <c r="R80" s="29"/>
      <c r="S80" s="137">
        <f>Q80+R80</f>
        <v>0</v>
      </c>
      <c r="T80" s="29"/>
      <c r="U80" s="137">
        <f>S80+T80</f>
        <v>0</v>
      </c>
      <c r="V80" s="29"/>
      <c r="W80" s="137">
        <f>U80+V80</f>
        <v>0</v>
      </c>
      <c r="X80" s="29"/>
      <c r="Y80" s="137">
        <f>W80+X80</f>
        <v>0</v>
      </c>
      <c r="Z80" s="29"/>
      <c r="AA80" s="29"/>
      <c r="AB80" s="135">
        <f t="shared" si="213"/>
        <v>1</v>
      </c>
      <c r="AC80" s="29"/>
      <c r="AD80" s="29"/>
      <c r="AE80" s="137">
        <f>AC80+AD80</f>
        <v>0</v>
      </c>
      <c r="AF80" s="135">
        <f t="shared" si="215"/>
        <v>1</v>
      </c>
      <c r="AG80" s="29"/>
      <c r="AH80" s="137">
        <f>AE80+AG80</f>
        <v>0</v>
      </c>
      <c r="AI80" s="135">
        <f t="shared" si="217"/>
        <v>1</v>
      </c>
      <c r="AJ80" s="29"/>
      <c r="AK80" s="137">
        <f>AH80+AJ80</f>
        <v>0</v>
      </c>
      <c r="AL80" s="135">
        <f t="shared" si="218"/>
        <v>1</v>
      </c>
      <c r="AM80" s="29"/>
      <c r="AN80" s="137">
        <f>AK80+AM80</f>
        <v>0</v>
      </c>
      <c r="AO80" s="135">
        <f t="shared" si="219"/>
        <v>1</v>
      </c>
      <c r="AP80" s="29"/>
      <c r="AQ80" s="137">
        <f>AN80+AP80</f>
        <v>0</v>
      </c>
      <c r="AR80" s="135">
        <f t="shared" si="220"/>
        <v>1</v>
      </c>
      <c r="AS80" s="29"/>
      <c r="AT80" s="137">
        <f>AQ80+AS80</f>
        <v>0</v>
      </c>
      <c r="AU80" s="135">
        <f t="shared" si="221"/>
        <v>1</v>
      </c>
      <c r="AV80" s="29"/>
      <c r="AW80" s="137">
        <f>AT80+AV80</f>
        <v>0</v>
      </c>
      <c r="AX80" s="135">
        <f t="shared" si="222"/>
        <v>1</v>
      </c>
      <c r="AY80" s="29"/>
      <c r="AZ80" s="137">
        <f>AW80+AY80</f>
        <v>0</v>
      </c>
      <c r="BA80" s="135">
        <f t="shared" si="223"/>
        <v>1</v>
      </c>
      <c r="BB80" s="29"/>
      <c r="BC80" s="137">
        <f>AZ80+BB80</f>
        <v>0</v>
      </c>
      <c r="BD80" s="135">
        <f t="shared" si="224"/>
        <v>1</v>
      </c>
      <c r="BE80" s="29"/>
      <c r="BF80" s="137">
        <f>BC80+BE80</f>
        <v>0</v>
      </c>
      <c r="BG80" s="135">
        <f t="shared" si="225"/>
        <v>1</v>
      </c>
      <c r="BH80" s="137"/>
      <c r="BI80" s="29"/>
      <c r="BJ80" s="29"/>
      <c r="BK80" s="135">
        <f>IF($AA$80=0,1,BJ80/$AA$80-1)</f>
        <v>1</v>
      </c>
      <c r="BL80" s="135">
        <f t="shared" si="227"/>
        <v>1</v>
      </c>
      <c r="BM80" s="167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</row>
    <row r="81" spans="1:206" s="79" customFormat="1" ht="18" customHeight="1">
      <c r="A81" s="300" t="s">
        <v>57</v>
      </c>
      <c r="B81" s="301"/>
      <c r="C81" s="148">
        <f>C82-C83</f>
        <v>0</v>
      </c>
      <c r="D81" s="148">
        <f t="shared" ref="D81:AA81" si="228">D82-D83</f>
        <v>0</v>
      </c>
      <c r="E81" s="148">
        <f t="shared" si="228"/>
        <v>0</v>
      </c>
      <c r="F81" s="148">
        <f t="shared" si="228"/>
        <v>0</v>
      </c>
      <c r="G81" s="148">
        <f t="shared" si="228"/>
        <v>0</v>
      </c>
      <c r="H81" s="148">
        <f t="shared" si="228"/>
        <v>0</v>
      </c>
      <c r="I81" s="148">
        <f t="shared" si="228"/>
        <v>0</v>
      </c>
      <c r="J81" s="148">
        <f t="shared" si="228"/>
        <v>0</v>
      </c>
      <c r="K81" s="148">
        <f t="shared" si="228"/>
        <v>0</v>
      </c>
      <c r="L81" s="148">
        <f t="shared" si="228"/>
        <v>0</v>
      </c>
      <c r="M81" s="148">
        <f t="shared" si="228"/>
        <v>0</v>
      </c>
      <c r="N81" s="148">
        <f t="shared" si="228"/>
        <v>0</v>
      </c>
      <c r="O81" s="148">
        <f t="shared" si="228"/>
        <v>0</v>
      </c>
      <c r="P81" s="148">
        <f t="shared" si="228"/>
        <v>0</v>
      </c>
      <c r="Q81" s="148">
        <f t="shared" si="228"/>
        <v>0</v>
      </c>
      <c r="R81" s="148">
        <f t="shared" si="228"/>
        <v>0</v>
      </c>
      <c r="S81" s="148">
        <f t="shared" si="228"/>
        <v>0</v>
      </c>
      <c r="T81" s="148">
        <f t="shared" si="228"/>
        <v>0</v>
      </c>
      <c r="U81" s="148">
        <f t="shared" si="228"/>
        <v>0</v>
      </c>
      <c r="V81" s="148">
        <f t="shared" si="228"/>
        <v>0</v>
      </c>
      <c r="W81" s="148">
        <f t="shared" si="228"/>
        <v>0</v>
      </c>
      <c r="X81" s="148">
        <f t="shared" si="228"/>
        <v>0</v>
      </c>
      <c r="Y81" s="148">
        <f t="shared" si="228"/>
        <v>0</v>
      </c>
      <c r="Z81" s="148">
        <f t="shared" si="228"/>
        <v>0</v>
      </c>
      <c r="AA81" s="148">
        <f t="shared" si="228"/>
        <v>0</v>
      </c>
      <c r="AB81" s="133">
        <f t="shared" si="213"/>
        <v>1</v>
      </c>
      <c r="AC81" s="148">
        <f t="shared" ref="AC81:BH81" si="229">AC82-AC83</f>
        <v>0</v>
      </c>
      <c r="AD81" s="148">
        <f t="shared" si="229"/>
        <v>0</v>
      </c>
      <c r="AE81" s="148">
        <f t="shared" si="229"/>
        <v>0</v>
      </c>
      <c r="AF81" s="133">
        <f t="shared" si="215"/>
        <v>1</v>
      </c>
      <c r="AG81" s="148">
        <f t="shared" ref="AG81" si="230">AG82-AG83</f>
        <v>0</v>
      </c>
      <c r="AH81" s="148">
        <f t="shared" si="229"/>
        <v>0</v>
      </c>
      <c r="AI81" s="133">
        <f t="shared" si="217"/>
        <v>1</v>
      </c>
      <c r="AJ81" s="148">
        <f t="shared" si="229"/>
        <v>0</v>
      </c>
      <c r="AK81" s="148">
        <f t="shared" si="229"/>
        <v>0</v>
      </c>
      <c r="AL81" s="133">
        <f t="shared" si="218"/>
        <v>1</v>
      </c>
      <c r="AM81" s="148">
        <f t="shared" si="229"/>
        <v>0</v>
      </c>
      <c r="AN81" s="148">
        <f t="shared" si="229"/>
        <v>0</v>
      </c>
      <c r="AO81" s="133">
        <f t="shared" si="219"/>
        <v>1</v>
      </c>
      <c r="AP81" s="148">
        <f t="shared" si="229"/>
        <v>0</v>
      </c>
      <c r="AQ81" s="148">
        <f t="shared" si="229"/>
        <v>0</v>
      </c>
      <c r="AR81" s="133">
        <f t="shared" si="220"/>
        <v>1</v>
      </c>
      <c r="AS81" s="148">
        <f t="shared" si="229"/>
        <v>0</v>
      </c>
      <c r="AT81" s="148">
        <f t="shared" si="229"/>
        <v>0</v>
      </c>
      <c r="AU81" s="133">
        <f t="shared" si="221"/>
        <v>1</v>
      </c>
      <c r="AV81" s="148">
        <f t="shared" si="229"/>
        <v>0</v>
      </c>
      <c r="AW81" s="148">
        <f t="shared" si="229"/>
        <v>0</v>
      </c>
      <c r="AX81" s="133">
        <f t="shared" si="222"/>
        <v>1</v>
      </c>
      <c r="AY81" s="148">
        <f t="shared" si="229"/>
        <v>0</v>
      </c>
      <c r="AZ81" s="148">
        <f t="shared" si="229"/>
        <v>0</v>
      </c>
      <c r="BA81" s="133">
        <f t="shared" si="223"/>
        <v>1</v>
      </c>
      <c r="BB81" s="148">
        <f t="shared" si="229"/>
        <v>0</v>
      </c>
      <c r="BC81" s="148">
        <f t="shared" si="229"/>
        <v>0</v>
      </c>
      <c r="BD81" s="133">
        <f t="shared" si="224"/>
        <v>1</v>
      </c>
      <c r="BE81" s="148">
        <f t="shared" si="229"/>
        <v>0</v>
      </c>
      <c r="BF81" s="148">
        <f t="shared" si="229"/>
        <v>0</v>
      </c>
      <c r="BG81" s="133">
        <f t="shared" si="225"/>
        <v>1</v>
      </c>
      <c r="BH81" s="148">
        <f t="shared" si="229"/>
        <v>0</v>
      </c>
      <c r="BI81" s="148">
        <f t="shared" ref="BI81:BJ81" si="231">BI82-BI83</f>
        <v>0</v>
      </c>
      <c r="BJ81" s="148">
        <f t="shared" si="231"/>
        <v>0</v>
      </c>
      <c r="BK81" s="133">
        <f>IF($AA$81=0,1,BJ81/$AA$81-1)</f>
        <v>1</v>
      </c>
      <c r="BL81" s="133">
        <f t="shared" si="227"/>
        <v>1</v>
      </c>
      <c r="BM81" s="169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</row>
    <row r="82" spans="1:206" s="64" customFormat="1" ht="18" customHeight="1">
      <c r="A82" s="298" t="s">
        <v>144</v>
      </c>
      <c r="B82" s="299"/>
      <c r="C82" s="29"/>
      <c r="D82" s="134">
        <f>E82+F82+H82+J82+L82+N82+P82+R82+T82+V82+X82+Z82</f>
        <v>0</v>
      </c>
      <c r="E82" s="29"/>
      <c r="F82" s="29"/>
      <c r="G82" s="137">
        <f>E82+F82</f>
        <v>0</v>
      </c>
      <c r="H82" s="29"/>
      <c r="I82" s="137">
        <f>G82+H82</f>
        <v>0</v>
      </c>
      <c r="J82" s="29"/>
      <c r="K82" s="137">
        <f>I82+J82</f>
        <v>0</v>
      </c>
      <c r="L82" s="29"/>
      <c r="M82" s="137">
        <f>K82+L82</f>
        <v>0</v>
      </c>
      <c r="N82" s="29"/>
      <c r="O82" s="137">
        <f>M82+N82</f>
        <v>0</v>
      </c>
      <c r="P82" s="29"/>
      <c r="Q82" s="137">
        <f>O82+P82</f>
        <v>0</v>
      </c>
      <c r="R82" s="29"/>
      <c r="S82" s="137">
        <f>Q82+R82</f>
        <v>0</v>
      </c>
      <c r="T82" s="29"/>
      <c r="U82" s="137">
        <f>S82+T82</f>
        <v>0</v>
      </c>
      <c r="V82" s="29"/>
      <c r="W82" s="137">
        <f>U82+V82</f>
        <v>0</v>
      </c>
      <c r="X82" s="29"/>
      <c r="Y82" s="137">
        <f>W82+X82</f>
        <v>0</v>
      </c>
      <c r="Z82" s="29"/>
      <c r="AA82" s="29"/>
      <c r="AB82" s="135">
        <f t="shared" si="213"/>
        <v>1</v>
      </c>
      <c r="AC82" s="29"/>
      <c r="AD82" s="29"/>
      <c r="AE82" s="137">
        <f>AC82+AD82</f>
        <v>0</v>
      </c>
      <c r="AF82" s="135">
        <f t="shared" si="215"/>
        <v>1</v>
      </c>
      <c r="AG82" s="29"/>
      <c r="AH82" s="137">
        <f>AE82+AG82</f>
        <v>0</v>
      </c>
      <c r="AI82" s="135">
        <f t="shared" si="217"/>
        <v>1</v>
      </c>
      <c r="AJ82" s="29"/>
      <c r="AK82" s="137">
        <f>AH82+AJ82</f>
        <v>0</v>
      </c>
      <c r="AL82" s="135">
        <f t="shared" si="218"/>
        <v>1</v>
      </c>
      <c r="AM82" s="29"/>
      <c r="AN82" s="137">
        <f>AK82+AM82</f>
        <v>0</v>
      </c>
      <c r="AO82" s="135">
        <f t="shared" si="219"/>
        <v>1</v>
      </c>
      <c r="AP82" s="29"/>
      <c r="AQ82" s="137">
        <f>AN82+AP82</f>
        <v>0</v>
      </c>
      <c r="AR82" s="135">
        <f t="shared" si="220"/>
        <v>1</v>
      </c>
      <c r="AS82" s="29"/>
      <c r="AT82" s="137">
        <f>AQ82+AS82</f>
        <v>0</v>
      </c>
      <c r="AU82" s="135">
        <f t="shared" si="221"/>
        <v>1</v>
      </c>
      <c r="AV82" s="29"/>
      <c r="AW82" s="137">
        <f>AT82+AV82</f>
        <v>0</v>
      </c>
      <c r="AX82" s="135">
        <f t="shared" si="222"/>
        <v>1</v>
      </c>
      <c r="AY82" s="29"/>
      <c r="AZ82" s="137">
        <f>AW82+AY82</f>
        <v>0</v>
      </c>
      <c r="BA82" s="135">
        <f t="shared" si="223"/>
        <v>1</v>
      </c>
      <c r="BB82" s="29"/>
      <c r="BC82" s="137">
        <f>AZ82+BB82</f>
        <v>0</v>
      </c>
      <c r="BD82" s="135">
        <f t="shared" si="224"/>
        <v>1</v>
      </c>
      <c r="BE82" s="29"/>
      <c r="BF82" s="137">
        <f>BC82+BE82</f>
        <v>0</v>
      </c>
      <c r="BG82" s="135">
        <f t="shared" si="225"/>
        <v>1</v>
      </c>
      <c r="BH82" s="137"/>
      <c r="BI82" s="29"/>
      <c r="BJ82" s="29"/>
      <c r="BK82" s="135">
        <f>IF($AA$82=0,1,BJ82/$AA$82-1)</f>
        <v>1</v>
      </c>
      <c r="BL82" s="135">
        <f t="shared" si="227"/>
        <v>1</v>
      </c>
      <c r="BM82" s="167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</row>
    <row r="83" spans="1:206" s="64" customFormat="1" ht="18" customHeight="1">
      <c r="A83" s="298" t="s">
        <v>146</v>
      </c>
      <c r="B83" s="299"/>
      <c r="C83" s="29"/>
      <c r="D83" s="134">
        <f>E83+F83+H83+J83+L83+N83+P83+R83+T83+V83+X83+Z83</f>
        <v>0</v>
      </c>
      <c r="E83" s="29"/>
      <c r="F83" s="29"/>
      <c r="G83" s="137">
        <f>E83+F83</f>
        <v>0</v>
      </c>
      <c r="H83" s="29"/>
      <c r="I83" s="137">
        <f>G83+H83</f>
        <v>0</v>
      </c>
      <c r="J83" s="29"/>
      <c r="K83" s="137">
        <f>I83+J83</f>
        <v>0</v>
      </c>
      <c r="L83" s="29"/>
      <c r="M83" s="137">
        <f>K83+L83</f>
        <v>0</v>
      </c>
      <c r="N83" s="29"/>
      <c r="O83" s="137">
        <f>M83+N83</f>
        <v>0</v>
      </c>
      <c r="P83" s="29"/>
      <c r="Q83" s="137">
        <f>O83+P83</f>
        <v>0</v>
      </c>
      <c r="R83" s="29"/>
      <c r="S83" s="137">
        <f>Q83+R83</f>
        <v>0</v>
      </c>
      <c r="T83" s="29"/>
      <c r="U83" s="137">
        <f>S83+T83</f>
        <v>0</v>
      </c>
      <c r="V83" s="29"/>
      <c r="W83" s="137">
        <f>U83+V83</f>
        <v>0</v>
      </c>
      <c r="X83" s="29"/>
      <c r="Y83" s="137">
        <f>W83+X83</f>
        <v>0</v>
      </c>
      <c r="Z83" s="29"/>
      <c r="AA83" s="29"/>
      <c r="AB83" s="135">
        <f t="shared" si="213"/>
        <v>1</v>
      </c>
      <c r="AC83" s="29"/>
      <c r="AD83" s="29"/>
      <c r="AE83" s="137">
        <f>AC83+AD83</f>
        <v>0</v>
      </c>
      <c r="AF83" s="135">
        <f t="shared" si="215"/>
        <v>1</v>
      </c>
      <c r="AG83" s="29"/>
      <c r="AH83" s="137">
        <f>AE83+AG83</f>
        <v>0</v>
      </c>
      <c r="AI83" s="135">
        <f t="shared" si="217"/>
        <v>1</v>
      </c>
      <c r="AJ83" s="29"/>
      <c r="AK83" s="137">
        <f>AH83+AJ83</f>
        <v>0</v>
      </c>
      <c r="AL83" s="135">
        <f t="shared" si="218"/>
        <v>1</v>
      </c>
      <c r="AM83" s="29"/>
      <c r="AN83" s="137">
        <f>AK83+AM83</f>
        <v>0</v>
      </c>
      <c r="AO83" s="135">
        <f t="shared" si="219"/>
        <v>1</v>
      </c>
      <c r="AP83" s="29"/>
      <c r="AQ83" s="137">
        <f>AN83+AP83</f>
        <v>0</v>
      </c>
      <c r="AR83" s="135">
        <f t="shared" si="220"/>
        <v>1</v>
      </c>
      <c r="AS83" s="29"/>
      <c r="AT83" s="137">
        <f>AQ83+AS83</f>
        <v>0</v>
      </c>
      <c r="AU83" s="135">
        <f t="shared" si="221"/>
        <v>1</v>
      </c>
      <c r="AV83" s="29"/>
      <c r="AW83" s="137">
        <f>AT83+AV83</f>
        <v>0</v>
      </c>
      <c r="AX83" s="135">
        <f t="shared" si="222"/>
        <v>1</v>
      </c>
      <c r="AY83" s="29"/>
      <c r="AZ83" s="137">
        <f>AW83+AY83</f>
        <v>0</v>
      </c>
      <c r="BA83" s="135">
        <f t="shared" si="223"/>
        <v>1</v>
      </c>
      <c r="BB83" s="29"/>
      <c r="BC83" s="137">
        <f>AZ83+BB83</f>
        <v>0</v>
      </c>
      <c r="BD83" s="135">
        <f t="shared" si="224"/>
        <v>1</v>
      </c>
      <c r="BE83" s="29"/>
      <c r="BF83" s="137">
        <f>BC83+BE83</f>
        <v>0</v>
      </c>
      <c r="BG83" s="135">
        <f t="shared" si="225"/>
        <v>1</v>
      </c>
      <c r="BH83" s="137"/>
      <c r="BI83" s="29"/>
      <c r="BJ83" s="29"/>
      <c r="BK83" s="135">
        <f>IF($AA$83=0,1,BJ83/$AA$83-1)</f>
        <v>1</v>
      </c>
      <c r="BL83" s="135">
        <f t="shared" si="227"/>
        <v>1</v>
      </c>
      <c r="BM83" s="167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</row>
    <row r="84" spans="1:206" s="75" customFormat="1" ht="18" customHeight="1">
      <c r="A84" s="300" t="s">
        <v>58</v>
      </c>
      <c r="B84" s="301"/>
      <c r="C84" s="148">
        <f t="shared" ref="C84:AA84" si="232">C85-C86</f>
        <v>0</v>
      </c>
      <c r="D84" s="148">
        <f t="shared" si="232"/>
        <v>0</v>
      </c>
      <c r="E84" s="148">
        <f t="shared" si="232"/>
        <v>0</v>
      </c>
      <c r="F84" s="148">
        <f t="shared" si="232"/>
        <v>0</v>
      </c>
      <c r="G84" s="148">
        <f t="shared" si="232"/>
        <v>0</v>
      </c>
      <c r="H84" s="148">
        <f t="shared" si="232"/>
        <v>0</v>
      </c>
      <c r="I84" s="148">
        <f t="shared" si="232"/>
        <v>0</v>
      </c>
      <c r="J84" s="148">
        <f t="shared" si="232"/>
        <v>0</v>
      </c>
      <c r="K84" s="148">
        <f t="shared" si="232"/>
        <v>0</v>
      </c>
      <c r="L84" s="148">
        <f t="shared" si="232"/>
        <v>0</v>
      </c>
      <c r="M84" s="148">
        <f t="shared" si="232"/>
        <v>0</v>
      </c>
      <c r="N84" s="148">
        <f t="shared" si="232"/>
        <v>0</v>
      </c>
      <c r="O84" s="148">
        <f t="shared" si="232"/>
        <v>0</v>
      </c>
      <c r="P84" s="148">
        <f t="shared" si="232"/>
        <v>0</v>
      </c>
      <c r="Q84" s="148">
        <f t="shared" si="232"/>
        <v>0</v>
      </c>
      <c r="R84" s="148">
        <f t="shared" si="232"/>
        <v>0</v>
      </c>
      <c r="S84" s="148">
        <f t="shared" si="232"/>
        <v>0</v>
      </c>
      <c r="T84" s="148">
        <f t="shared" si="232"/>
        <v>0</v>
      </c>
      <c r="U84" s="148">
        <f t="shared" si="232"/>
        <v>0</v>
      </c>
      <c r="V84" s="148">
        <f t="shared" si="232"/>
        <v>0</v>
      </c>
      <c r="W84" s="148">
        <f t="shared" si="232"/>
        <v>0</v>
      </c>
      <c r="X84" s="148">
        <f t="shared" si="232"/>
        <v>0</v>
      </c>
      <c r="Y84" s="148">
        <f t="shared" si="232"/>
        <v>0</v>
      </c>
      <c r="Z84" s="148">
        <f t="shared" si="232"/>
        <v>0</v>
      </c>
      <c r="AA84" s="148">
        <f t="shared" si="232"/>
        <v>0</v>
      </c>
      <c r="AB84" s="133">
        <f t="shared" si="213"/>
        <v>1</v>
      </c>
      <c r="AC84" s="148">
        <f t="shared" ref="AC84:BH84" si="233">AC85-AC86</f>
        <v>0</v>
      </c>
      <c r="AD84" s="148">
        <f t="shared" si="233"/>
        <v>0</v>
      </c>
      <c r="AE84" s="148">
        <f t="shared" si="233"/>
        <v>0</v>
      </c>
      <c r="AF84" s="133">
        <f t="shared" si="215"/>
        <v>1</v>
      </c>
      <c r="AG84" s="148">
        <f t="shared" ref="AG84" si="234">AG85-AG86</f>
        <v>0</v>
      </c>
      <c r="AH84" s="148">
        <f t="shared" si="233"/>
        <v>0</v>
      </c>
      <c r="AI84" s="133">
        <f t="shared" si="217"/>
        <v>1</v>
      </c>
      <c r="AJ84" s="148">
        <f t="shared" si="233"/>
        <v>0</v>
      </c>
      <c r="AK84" s="148">
        <f t="shared" si="233"/>
        <v>0</v>
      </c>
      <c r="AL84" s="133">
        <f t="shared" si="218"/>
        <v>1</v>
      </c>
      <c r="AM84" s="148">
        <f t="shared" si="233"/>
        <v>0</v>
      </c>
      <c r="AN84" s="148">
        <f t="shared" si="233"/>
        <v>0</v>
      </c>
      <c r="AO84" s="133">
        <f t="shared" si="219"/>
        <v>1</v>
      </c>
      <c r="AP84" s="148">
        <f t="shared" si="233"/>
        <v>0</v>
      </c>
      <c r="AQ84" s="148">
        <f t="shared" si="233"/>
        <v>0</v>
      </c>
      <c r="AR84" s="133">
        <f t="shared" si="220"/>
        <v>1</v>
      </c>
      <c r="AS84" s="148">
        <f t="shared" si="233"/>
        <v>0</v>
      </c>
      <c r="AT84" s="148">
        <f t="shared" si="233"/>
        <v>0</v>
      </c>
      <c r="AU84" s="133">
        <f t="shared" si="221"/>
        <v>1</v>
      </c>
      <c r="AV84" s="148">
        <f t="shared" si="233"/>
        <v>0</v>
      </c>
      <c r="AW84" s="148">
        <f t="shared" si="233"/>
        <v>0</v>
      </c>
      <c r="AX84" s="133">
        <f t="shared" si="222"/>
        <v>1</v>
      </c>
      <c r="AY84" s="148">
        <f t="shared" si="233"/>
        <v>0</v>
      </c>
      <c r="AZ84" s="148">
        <f t="shared" si="233"/>
        <v>0</v>
      </c>
      <c r="BA84" s="133">
        <f t="shared" si="223"/>
        <v>1</v>
      </c>
      <c r="BB84" s="148">
        <f t="shared" si="233"/>
        <v>0</v>
      </c>
      <c r="BC84" s="148">
        <f t="shared" si="233"/>
        <v>0</v>
      </c>
      <c r="BD84" s="133">
        <f t="shared" si="224"/>
        <v>1</v>
      </c>
      <c r="BE84" s="148">
        <f t="shared" si="233"/>
        <v>0</v>
      </c>
      <c r="BF84" s="148">
        <f t="shared" si="233"/>
        <v>0</v>
      </c>
      <c r="BG84" s="133">
        <f t="shared" si="225"/>
        <v>1</v>
      </c>
      <c r="BH84" s="148">
        <f t="shared" si="233"/>
        <v>0</v>
      </c>
      <c r="BI84" s="148">
        <f t="shared" ref="BI84:BJ84" si="235">BI85-BI86</f>
        <v>0</v>
      </c>
      <c r="BJ84" s="148">
        <f t="shared" si="235"/>
        <v>0</v>
      </c>
      <c r="BK84" s="133">
        <f>IF($AA$84=0,1,BJ84/$AA$84-1)</f>
        <v>1</v>
      </c>
      <c r="BL84" s="133">
        <f t="shared" si="227"/>
        <v>1</v>
      </c>
      <c r="BM84" s="169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</row>
    <row r="85" spans="1:206" s="66" customFormat="1" ht="18" customHeight="1">
      <c r="A85" s="298" t="s">
        <v>147</v>
      </c>
      <c r="B85" s="299"/>
      <c r="C85" s="29"/>
      <c r="D85" s="134">
        <f>E85+F85+H85+J85+L85+N85+P85+R85+T85+V85+X85+Z85</f>
        <v>0</v>
      </c>
      <c r="E85" s="29"/>
      <c r="F85" s="29"/>
      <c r="G85" s="137">
        <f>E85+F85</f>
        <v>0</v>
      </c>
      <c r="H85" s="29"/>
      <c r="I85" s="137">
        <f>G85+H85</f>
        <v>0</v>
      </c>
      <c r="J85" s="29"/>
      <c r="K85" s="137">
        <f>I85+J85</f>
        <v>0</v>
      </c>
      <c r="L85" s="29"/>
      <c r="M85" s="137">
        <f>K85+L85</f>
        <v>0</v>
      </c>
      <c r="N85" s="29"/>
      <c r="O85" s="137">
        <f>M85+N85</f>
        <v>0</v>
      </c>
      <c r="P85" s="29"/>
      <c r="Q85" s="137">
        <f>O85+P85</f>
        <v>0</v>
      </c>
      <c r="R85" s="29"/>
      <c r="S85" s="137">
        <f>Q85+R85</f>
        <v>0</v>
      </c>
      <c r="T85" s="29"/>
      <c r="U85" s="137">
        <f>S85+T85</f>
        <v>0</v>
      </c>
      <c r="V85" s="29"/>
      <c r="W85" s="137">
        <f>U85+V85</f>
        <v>0</v>
      </c>
      <c r="X85" s="29"/>
      <c r="Y85" s="137">
        <f>W85+X85</f>
        <v>0</v>
      </c>
      <c r="Z85" s="29"/>
      <c r="AA85" s="29"/>
      <c r="AB85" s="135">
        <f t="shared" si="213"/>
        <v>1</v>
      </c>
      <c r="AC85" s="29"/>
      <c r="AD85" s="29"/>
      <c r="AE85" s="137">
        <f>AC85+AD85</f>
        <v>0</v>
      </c>
      <c r="AF85" s="135">
        <f t="shared" si="215"/>
        <v>1</v>
      </c>
      <c r="AG85" s="29"/>
      <c r="AH85" s="137">
        <f>AE85+AG85</f>
        <v>0</v>
      </c>
      <c r="AI85" s="135">
        <f t="shared" si="217"/>
        <v>1</v>
      </c>
      <c r="AJ85" s="29"/>
      <c r="AK85" s="137">
        <f>AH85+AJ85</f>
        <v>0</v>
      </c>
      <c r="AL85" s="135">
        <f t="shared" si="218"/>
        <v>1</v>
      </c>
      <c r="AM85" s="29"/>
      <c r="AN85" s="137">
        <f>AK85+AM85</f>
        <v>0</v>
      </c>
      <c r="AO85" s="135">
        <f t="shared" si="219"/>
        <v>1</v>
      </c>
      <c r="AP85" s="29"/>
      <c r="AQ85" s="137">
        <f>AN85+AP85</f>
        <v>0</v>
      </c>
      <c r="AR85" s="135">
        <f t="shared" si="220"/>
        <v>1</v>
      </c>
      <c r="AS85" s="29"/>
      <c r="AT85" s="137">
        <f>AQ85+AS85</f>
        <v>0</v>
      </c>
      <c r="AU85" s="135">
        <f t="shared" si="221"/>
        <v>1</v>
      </c>
      <c r="AV85" s="29"/>
      <c r="AW85" s="137">
        <f>AT85+AV85</f>
        <v>0</v>
      </c>
      <c r="AX85" s="135">
        <f t="shared" si="222"/>
        <v>1</v>
      </c>
      <c r="AY85" s="29"/>
      <c r="AZ85" s="137">
        <f>AW85+AY85</f>
        <v>0</v>
      </c>
      <c r="BA85" s="135">
        <f t="shared" si="223"/>
        <v>1</v>
      </c>
      <c r="BB85" s="29"/>
      <c r="BC85" s="137">
        <f>AZ85+BB85</f>
        <v>0</v>
      </c>
      <c r="BD85" s="135">
        <f t="shared" si="224"/>
        <v>1</v>
      </c>
      <c r="BE85" s="29"/>
      <c r="BF85" s="137">
        <f>BC85+BE85</f>
        <v>0</v>
      </c>
      <c r="BG85" s="135">
        <f t="shared" si="225"/>
        <v>1</v>
      </c>
      <c r="BH85" s="137"/>
      <c r="BI85" s="29"/>
      <c r="BJ85" s="29"/>
      <c r="BK85" s="135">
        <f>IF($AA$85=0,1,BJ85/$AA$85-1)</f>
        <v>1</v>
      </c>
      <c r="BL85" s="135">
        <f t="shared" si="227"/>
        <v>1</v>
      </c>
      <c r="BM85" s="167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</row>
    <row r="86" spans="1:206" s="66" customFormat="1" ht="18" customHeight="1">
      <c r="A86" s="298" t="s">
        <v>148</v>
      </c>
      <c r="B86" s="299"/>
      <c r="C86" s="29"/>
      <c r="D86" s="134">
        <f>E86+F86+H86+J86+L86+N86+P86+R86+T86+V86+X86+Z86</f>
        <v>0</v>
      </c>
      <c r="E86" s="29"/>
      <c r="F86" s="29"/>
      <c r="G86" s="137">
        <f>E86+F86</f>
        <v>0</v>
      </c>
      <c r="H86" s="29"/>
      <c r="I86" s="137">
        <f>G86+H86</f>
        <v>0</v>
      </c>
      <c r="J86" s="29"/>
      <c r="K86" s="137">
        <f>I86+J86</f>
        <v>0</v>
      </c>
      <c r="L86" s="29"/>
      <c r="M86" s="137">
        <f>K86+L86</f>
        <v>0</v>
      </c>
      <c r="N86" s="29"/>
      <c r="O86" s="137">
        <f>M86+N86</f>
        <v>0</v>
      </c>
      <c r="P86" s="29"/>
      <c r="Q86" s="137">
        <f>O86+P86</f>
        <v>0</v>
      </c>
      <c r="R86" s="29"/>
      <c r="S86" s="137">
        <f>Q86+R86</f>
        <v>0</v>
      </c>
      <c r="T86" s="29"/>
      <c r="U86" s="137">
        <f>S86+T86</f>
        <v>0</v>
      </c>
      <c r="V86" s="29"/>
      <c r="W86" s="137">
        <f>U86+V86</f>
        <v>0</v>
      </c>
      <c r="X86" s="29"/>
      <c r="Y86" s="137">
        <f>W86+X86</f>
        <v>0</v>
      </c>
      <c r="Z86" s="29"/>
      <c r="AA86" s="29"/>
      <c r="AB86" s="135">
        <f t="shared" si="213"/>
        <v>1</v>
      </c>
      <c r="AC86" s="29"/>
      <c r="AD86" s="29"/>
      <c r="AE86" s="137">
        <f>AC86+AD86</f>
        <v>0</v>
      </c>
      <c r="AF86" s="135">
        <f t="shared" si="215"/>
        <v>1</v>
      </c>
      <c r="AG86" s="29"/>
      <c r="AH86" s="137">
        <f>AE86+AG86</f>
        <v>0</v>
      </c>
      <c r="AI86" s="135">
        <f t="shared" si="217"/>
        <v>1</v>
      </c>
      <c r="AJ86" s="29"/>
      <c r="AK86" s="137">
        <f>AH86+AJ86</f>
        <v>0</v>
      </c>
      <c r="AL86" s="135">
        <f t="shared" si="218"/>
        <v>1</v>
      </c>
      <c r="AM86" s="29"/>
      <c r="AN86" s="137">
        <f>AK86+AM86</f>
        <v>0</v>
      </c>
      <c r="AO86" s="135">
        <f t="shared" si="219"/>
        <v>1</v>
      </c>
      <c r="AP86" s="29"/>
      <c r="AQ86" s="137">
        <f>AN86+AP86</f>
        <v>0</v>
      </c>
      <c r="AR86" s="135">
        <f t="shared" si="220"/>
        <v>1</v>
      </c>
      <c r="AS86" s="29"/>
      <c r="AT86" s="137">
        <f>AQ86+AS86</f>
        <v>0</v>
      </c>
      <c r="AU86" s="135">
        <f t="shared" si="221"/>
        <v>1</v>
      </c>
      <c r="AV86" s="29"/>
      <c r="AW86" s="137">
        <f>AT86+AV86</f>
        <v>0</v>
      </c>
      <c r="AX86" s="135">
        <f t="shared" si="222"/>
        <v>1</v>
      </c>
      <c r="AY86" s="29"/>
      <c r="AZ86" s="137">
        <f>AW86+AY86</f>
        <v>0</v>
      </c>
      <c r="BA86" s="135">
        <f t="shared" si="223"/>
        <v>1</v>
      </c>
      <c r="BB86" s="29"/>
      <c r="BC86" s="137">
        <f>AZ86+BB86</f>
        <v>0</v>
      </c>
      <c r="BD86" s="135">
        <f t="shared" si="224"/>
        <v>1</v>
      </c>
      <c r="BE86" s="29"/>
      <c r="BF86" s="137">
        <f>BC86+BE86</f>
        <v>0</v>
      </c>
      <c r="BG86" s="135">
        <f t="shared" si="225"/>
        <v>1</v>
      </c>
      <c r="BH86" s="137"/>
      <c r="BI86" s="29"/>
      <c r="BJ86" s="29"/>
      <c r="BK86" s="135">
        <f>IF($AA$86=0,1,BJ86/$AA$86-1)</f>
        <v>1</v>
      </c>
      <c r="BL86" s="135">
        <f t="shared" si="227"/>
        <v>1</v>
      </c>
      <c r="BM86" s="167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</row>
    <row r="87" spans="1:206" s="66" customFormat="1" ht="18" customHeight="1">
      <c r="A87" s="300" t="s">
        <v>61</v>
      </c>
      <c r="B87" s="301"/>
      <c r="C87" s="96">
        <f t="shared" ref="C87:R87" si="236">(C86+C83+C80+C37)-(C9+C79+C82+C85)</f>
        <v>0</v>
      </c>
      <c r="D87" s="148">
        <f t="shared" si="236"/>
        <v>0</v>
      </c>
      <c r="E87" s="96">
        <f t="shared" si="236"/>
        <v>0</v>
      </c>
      <c r="F87" s="96">
        <f t="shared" si="236"/>
        <v>0</v>
      </c>
      <c r="G87" s="148">
        <f t="shared" si="236"/>
        <v>0</v>
      </c>
      <c r="H87" s="96">
        <f t="shared" si="236"/>
        <v>0</v>
      </c>
      <c r="I87" s="148">
        <f t="shared" si="236"/>
        <v>0</v>
      </c>
      <c r="J87" s="96">
        <f t="shared" si="236"/>
        <v>0</v>
      </c>
      <c r="K87" s="148">
        <f t="shared" si="236"/>
        <v>0</v>
      </c>
      <c r="L87" s="96">
        <f t="shared" si="236"/>
        <v>0</v>
      </c>
      <c r="M87" s="148">
        <f t="shared" si="236"/>
        <v>0</v>
      </c>
      <c r="N87" s="96">
        <f t="shared" si="236"/>
        <v>0</v>
      </c>
      <c r="O87" s="148">
        <f t="shared" si="236"/>
        <v>0</v>
      </c>
      <c r="P87" s="96">
        <f t="shared" si="236"/>
        <v>0</v>
      </c>
      <c r="Q87" s="148">
        <f t="shared" si="236"/>
        <v>0</v>
      </c>
      <c r="R87" s="96">
        <f t="shared" si="236"/>
        <v>0</v>
      </c>
      <c r="S87" s="148">
        <f t="shared" ref="S87:AA87" si="237">(S86+S83+S80+S37)-(S9+S79+S82+S85)</f>
        <v>0</v>
      </c>
      <c r="T87" s="96">
        <f t="shared" si="237"/>
        <v>0</v>
      </c>
      <c r="U87" s="148">
        <f t="shared" si="237"/>
        <v>0</v>
      </c>
      <c r="V87" s="96">
        <f t="shared" si="237"/>
        <v>0</v>
      </c>
      <c r="W87" s="148">
        <f t="shared" si="237"/>
        <v>0</v>
      </c>
      <c r="X87" s="96">
        <f t="shared" si="237"/>
        <v>0</v>
      </c>
      <c r="Y87" s="148">
        <f t="shared" si="237"/>
        <v>0</v>
      </c>
      <c r="Z87" s="96">
        <f t="shared" si="237"/>
        <v>0</v>
      </c>
      <c r="AA87" s="96">
        <f t="shared" si="237"/>
        <v>0</v>
      </c>
      <c r="AB87" s="133">
        <f t="shared" si="213"/>
        <v>1</v>
      </c>
      <c r="AC87" s="96">
        <f t="shared" ref="AC87:AE87" si="238">(AC86+AC83+AC80+AC37)-(AC9+AC79+AC82+AC85)</f>
        <v>0</v>
      </c>
      <c r="AD87" s="96">
        <f t="shared" si="238"/>
        <v>0</v>
      </c>
      <c r="AE87" s="148">
        <f t="shared" si="238"/>
        <v>0</v>
      </c>
      <c r="AF87" s="133">
        <f t="shared" si="215"/>
        <v>1</v>
      </c>
      <c r="AG87" s="101">
        <f>(AG86+AG83+AG80+AG37)-(AG9+AG79+AG82+AG85)</f>
        <v>0</v>
      </c>
      <c r="AH87" s="148">
        <f>(AH86+AH83+AH80+AH37)-(AH9+AH79+AH82+AH85)</f>
        <v>0</v>
      </c>
      <c r="AI87" s="133">
        <f t="shared" si="217"/>
        <v>1</v>
      </c>
      <c r="AJ87" s="101">
        <f>(AJ86+AJ83+AJ80+AJ37)-(AJ9+AJ79+AJ82+AJ85)</f>
        <v>0</v>
      </c>
      <c r="AK87" s="148">
        <f>(AK86+AK83+AK80+AK37)-(AK9+AK79+AK82+AK85)</f>
        <v>0</v>
      </c>
      <c r="AL87" s="133">
        <f t="shared" si="218"/>
        <v>1</v>
      </c>
      <c r="AM87" s="101">
        <f>(AM86+AM83+AM80+AM37)-(AM9+AM79+AM82+AM85)</f>
        <v>0</v>
      </c>
      <c r="AN87" s="148">
        <f>(AN86+AN83+AN80+AN37)-(AN9+AN79+AN82+AN85)</f>
        <v>0</v>
      </c>
      <c r="AO87" s="133">
        <f t="shared" si="219"/>
        <v>1</v>
      </c>
      <c r="AP87" s="101">
        <f>(AP86+AP83+AP80+AP37)-(AP9+AP79+AP82+AP85)</f>
        <v>0</v>
      </c>
      <c r="AQ87" s="148">
        <f>(AQ86+AQ83+AQ80+AQ37)-(AQ9+AQ79+AQ82+AQ85)</f>
        <v>0</v>
      </c>
      <c r="AR87" s="133">
        <f t="shared" si="220"/>
        <v>1</v>
      </c>
      <c r="AS87" s="101">
        <f>(AS86+AS83+AS80+AS37)-(AS9+AS79+AS82+AS85)</f>
        <v>0</v>
      </c>
      <c r="AT87" s="148">
        <f>(AT86+AT83+AT80+AT37)-(AT9+AT79+AT82+AT85)</f>
        <v>0</v>
      </c>
      <c r="AU87" s="133">
        <f t="shared" si="221"/>
        <v>1</v>
      </c>
      <c r="AV87" s="101">
        <f>(AV86+AV83+AV80+AV37)-(AV9+AV79+AV82+AV85)</f>
        <v>0</v>
      </c>
      <c r="AW87" s="148">
        <f>(AW86+AW83+AW80+AW37)-(AW9+AW79+AW82+AW85)</f>
        <v>0</v>
      </c>
      <c r="AX87" s="133">
        <f t="shared" si="222"/>
        <v>1</v>
      </c>
      <c r="AY87" s="101">
        <f>(AY86+AY83+AY80+AY37)-(AY9+AY79+AY82+AY85)</f>
        <v>0</v>
      </c>
      <c r="AZ87" s="148">
        <f>(AZ86+AZ83+AZ80+AZ37)-(AZ9+AZ79+AZ82+AZ85)</f>
        <v>0</v>
      </c>
      <c r="BA87" s="133">
        <f t="shared" si="223"/>
        <v>1</v>
      </c>
      <c r="BB87" s="101">
        <f>(BB86+BB83+BB80+BB37)-(BB9+BB79+BB82+BB85)</f>
        <v>0</v>
      </c>
      <c r="BC87" s="148">
        <f>(BC86+BC83+BC80+BC37)-(BC9+BC79+BC82+BC85)</f>
        <v>0</v>
      </c>
      <c r="BD87" s="133">
        <f t="shared" si="224"/>
        <v>1</v>
      </c>
      <c r="BE87" s="101">
        <f>(BE86+BE83+BE80+BE37)-(BE9+BE79+BE82+BE85)</f>
        <v>0</v>
      </c>
      <c r="BF87" s="148">
        <f>(BF86+BF83+BF80+BF37)-(BF9+BF79+BF82+BF85)</f>
        <v>0</v>
      </c>
      <c r="BG87" s="133">
        <f t="shared" si="225"/>
        <v>1</v>
      </c>
      <c r="BH87" s="148">
        <f t="shared" ref="BH87:BJ87" si="239">(BH86+BH83+BH80+BH37)-(BH9+BH79+BH82+BH85)</f>
        <v>0</v>
      </c>
      <c r="BI87" s="148">
        <f t="shared" si="239"/>
        <v>0</v>
      </c>
      <c r="BJ87" s="148">
        <f t="shared" si="239"/>
        <v>0</v>
      </c>
      <c r="BK87" s="133">
        <f>IF($AA$87=0,1,BJ87/$AA$87-1)</f>
        <v>1</v>
      </c>
      <c r="BL87" s="133">
        <f t="shared" si="227"/>
        <v>1</v>
      </c>
      <c r="BM87" s="169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</row>
    <row r="88" spans="1:206" s="72" customFormat="1" ht="51" customHeight="1">
      <c r="A88" s="302" t="s">
        <v>167</v>
      </c>
      <c r="B88" s="303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>
        <f t="shared" ref="AA88" si="240">AA74+AA77</f>
        <v>0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>
        <f t="shared" ref="BI88:BJ88" si="241">BI74+BI77</f>
        <v>0</v>
      </c>
      <c r="BJ88" s="130">
        <f t="shared" si="241"/>
        <v>0</v>
      </c>
      <c r="BK88" s="130" t="s">
        <v>51</v>
      </c>
      <c r="BL88" s="130" t="s">
        <v>51</v>
      </c>
      <c r="BM88" s="168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</row>
    <row r="89" spans="1:206" s="66" customFormat="1" ht="30" customHeight="1">
      <c r="A89" s="304" t="s">
        <v>63</v>
      </c>
      <c r="B89" s="305"/>
      <c r="C89" s="151"/>
      <c r="D89" s="151"/>
      <c r="E89" s="151"/>
      <c r="F89" s="151"/>
      <c r="G89" s="152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2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69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</row>
    <row r="90" spans="1:206" s="82" customFormat="1" ht="19.5" customHeight="1">
      <c r="A90" s="279" t="s">
        <v>136</v>
      </c>
      <c r="B90" s="280"/>
      <c r="C90" s="153"/>
      <c r="D90" s="153"/>
      <c r="E90" s="153"/>
      <c r="F90" s="153"/>
      <c r="G90" s="154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6"/>
      <c r="AB90" s="156"/>
      <c r="AC90" s="156"/>
      <c r="AD90" s="156"/>
      <c r="AE90" s="154"/>
      <c r="AF90" s="156"/>
      <c r="AG90" s="156"/>
      <c r="AH90" s="153"/>
      <c r="AI90" s="156"/>
      <c r="AJ90" s="153"/>
      <c r="AK90" s="153"/>
      <c r="AL90" s="156"/>
      <c r="AM90" s="153"/>
      <c r="AN90" s="153"/>
      <c r="AO90" s="156"/>
      <c r="AP90" s="153"/>
      <c r="AQ90" s="153"/>
      <c r="AR90" s="156"/>
      <c r="AS90" s="153"/>
      <c r="AT90" s="153"/>
      <c r="AU90" s="156"/>
      <c r="AV90" s="153"/>
      <c r="AW90" s="153"/>
      <c r="AX90" s="156"/>
      <c r="AY90" s="153"/>
      <c r="AZ90" s="153"/>
      <c r="BA90" s="156"/>
      <c r="BB90" s="153"/>
      <c r="BC90" s="153"/>
      <c r="BD90" s="156"/>
      <c r="BE90" s="153"/>
      <c r="BF90" s="153"/>
      <c r="BG90" s="156"/>
      <c r="BH90" s="153"/>
      <c r="BI90" s="156"/>
      <c r="BJ90" s="156"/>
      <c r="BK90" s="156"/>
      <c r="BL90" s="156"/>
      <c r="BM90" s="168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</row>
    <row r="91" spans="1:206" s="104" customFormat="1" ht="18" customHeight="1">
      <c r="A91" s="296" t="s">
        <v>64</v>
      </c>
      <c r="B91" s="297"/>
      <c r="C91" s="137">
        <f t="shared" ref="C91:F91" si="242">C92+C93+C94</f>
        <v>0</v>
      </c>
      <c r="D91" s="137">
        <f t="shared" si="242"/>
        <v>0</v>
      </c>
      <c r="E91" s="137">
        <f t="shared" si="242"/>
        <v>0</v>
      </c>
      <c r="F91" s="137">
        <f t="shared" si="242"/>
        <v>0</v>
      </c>
      <c r="G91" s="137">
        <f t="shared" ref="G91:Z91" si="243">G92+G93+G94</f>
        <v>0</v>
      </c>
      <c r="H91" s="137">
        <f t="shared" si="243"/>
        <v>0</v>
      </c>
      <c r="I91" s="137">
        <f t="shared" si="243"/>
        <v>0</v>
      </c>
      <c r="J91" s="137">
        <f t="shared" si="243"/>
        <v>0</v>
      </c>
      <c r="K91" s="137">
        <f t="shared" si="243"/>
        <v>0</v>
      </c>
      <c r="L91" s="137">
        <f t="shared" si="243"/>
        <v>0</v>
      </c>
      <c r="M91" s="137">
        <f t="shared" si="243"/>
        <v>0</v>
      </c>
      <c r="N91" s="137">
        <f t="shared" si="243"/>
        <v>0</v>
      </c>
      <c r="O91" s="137">
        <f t="shared" si="243"/>
        <v>0</v>
      </c>
      <c r="P91" s="137">
        <f t="shared" si="243"/>
        <v>0</v>
      </c>
      <c r="Q91" s="137">
        <f t="shared" si="243"/>
        <v>0</v>
      </c>
      <c r="R91" s="137">
        <f t="shared" si="243"/>
        <v>0</v>
      </c>
      <c r="S91" s="137">
        <f t="shared" si="243"/>
        <v>0</v>
      </c>
      <c r="T91" s="137">
        <f t="shared" si="243"/>
        <v>0</v>
      </c>
      <c r="U91" s="137">
        <f t="shared" si="243"/>
        <v>0</v>
      </c>
      <c r="V91" s="137">
        <f t="shared" si="243"/>
        <v>0</v>
      </c>
      <c r="W91" s="137">
        <f t="shared" si="243"/>
        <v>0</v>
      </c>
      <c r="X91" s="137">
        <f t="shared" si="243"/>
        <v>0</v>
      </c>
      <c r="Y91" s="137">
        <f t="shared" si="243"/>
        <v>0</v>
      </c>
      <c r="Z91" s="137">
        <f t="shared" si="243"/>
        <v>0</v>
      </c>
      <c r="AA91" s="137">
        <f>AA92+AA93+AA94</f>
        <v>0</v>
      </c>
      <c r="AB91" s="135">
        <f t="shared" ref="AB91:AB112" si="244">IF(D91=0,1,AA91/D91-1)</f>
        <v>1</v>
      </c>
      <c r="AC91" s="137">
        <f t="shared" ref="AC91:AE91" si="245">AC92+AC93+AC94</f>
        <v>0</v>
      </c>
      <c r="AD91" s="137">
        <f t="shared" si="245"/>
        <v>0</v>
      </c>
      <c r="AE91" s="137">
        <f t="shared" si="245"/>
        <v>0</v>
      </c>
      <c r="AF91" s="135">
        <f t="shared" ref="AF91:AF112" si="246">IF(G91=0,1,AE91/G91-1)</f>
        <v>1</v>
      </c>
      <c r="AG91" s="137">
        <f>AG92+AG93+AG94</f>
        <v>0</v>
      </c>
      <c r="AH91" s="137">
        <f>AH92+AH93+AH94</f>
        <v>0</v>
      </c>
      <c r="AI91" s="135">
        <f t="shared" ref="AI91:AI112" si="247">IF(I91=0,1,AH91/I91-1)</f>
        <v>1</v>
      </c>
      <c r="AJ91" s="137">
        <f>AJ92+AJ93+AJ94</f>
        <v>0</v>
      </c>
      <c r="AK91" s="137">
        <f>AK92+AK93+AK94</f>
        <v>0</v>
      </c>
      <c r="AL91" s="135">
        <f t="shared" ref="AL91:AL112" si="248">IF(K91=0,1,AK91/K91-1)</f>
        <v>1</v>
      </c>
      <c r="AM91" s="137">
        <f>AM92+AM93+AM94</f>
        <v>0</v>
      </c>
      <c r="AN91" s="137">
        <f>AN92+AN93+AN94</f>
        <v>0</v>
      </c>
      <c r="AO91" s="135">
        <f t="shared" ref="AO91:AO112" si="249">IF(M91=0,1,AN91/M91-1)</f>
        <v>1</v>
      </c>
      <c r="AP91" s="137">
        <f>AP92+AP93+AP94</f>
        <v>0</v>
      </c>
      <c r="AQ91" s="137">
        <f>AQ92+AQ93+AQ94</f>
        <v>0</v>
      </c>
      <c r="AR91" s="135">
        <f t="shared" ref="AR91:AR112" si="250">IF(O91=0,1,AQ91/O91-1)</f>
        <v>1</v>
      </c>
      <c r="AS91" s="137">
        <f>AS92+AS93+AS94</f>
        <v>0</v>
      </c>
      <c r="AT91" s="137">
        <f>AT92+AT93+AT94</f>
        <v>0</v>
      </c>
      <c r="AU91" s="135">
        <f t="shared" ref="AU91:AU112" si="251">IF(Q91=0,1,AT91/Q91-1)</f>
        <v>1</v>
      </c>
      <c r="AV91" s="137">
        <f>AV92+AV93+AV94</f>
        <v>0</v>
      </c>
      <c r="AW91" s="137">
        <f>AW92+AW93+AW94</f>
        <v>0</v>
      </c>
      <c r="AX91" s="135">
        <f t="shared" ref="AX91:AX112" si="252">IF(S91=0,1,AW91/S91-1)</f>
        <v>1</v>
      </c>
      <c r="AY91" s="137">
        <f>AY92+AY93+AY94</f>
        <v>0</v>
      </c>
      <c r="AZ91" s="137">
        <f>AZ92+AZ93+AZ94</f>
        <v>0</v>
      </c>
      <c r="BA91" s="135">
        <f t="shared" ref="BA91:BA112" si="253">IF(U91=0,1,AZ91/U91-1)</f>
        <v>1</v>
      </c>
      <c r="BB91" s="137">
        <f>BB92+BB93+BB94</f>
        <v>0</v>
      </c>
      <c r="BC91" s="137">
        <f>BC92+BC93+BC94</f>
        <v>0</v>
      </c>
      <c r="BD91" s="135">
        <f t="shared" ref="BD91:BD112" si="254">IF(W91=0,1,BC91/W91-1)</f>
        <v>1</v>
      </c>
      <c r="BE91" s="137">
        <f>BE92+BE93+BE94</f>
        <v>0</v>
      </c>
      <c r="BF91" s="137">
        <f>BF92+BF93+BF94</f>
        <v>0</v>
      </c>
      <c r="BG91" s="135">
        <f t="shared" ref="BG91:BG112" si="255">IF(Y91=0,1,BF91/Y91-1)</f>
        <v>1</v>
      </c>
      <c r="BH91" s="137">
        <f t="shared" ref="BH91:BJ91" si="256">BH92+BH93+BH94</f>
        <v>0</v>
      </c>
      <c r="BI91" s="137">
        <f t="shared" si="256"/>
        <v>0</v>
      </c>
      <c r="BJ91" s="137">
        <f t="shared" si="256"/>
        <v>0</v>
      </c>
      <c r="BK91" s="135">
        <f>IF($AA$91=0,1,BJ91/$AA$91-1)</f>
        <v>1</v>
      </c>
      <c r="BL91" s="135">
        <f t="shared" ref="BL91:BL112" si="257">IF($D91=0,1,BJ91/$D91-1)</f>
        <v>1</v>
      </c>
      <c r="BM91" s="167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</row>
    <row r="92" spans="1:206" s="106" customFormat="1" ht="18" customHeight="1">
      <c r="A92" s="290" t="s">
        <v>38</v>
      </c>
      <c r="B92" s="291"/>
      <c r="C92" s="29"/>
      <c r="D92" s="134">
        <f>E92+F92+H92+J92+L92+N92+P92+R92+T92+V92+X92+Z92</f>
        <v>0</v>
      </c>
      <c r="E92" s="29"/>
      <c r="F92" s="29"/>
      <c r="G92" s="137">
        <f t="shared" ref="G92:G112" si="258">E92+F92</f>
        <v>0</v>
      </c>
      <c r="H92" s="29"/>
      <c r="I92" s="137">
        <f t="shared" ref="I92:I100" si="259">G92+H92</f>
        <v>0</v>
      </c>
      <c r="J92" s="29"/>
      <c r="K92" s="137">
        <f t="shared" ref="K92:K112" si="260">I92+J92</f>
        <v>0</v>
      </c>
      <c r="L92" s="29"/>
      <c r="M92" s="137">
        <f t="shared" ref="M92:M112" si="261">K92+L92</f>
        <v>0</v>
      </c>
      <c r="N92" s="29"/>
      <c r="O92" s="137">
        <f t="shared" ref="O92:O112" si="262">M92+N92</f>
        <v>0</v>
      </c>
      <c r="P92" s="29"/>
      <c r="Q92" s="137">
        <f t="shared" ref="Q92:Q112" si="263">O92+P92</f>
        <v>0</v>
      </c>
      <c r="R92" s="29"/>
      <c r="S92" s="137">
        <f t="shared" ref="S92:S112" si="264">Q92+R92</f>
        <v>0</v>
      </c>
      <c r="T92" s="29"/>
      <c r="U92" s="137">
        <f t="shared" ref="U92:U112" si="265">S92+T92</f>
        <v>0</v>
      </c>
      <c r="V92" s="29"/>
      <c r="W92" s="137">
        <f t="shared" ref="W92:W112" si="266">U92+V92</f>
        <v>0</v>
      </c>
      <c r="X92" s="29"/>
      <c r="Y92" s="137">
        <f t="shared" ref="Y92:Y112" si="267">W92+X92</f>
        <v>0</v>
      </c>
      <c r="Z92" s="29"/>
      <c r="AA92" s="29"/>
      <c r="AB92" s="135">
        <f t="shared" si="244"/>
        <v>1</v>
      </c>
      <c r="AC92" s="29"/>
      <c r="AD92" s="29"/>
      <c r="AE92" s="137">
        <f t="shared" ref="AE92:AE112" si="268">AC92+AD92</f>
        <v>0</v>
      </c>
      <c r="AF92" s="135">
        <f t="shared" si="246"/>
        <v>1</v>
      </c>
      <c r="AG92" s="29"/>
      <c r="AH92" s="137">
        <f t="shared" ref="AH92:AH112" si="269">AE92+AG92</f>
        <v>0</v>
      </c>
      <c r="AI92" s="135">
        <f t="shared" si="247"/>
        <v>1</v>
      </c>
      <c r="AJ92" s="29"/>
      <c r="AK92" s="137">
        <f t="shared" ref="AK92:AK112" si="270">AH92+AJ92</f>
        <v>0</v>
      </c>
      <c r="AL92" s="135">
        <f t="shared" si="248"/>
        <v>1</v>
      </c>
      <c r="AM92" s="29"/>
      <c r="AN92" s="137">
        <f t="shared" ref="AN92:AN112" si="271">AK92+AM92</f>
        <v>0</v>
      </c>
      <c r="AO92" s="135">
        <f t="shared" si="249"/>
        <v>1</v>
      </c>
      <c r="AP92" s="29"/>
      <c r="AQ92" s="137">
        <f t="shared" ref="AQ92:AQ112" si="272">AN92+AP92</f>
        <v>0</v>
      </c>
      <c r="AR92" s="135">
        <f t="shared" si="250"/>
        <v>1</v>
      </c>
      <c r="AS92" s="29"/>
      <c r="AT92" s="137">
        <f t="shared" ref="AT92:AT112" si="273">AQ92+AS92</f>
        <v>0</v>
      </c>
      <c r="AU92" s="135">
        <f t="shared" si="251"/>
        <v>1</v>
      </c>
      <c r="AV92" s="29"/>
      <c r="AW92" s="137">
        <f t="shared" ref="AW92:AW112" si="274">AT92+AV92</f>
        <v>0</v>
      </c>
      <c r="AX92" s="135">
        <f t="shared" si="252"/>
        <v>1</v>
      </c>
      <c r="AY92" s="29"/>
      <c r="AZ92" s="137">
        <f t="shared" ref="AZ92:AZ112" si="275">AW92+AY92</f>
        <v>0</v>
      </c>
      <c r="BA92" s="135">
        <f t="shared" si="253"/>
        <v>1</v>
      </c>
      <c r="BB92" s="29"/>
      <c r="BC92" s="137">
        <f t="shared" ref="BC92:BC112" si="276">AZ92+BB92</f>
        <v>0</v>
      </c>
      <c r="BD92" s="135">
        <f t="shared" si="254"/>
        <v>1</v>
      </c>
      <c r="BE92" s="29"/>
      <c r="BF92" s="137">
        <f t="shared" ref="BF92:BF112" si="277">BC92+BE92</f>
        <v>0</v>
      </c>
      <c r="BG92" s="135">
        <f t="shared" si="255"/>
        <v>1</v>
      </c>
      <c r="BH92" s="29"/>
      <c r="BI92" s="29"/>
      <c r="BJ92" s="29"/>
      <c r="BK92" s="135">
        <f>IF($AA$92=0,1,BJ92/$AA$92-1)</f>
        <v>1</v>
      </c>
      <c r="BL92" s="135">
        <f t="shared" si="257"/>
        <v>1</v>
      </c>
      <c r="BM92" s="167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</row>
    <row r="93" spans="1:206" s="106" customFormat="1" ht="18" customHeight="1">
      <c r="A93" s="298" t="s">
        <v>143</v>
      </c>
      <c r="B93" s="299"/>
      <c r="C93" s="29"/>
      <c r="D93" s="134">
        <f>E93+F93+H93+J93+L93+N93+P93+R93+T93+V93+X93+Z93</f>
        <v>0</v>
      </c>
      <c r="E93" s="29"/>
      <c r="F93" s="29"/>
      <c r="G93" s="137">
        <f t="shared" si="258"/>
        <v>0</v>
      </c>
      <c r="H93" s="29"/>
      <c r="I93" s="137">
        <f t="shared" si="259"/>
        <v>0</v>
      </c>
      <c r="J93" s="29"/>
      <c r="K93" s="137">
        <f t="shared" si="260"/>
        <v>0</v>
      </c>
      <c r="L93" s="29"/>
      <c r="M93" s="137">
        <f t="shared" si="261"/>
        <v>0</v>
      </c>
      <c r="N93" s="29"/>
      <c r="O93" s="137">
        <f t="shared" si="262"/>
        <v>0</v>
      </c>
      <c r="P93" s="29"/>
      <c r="Q93" s="137">
        <f t="shared" si="263"/>
        <v>0</v>
      </c>
      <c r="R93" s="29"/>
      <c r="S93" s="137">
        <f t="shared" si="264"/>
        <v>0</v>
      </c>
      <c r="T93" s="29"/>
      <c r="U93" s="137">
        <f t="shared" si="265"/>
        <v>0</v>
      </c>
      <c r="V93" s="29"/>
      <c r="W93" s="137">
        <f t="shared" si="266"/>
        <v>0</v>
      </c>
      <c r="X93" s="29"/>
      <c r="Y93" s="137">
        <f t="shared" si="267"/>
        <v>0</v>
      </c>
      <c r="Z93" s="29"/>
      <c r="AA93" s="29"/>
      <c r="AB93" s="135">
        <f t="shared" si="244"/>
        <v>1</v>
      </c>
      <c r="AC93" s="29"/>
      <c r="AD93" s="29"/>
      <c r="AE93" s="137">
        <f t="shared" si="268"/>
        <v>0</v>
      </c>
      <c r="AF93" s="135">
        <f t="shared" si="246"/>
        <v>1</v>
      </c>
      <c r="AG93" s="29"/>
      <c r="AH93" s="137">
        <f t="shared" si="269"/>
        <v>0</v>
      </c>
      <c r="AI93" s="135">
        <f t="shared" si="247"/>
        <v>1</v>
      </c>
      <c r="AJ93" s="29"/>
      <c r="AK93" s="137">
        <f t="shared" si="270"/>
        <v>0</v>
      </c>
      <c r="AL93" s="135">
        <f t="shared" si="248"/>
        <v>1</v>
      </c>
      <c r="AM93" s="29"/>
      <c r="AN93" s="137">
        <f t="shared" si="271"/>
        <v>0</v>
      </c>
      <c r="AO93" s="135">
        <f t="shared" si="249"/>
        <v>1</v>
      </c>
      <c r="AP93" s="29"/>
      <c r="AQ93" s="137">
        <f t="shared" si="272"/>
        <v>0</v>
      </c>
      <c r="AR93" s="135">
        <f t="shared" si="250"/>
        <v>1</v>
      </c>
      <c r="AS93" s="29"/>
      <c r="AT93" s="137">
        <f t="shared" si="273"/>
        <v>0</v>
      </c>
      <c r="AU93" s="135">
        <f t="shared" si="251"/>
        <v>1</v>
      </c>
      <c r="AV93" s="29"/>
      <c r="AW93" s="137">
        <f t="shared" si="274"/>
        <v>0</v>
      </c>
      <c r="AX93" s="135">
        <f t="shared" si="252"/>
        <v>1</v>
      </c>
      <c r="AY93" s="29"/>
      <c r="AZ93" s="137">
        <f t="shared" si="275"/>
        <v>0</v>
      </c>
      <c r="BA93" s="135">
        <f t="shared" si="253"/>
        <v>1</v>
      </c>
      <c r="BB93" s="29"/>
      <c r="BC93" s="137">
        <f t="shared" si="276"/>
        <v>0</v>
      </c>
      <c r="BD93" s="135">
        <f t="shared" si="254"/>
        <v>1</v>
      </c>
      <c r="BE93" s="29"/>
      <c r="BF93" s="137">
        <f t="shared" si="277"/>
        <v>0</v>
      </c>
      <c r="BG93" s="135">
        <f t="shared" si="255"/>
        <v>1</v>
      </c>
      <c r="BH93" s="29"/>
      <c r="BI93" s="29"/>
      <c r="BJ93" s="29"/>
      <c r="BK93" s="135">
        <f>IF($AA$93=0,1,BJ93/$AA$93-1)</f>
        <v>1</v>
      </c>
      <c r="BL93" s="135">
        <f t="shared" si="257"/>
        <v>1</v>
      </c>
      <c r="BM93" s="167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</row>
    <row r="94" spans="1:206" s="106" customFormat="1" ht="18" customHeight="1">
      <c r="A94" s="290" t="s">
        <v>65</v>
      </c>
      <c r="B94" s="291"/>
      <c r="C94" s="134">
        <f t="shared" ref="C94:F94" si="278">C95+C96+C97+C98+C99+C100</f>
        <v>0</v>
      </c>
      <c r="D94" s="134">
        <f t="shared" si="278"/>
        <v>0</v>
      </c>
      <c r="E94" s="134">
        <f t="shared" si="278"/>
        <v>0</v>
      </c>
      <c r="F94" s="134">
        <f t="shared" si="278"/>
        <v>0</v>
      </c>
      <c r="G94" s="137">
        <f t="shared" si="258"/>
        <v>0</v>
      </c>
      <c r="H94" s="134">
        <f>H95+H96+H97+H98+H99+H100</f>
        <v>0</v>
      </c>
      <c r="I94" s="137">
        <f t="shared" si="259"/>
        <v>0</v>
      </c>
      <c r="J94" s="134">
        <f>J95+J96+J97+J98+J99+J100</f>
        <v>0</v>
      </c>
      <c r="K94" s="137">
        <f t="shared" si="260"/>
        <v>0</v>
      </c>
      <c r="L94" s="134">
        <f>L95+L96+L97+L98+L99+L100</f>
        <v>0</v>
      </c>
      <c r="M94" s="137">
        <f t="shared" si="261"/>
        <v>0</v>
      </c>
      <c r="N94" s="134">
        <f>N95+N96+N97+N98+N99+N100</f>
        <v>0</v>
      </c>
      <c r="O94" s="137">
        <f t="shared" si="262"/>
        <v>0</v>
      </c>
      <c r="P94" s="134">
        <f>P95+P96+P97+P98+P99+P100</f>
        <v>0</v>
      </c>
      <c r="Q94" s="137">
        <f t="shared" si="263"/>
        <v>0</v>
      </c>
      <c r="R94" s="134">
        <f>R95+R96+R97+R98+R99+R100</f>
        <v>0</v>
      </c>
      <c r="S94" s="137">
        <f t="shared" si="264"/>
        <v>0</v>
      </c>
      <c r="T94" s="134">
        <f>T95+T96+T97+T98+T99+T100</f>
        <v>0</v>
      </c>
      <c r="U94" s="137">
        <f t="shared" si="265"/>
        <v>0</v>
      </c>
      <c r="V94" s="134">
        <f>V95+V96+V97+V98+V99+V100</f>
        <v>0</v>
      </c>
      <c r="W94" s="137">
        <f t="shared" si="266"/>
        <v>0</v>
      </c>
      <c r="X94" s="134">
        <f>X95+X96+X97+X98+X99+X100</f>
        <v>0</v>
      </c>
      <c r="Y94" s="137">
        <f t="shared" si="267"/>
        <v>0</v>
      </c>
      <c r="Z94" s="134">
        <f>Z95+Z96+Z97+Z98+Z99+Z100</f>
        <v>0</v>
      </c>
      <c r="AA94" s="137"/>
      <c r="AB94" s="135">
        <f t="shared" si="244"/>
        <v>1</v>
      </c>
      <c r="AC94" s="134">
        <f>AC95+AC96+AC97+AC98+AC99+AC100</f>
        <v>0</v>
      </c>
      <c r="AD94" s="134">
        <f>AD95+AD96+AD97+AD98+AD99+AD100</f>
        <v>0</v>
      </c>
      <c r="AE94" s="137">
        <f t="shared" si="268"/>
        <v>0</v>
      </c>
      <c r="AF94" s="135">
        <f t="shared" si="246"/>
        <v>1</v>
      </c>
      <c r="AG94" s="134">
        <f>AG95+AG96+AG97+AG98+AG99+AG100</f>
        <v>0</v>
      </c>
      <c r="AH94" s="137">
        <f t="shared" si="269"/>
        <v>0</v>
      </c>
      <c r="AI94" s="135">
        <f t="shared" si="247"/>
        <v>1</v>
      </c>
      <c r="AJ94" s="134">
        <f>AJ95+AJ96+AJ97+AJ98+AJ99+AJ100</f>
        <v>0</v>
      </c>
      <c r="AK94" s="137">
        <f t="shared" si="270"/>
        <v>0</v>
      </c>
      <c r="AL94" s="135">
        <f t="shared" si="248"/>
        <v>1</v>
      </c>
      <c r="AM94" s="134">
        <f>AM95+AM96+AM97+AM98+AM99+AM100</f>
        <v>0</v>
      </c>
      <c r="AN94" s="137">
        <f t="shared" si="271"/>
        <v>0</v>
      </c>
      <c r="AO94" s="135">
        <f t="shared" si="249"/>
        <v>1</v>
      </c>
      <c r="AP94" s="134">
        <f>AP95+AP96+AP97+AP98+AP99+AP100</f>
        <v>0</v>
      </c>
      <c r="AQ94" s="137">
        <f t="shared" si="272"/>
        <v>0</v>
      </c>
      <c r="AR94" s="135">
        <f t="shared" si="250"/>
        <v>1</v>
      </c>
      <c r="AS94" s="134">
        <f>AS95+AS96+AS97+AS98+AS99+AS100</f>
        <v>0</v>
      </c>
      <c r="AT94" s="137">
        <f t="shared" si="273"/>
        <v>0</v>
      </c>
      <c r="AU94" s="135">
        <f t="shared" si="251"/>
        <v>1</v>
      </c>
      <c r="AV94" s="134">
        <f>AV95+AV96+AV97+AV98+AV99+AV100</f>
        <v>0</v>
      </c>
      <c r="AW94" s="137">
        <f t="shared" si="274"/>
        <v>0</v>
      </c>
      <c r="AX94" s="135">
        <f t="shared" si="252"/>
        <v>1</v>
      </c>
      <c r="AY94" s="134">
        <f>AY95+AY96+AY97+AY98+AY99+AY100</f>
        <v>0</v>
      </c>
      <c r="AZ94" s="137">
        <f t="shared" si="275"/>
        <v>0</v>
      </c>
      <c r="BA94" s="135">
        <f t="shared" si="253"/>
        <v>1</v>
      </c>
      <c r="BB94" s="134">
        <f>BB95+BB96+BB97+BB98+BB99+BB100</f>
        <v>0</v>
      </c>
      <c r="BC94" s="137">
        <f t="shared" si="276"/>
        <v>0</v>
      </c>
      <c r="BD94" s="135">
        <f t="shared" si="254"/>
        <v>1</v>
      </c>
      <c r="BE94" s="134">
        <f>BE95+BE96+BE97+BE98+BE99+BE100</f>
        <v>0</v>
      </c>
      <c r="BF94" s="137">
        <f t="shared" si="277"/>
        <v>0</v>
      </c>
      <c r="BG94" s="135">
        <f t="shared" si="255"/>
        <v>1</v>
      </c>
      <c r="BH94" s="134">
        <f>BH95+BH96+BH97+BH98+BH99+BH100</f>
        <v>0</v>
      </c>
      <c r="BI94" s="134">
        <f t="shared" ref="BI94:BJ94" si="279">BI95+BI96+BI97+BI98+BI99+BI100</f>
        <v>0</v>
      </c>
      <c r="BJ94" s="134">
        <f t="shared" si="279"/>
        <v>0</v>
      </c>
      <c r="BK94" s="135">
        <f>IF($AA$94=0,1,BJ94/$AA$94-1)</f>
        <v>1</v>
      </c>
      <c r="BL94" s="135">
        <f t="shared" si="257"/>
        <v>1</v>
      </c>
      <c r="BM94" s="167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</row>
    <row r="95" spans="1:206" s="106" customFormat="1" ht="18" customHeight="1">
      <c r="A95" s="292" t="s">
        <v>67</v>
      </c>
      <c r="B95" s="293"/>
      <c r="C95" s="29"/>
      <c r="D95" s="134">
        <f t="shared" ref="D95:D100" si="280">E95+F95+H95+J95+L95+N95+P95+R95+T95+V95+X95+Z95</f>
        <v>0</v>
      </c>
      <c r="E95" s="29"/>
      <c r="F95" s="29"/>
      <c r="G95" s="137">
        <f t="shared" si="258"/>
        <v>0</v>
      </c>
      <c r="H95" s="29"/>
      <c r="I95" s="137">
        <f t="shared" si="259"/>
        <v>0</v>
      </c>
      <c r="J95" s="29"/>
      <c r="K95" s="137">
        <f t="shared" si="260"/>
        <v>0</v>
      </c>
      <c r="L95" s="29"/>
      <c r="M95" s="137">
        <f t="shared" si="261"/>
        <v>0</v>
      </c>
      <c r="N95" s="29"/>
      <c r="O95" s="137">
        <f t="shared" si="262"/>
        <v>0</v>
      </c>
      <c r="P95" s="29"/>
      <c r="Q95" s="137">
        <f t="shared" si="263"/>
        <v>0</v>
      </c>
      <c r="R95" s="29"/>
      <c r="S95" s="137">
        <f t="shared" si="264"/>
        <v>0</v>
      </c>
      <c r="T95" s="29"/>
      <c r="U95" s="137">
        <f t="shared" si="265"/>
        <v>0</v>
      </c>
      <c r="V95" s="29"/>
      <c r="W95" s="137">
        <f t="shared" si="266"/>
        <v>0</v>
      </c>
      <c r="X95" s="29"/>
      <c r="Y95" s="137">
        <f t="shared" si="267"/>
        <v>0</v>
      </c>
      <c r="Z95" s="29"/>
      <c r="AA95" s="29"/>
      <c r="AB95" s="135">
        <f t="shared" si="244"/>
        <v>1</v>
      </c>
      <c r="AC95" s="29"/>
      <c r="AD95" s="29"/>
      <c r="AE95" s="137">
        <f t="shared" si="268"/>
        <v>0</v>
      </c>
      <c r="AF95" s="135">
        <f t="shared" si="246"/>
        <v>1</v>
      </c>
      <c r="AG95" s="29"/>
      <c r="AH95" s="137">
        <f t="shared" si="269"/>
        <v>0</v>
      </c>
      <c r="AI95" s="135">
        <f t="shared" si="247"/>
        <v>1</v>
      </c>
      <c r="AJ95" s="29"/>
      <c r="AK95" s="137">
        <f t="shared" si="270"/>
        <v>0</v>
      </c>
      <c r="AL95" s="135">
        <f t="shared" si="248"/>
        <v>1</v>
      </c>
      <c r="AM95" s="29"/>
      <c r="AN95" s="137">
        <f t="shared" si="271"/>
        <v>0</v>
      </c>
      <c r="AO95" s="135">
        <f t="shared" si="249"/>
        <v>1</v>
      </c>
      <c r="AP95" s="29"/>
      <c r="AQ95" s="137">
        <f t="shared" si="272"/>
        <v>0</v>
      </c>
      <c r="AR95" s="135">
        <f t="shared" si="250"/>
        <v>1</v>
      </c>
      <c r="AS95" s="29"/>
      <c r="AT95" s="137">
        <f t="shared" si="273"/>
        <v>0</v>
      </c>
      <c r="AU95" s="135">
        <f t="shared" si="251"/>
        <v>1</v>
      </c>
      <c r="AV95" s="29"/>
      <c r="AW95" s="137">
        <f t="shared" si="274"/>
        <v>0</v>
      </c>
      <c r="AX95" s="135">
        <f t="shared" si="252"/>
        <v>1</v>
      </c>
      <c r="AY95" s="29"/>
      <c r="AZ95" s="137">
        <f t="shared" si="275"/>
        <v>0</v>
      </c>
      <c r="BA95" s="135">
        <f t="shared" si="253"/>
        <v>1</v>
      </c>
      <c r="BB95" s="29"/>
      <c r="BC95" s="137">
        <f t="shared" si="276"/>
        <v>0</v>
      </c>
      <c r="BD95" s="135">
        <f t="shared" si="254"/>
        <v>1</v>
      </c>
      <c r="BE95" s="29"/>
      <c r="BF95" s="137">
        <f t="shared" si="277"/>
        <v>0</v>
      </c>
      <c r="BG95" s="135">
        <f t="shared" si="255"/>
        <v>1</v>
      </c>
      <c r="BH95" s="29"/>
      <c r="BI95" s="29"/>
      <c r="BJ95" s="29"/>
      <c r="BK95" s="135">
        <f>IF($AA$95=0,1,BJ95/$AA$95-1)</f>
        <v>1</v>
      </c>
      <c r="BL95" s="135">
        <f t="shared" si="257"/>
        <v>1</v>
      </c>
      <c r="BM95" s="167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</row>
    <row r="96" spans="1:206" s="106" customFormat="1" ht="18" customHeight="1">
      <c r="A96" s="292" t="s">
        <v>34</v>
      </c>
      <c r="B96" s="293"/>
      <c r="C96" s="29"/>
      <c r="D96" s="134">
        <f t="shared" si="280"/>
        <v>0</v>
      </c>
      <c r="E96" s="29"/>
      <c r="F96" s="29"/>
      <c r="G96" s="137">
        <f t="shared" si="258"/>
        <v>0</v>
      </c>
      <c r="H96" s="29"/>
      <c r="I96" s="137">
        <f t="shared" si="259"/>
        <v>0</v>
      </c>
      <c r="J96" s="29"/>
      <c r="K96" s="137">
        <f t="shared" si="260"/>
        <v>0</v>
      </c>
      <c r="L96" s="29"/>
      <c r="M96" s="137">
        <f t="shared" si="261"/>
        <v>0</v>
      </c>
      <c r="N96" s="29"/>
      <c r="O96" s="137">
        <f t="shared" si="262"/>
        <v>0</v>
      </c>
      <c r="P96" s="29"/>
      <c r="Q96" s="137">
        <f t="shared" si="263"/>
        <v>0</v>
      </c>
      <c r="R96" s="29"/>
      <c r="S96" s="137">
        <f t="shared" si="264"/>
        <v>0</v>
      </c>
      <c r="T96" s="29"/>
      <c r="U96" s="137">
        <f t="shared" si="265"/>
        <v>0</v>
      </c>
      <c r="V96" s="29"/>
      <c r="W96" s="137">
        <f t="shared" si="266"/>
        <v>0</v>
      </c>
      <c r="X96" s="29"/>
      <c r="Y96" s="137">
        <f t="shared" si="267"/>
        <v>0</v>
      </c>
      <c r="Z96" s="29"/>
      <c r="AA96" s="29"/>
      <c r="AB96" s="135">
        <f t="shared" si="244"/>
        <v>1</v>
      </c>
      <c r="AC96" s="29"/>
      <c r="AD96" s="29"/>
      <c r="AE96" s="137">
        <f t="shared" si="268"/>
        <v>0</v>
      </c>
      <c r="AF96" s="135">
        <f t="shared" si="246"/>
        <v>1</v>
      </c>
      <c r="AG96" s="29"/>
      <c r="AH96" s="137">
        <f t="shared" si="269"/>
        <v>0</v>
      </c>
      <c r="AI96" s="135">
        <f t="shared" si="247"/>
        <v>1</v>
      </c>
      <c r="AJ96" s="29"/>
      <c r="AK96" s="137">
        <f t="shared" si="270"/>
        <v>0</v>
      </c>
      <c r="AL96" s="135">
        <f t="shared" si="248"/>
        <v>1</v>
      </c>
      <c r="AM96" s="29"/>
      <c r="AN96" s="137">
        <f t="shared" si="271"/>
        <v>0</v>
      </c>
      <c r="AO96" s="135">
        <f t="shared" si="249"/>
        <v>1</v>
      </c>
      <c r="AP96" s="29"/>
      <c r="AQ96" s="137">
        <f t="shared" si="272"/>
        <v>0</v>
      </c>
      <c r="AR96" s="135">
        <f t="shared" si="250"/>
        <v>1</v>
      </c>
      <c r="AS96" s="29"/>
      <c r="AT96" s="137">
        <f t="shared" si="273"/>
        <v>0</v>
      </c>
      <c r="AU96" s="135">
        <f t="shared" si="251"/>
        <v>1</v>
      </c>
      <c r="AV96" s="29"/>
      <c r="AW96" s="137">
        <f t="shared" si="274"/>
        <v>0</v>
      </c>
      <c r="AX96" s="135">
        <f t="shared" si="252"/>
        <v>1</v>
      </c>
      <c r="AY96" s="29"/>
      <c r="AZ96" s="137">
        <f t="shared" si="275"/>
        <v>0</v>
      </c>
      <c r="BA96" s="135">
        <f t="shared" si="253"/>
        <v>1</v>
      </c>
      <c r="BB96" s="29"/>
      <c r="BC96" s="137">
        <f t="shared" si="276"/>
        <v>0</v>
      </c>
      <c r="BD96" s="135">
        <f t="shared" si="254"/>
        <v>1</v>
      </c>
      <c r="BE96" s="29"/>
      <c r="BF96" s="137">
        <f t="shared" si="277"/>
        <v>0</v>
      </c>
      <c r="BG96" s="135">
        <f t="shared" si="255"/>
        <v>1</v>
      </c>
      <c r="BH96" s="29"/>
      <c r="BI96" s="29"/>
      <c r="BJ96" s="29"/>
      <c r="BK96" s="135">
        <f>IF($AA$96=0,1,BJ96/$AA$96-1)</f>
        <v>1</v>
      </c>
      <c r="BL96" s="135">
        <f t="shared" si="257"/>
        <v>1</v>
      </c>
      <c r="BM96" s="167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</row>
    <row r="97" spans="1:206" s="106" customFormat="1" ht="18" customHeight="1">
      <c r="A97" s="292" t="s">
        <v>34</v>
      </c>
      <c r="B97" s="293"/>
      <c r="C97" s="29"/>
      <c r="D97" s="134">
        <f t="shared" si="280"/>
        <v>0</v>
      </c>
      <c r="E97" s="29"/>
      <c r="F97" s="29"/>
      <c r="G97" s="137">
        <f t="shared" si="258"/>
        <v>0</v>
      </c>
      <c r="H97" s="29"/>
      <c r="I97" s="137">
        <f t="shared" si="259"/>
        <v>0</v>
      </c>
      <c r="J97" s="29"/>
      <c r="K97" s="137">
        <f t="shared" si="260"/>
        <v>0</v>
      </c>
      <c r="L97" s="29"/>
      <c r="M97" s="137">
        <f t="shared" si="261"/>
        <v>0</v>
      </c>
      <c r="N97" s="29"/>
      <c r="O97" s="137">
        <f t="shared" si="262"/>
        <v>0</v>
      </c>
      <c r="P97" s="29"/>
      <c r="Q97" s="137">
        <f t="shared" si="263"/>
        <v>0</v>
      </c>
      <c r="R97" s="29"/>
      <c r="S97" s="137">
        <f t="shared" si="264"/>
        <v>0</v>
      </c>
      <c r="T97" s="29"/>
      <c r="U97" s="137">
        <f t="shared" si="265"/>
        <v>0</v>
      </c>
      <c r="V97" s="29"/>
      <c r="W97" s="137">
        <f t="shared" si="266"/>
        <v>0</v>
      </c>
      <c r="X97" s="29"/>
      <c r="Y97" s="137">
        <f t="shared" si="267"/>
        <v>0</v>
      </c>
      <c r="Z97" s="29"/>
      <c r="AA97" s="29"/>
      <c r="AB97" s="135">
        <f t="shared" si="244"/>
        <v>1</v>
      </c>
      <c r="AC97" s="29"/>
      <c r="AD97" s="29"/>
      <c r="AE97" s="137">
        <f t="shared" si="268"/>
        <v>0</v>
      </c>
      <c r="AF97" s="135">
        <f t="shared" si="246"/>
        <v>1</v>
      </c>
      <c r="AG97" s="29"/>
      <c r="AH97" s="137">
        <f t="shared" si="269"/>
        <v>0</v>
      </c>
      <c r="AI97" s="135">
        <f t="shared" si="247"/>
        <v>1</v>
      </c>
      <c r="AJ97" s="29"/>
      <c r="AK97" s="137">
        <f t="shared" si="270"/>
        <v>0</v>
      </c>
      <c r="AL97" s="135">
        <f t="shared" si="248"/>
        <v>1</v>
      </c>
      <c r="AM97" s="29"/>
      <c r="AN97" s="137">
        <f t="shared" si="271"/>
        <v>0</v>
      </c>
      <c r="AO97" s="135">
        <f t="shared" si="249"/>
        <v>1</v>
      </c>
      <c r="AP97" s="29"/>
      <c r="AQ97" s="137">
        <f t="shared" si="272"/>
        <v>0</v>
      </c>
      <c r="AR97" s="135">
        <f t="shared" si="250"/>
        <v>1</v>
      </c>
      <c r="AS97" s="29"/>
      <c r="AT97" s="137">
        <f t="shared" si="273"/>
        <v>0</v>
      </c>
      <c r="AU97" s="135">
        <f t="shared" si="251"/>
        <v>1</v>
      </c>
      <c r="AV97" s="29"/>
      <c r="AW97" s="137">
        <f t="shared" si="274"/>
        <v>0</v>
      </c>
      <c r="AX97" s="135">
        <f t="shared" si="252"/>
        <v>1</v>
      </c>
      <c r="AY97" s="29"/>
      <c r="AZ97" s="137">
        <f t="shared" si="275"/>
        <v>0</v>
      </c>
      <c r="BA97" s="135">
        <f t="shared" si="253"/>
        <v>1</v>
      </c>
      <c r="BB97" s="29"/>
      <c r="BC97" s="137">
        <f t="shared" si="276"/>
        <v>0</v>
      </c>
      <c r="BD97" s="135">
        <f t="shared" si="254"/>
        <v>1</v>
      </c>
      <c r="BE97" s="29"/>
      <c r="BF97" s="137">
        <f t="shared" si="277"/>
        <v>0</v>
      </c>
      <c r="BG97" s="135">
        <f t="shared" si="255"/>
        <v>1</v>
      </c>
      <c r="BH97" s="29"/>
      <c r="BI97" s="29"/>
      <c r="BJ97" s="29"/>
      <c r="BK97" s="135">
        <f t="shared" ref="BK97:BK100" si="281">IF($AA$96=0,1,BJ97/$AA$96-1)</f>
        <v>1</v>
      </c>
      <c r="BL97" s="135">
        <f t="shared" si="257"/>
        <v>1</v>
      </c>
      <c r="BM97" s="167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</row>
    <row r="98" spans="1:206" s="106" customFormat="1" ht="18" customHeight="1">
      <c r="A98" s="292" t="s">
        <v>34</v>
      </c>
      <c r="B98" s="293"/>
      <c r="C98" s="29"/>
      <c r="D98" s="134">
        <f t="shared" si="280"/>
        <v>0</v>
      </c>
      <c r="E98" s="29"/>
      <c r="F98" s="29"/>
      <c r="G98" s="137">
        <f t="shared" si="258"/>
        <v>0</v>
      </c>
      <c r="H98" s="29"/>
      <c r="I98" s="137">
        <f t="shared" si="259"/>
        <v>0</v>
      </c>
      <c r="J98" s="29"/>
      <c r="K98" s="137">
        <f t="shared" si="260"/>
        <v>0</v>
      </c>
      <c r="L98" s="29"/>
      <c r="M98" s="137">
        <f t="shared" si="261"/>
        <v>0</v>
      </c>
      <c r="N98" s="29"/>
      <c r="O98" s="137">
        <f t="shared" si="262"/>
        <v>0</v>
      </c>
      <c r="P98" s="29"/>
      <c r="Q98" s="137">
        <f t="shared" si="263"/>
        <v>0</v>
      </c>
      <c r="R98" s="29"/>
      <c r="S98" s="137">
        <f t="shared" si="264"/>
        <v>0</v>
      </c>
      <c r="T98" s="29"/>
      <c r="U98" s="137">
        <f t="shared" si="265"/>
        <v>0</v>
      </c>
      <c r="V98" s="29"/>
      <c r="W98" s="137">
        <f t="shared" si="266"/>
        <v>0</v>
      </c>
      <c r="X98" s="29"/>
      <c r="Y98" s="137">
        <f t="shared" si="267"/>
        <v>0</v>
      </c>
      <c r="Z98" s="29"/>
      <c r="AA98" s="29"/>
      <c r="AB98" s="135">
        <f t="shared" si="244"/>
        <v>1</v>
      </c>
      <c r="AC98" s="29"/>
      <c r="AD98" s="29"/>
      <c r="AE98" s="137">
        <f t="shared" si="268"/>
        <v>0</v>
      </c>
      <c r="AF98" s="135">
        <f t="shared" si="246"/>
        <v>1</v>
      </c>
      <c r="AG98" s="29"/>
      <c r="AH98" s="137">
        <f t="shared" si="269"/>
        <v>0</v>
      </c>
      <c r="AI98" s="135">
        <f t="shared" si="247"/>
        <v>1</v>
      </c>
      <c r="AJ98" s="29"/>
      <c r="AK98" s="137">
        <f t="shared" si="270"/>
        <v>0</v>
      </c>
      <c r="AL98" s="135">
        <f t="shared" si="248"/>
        <v>1</v>
      </c>
      <c r="AM98" s="29"/>
      <c r="AN98" s="137">
        <f t="shared" si="271"/>
        <v>0</v>
      </c>
      <c r="AO98" s="135">
        <f t="shared" si="249"/>
        <v>1</v>
      </c>
      <c r="AP98" s="29"/>
      <c r="AQ98" s="137">
        <f t="shared" si="272"/>
        <v>0</v>
      </c>
      <c r="AR98" s="135">
        <f t="shared" si="250"/>
        <v>1</v>
      </c>
      <c r="AS98" s="29"/>
      <c r="AT98" s="137">
        <f t="shared" si="273"/>
        <v>0</v>
      </c>
      <c r="AU98" s="135">
        <f t="shared" si="251"/>
        <v>1</v>
      </c>
      <c r="AV98" s="29"/>
      <c r="AW98" s="137">
        <f t="shared" si="274"/>
        <v>0</v>
      </c>
      <c r="AX98" s="135">
        <f t="shared" si="252"/>
        <v>1</v>
      </c>
      <c r="AY98" s="29"/>
      <c r="AZ98" s="137">
        <f t="shared" si="275"/>
        <v>0</v>
      </c>
      <c r="BA98" s="135">
        <f t="shared" si="253"/>
        <v>1</v>
      </c>
      <c r="BB98" s="29"/>
      <c r="BC98" s="137">
        <f t="shared" si="276"/>
        <v>0</v>
      </c>
      <c r="BD98" s="135">
        <f t="shared" si="254"/>
        <v>1</v>
      </c>
      <c r="BE98" s="29"/>
      <c r="BF98" s="137">
        <f t="shared" si="277"/>
        <v>0</v>
      </c>
      <c r="BG98" s="135">
        <f t="shared" si="255"/>
        <v>1</v>
      </c>
      <c r="BH98" s="29"/>
      <c r="BI98" s="29"/>
      <c r="BJ98" s="29"/>
      <c r="BK98" s="135">
        <f t="shared" si="281"/>
        <v>1</v>
      </c>
      <c r="BL98" s="135">
        <f t="shared" si="257"/>
        <v>1</v>
      </c>
      <c r="BM98" s="167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</row>
    <row r="99" spans="1:206" s="106" customFormat="1" ht="18" customHeight="1">
      <c r="A99" s="292" t="s">
        <v>34</v>
      </c>
      <c r="B99" s="293"/>
      <c r="C99" s="29"/>
      <c r="D99" s="134">
        <f t="shared" si="280"/>
        <v>0</v>
      </c>
      <c r="E99" s="29"/>
      <c r="F99" s="29"/>
      <c r="G99" s="137">
        <f t="shared" si="258"/>
        <v>0</v>
      </c>
      <c r="H99" s="29"/>
      <c r="I99" s="137">
        <f t="shared" si="259"/>
        <v>0</v>
      </c>
      <c r="J99" s="29"/>
      <c r="K99" s="137">
        <f t="shared" si="260"/>
        <v>0</v>
      </c>
      <c r="L99" s="29"/>
      <c r="M99" s="137">
        <f t="shared" si="261"/>
        <v>0</v>
      </c>
      <c r="N99" s="29"/>
      <c r="O99" s="137">
        <f t="shared" si="262"/>
        <v>0</v>
      </c>
      <c r="P99" s="29"/>
      <c r="Q99" s="137">
        <f t="shared" si="263"/>
        <v>0</v>
      </c>
      <c r="R99" s="29"/>
      <c r="S99" s="137">
        <f t="shared" si="264"/>
        <v>0</v>
      </c>
      <c r="T99" s="29"/>
      <c r="U99" s="137">
        <f t="shared" si="265"/>
        <v>0</v>
      </c>
      <c r="V99" s="29"/>
      <c r="W99" s="137">
        <f t="shared" si="266"/>
        <v>0</v>
      </c>
      <c r="X99" s="29"/>
      <c r="Y99" s="137">
        <f t="shared" si="267"/>
        <v>0</v>
      </c>
      <c r="Z99" s="29"/>
      <c r="AA99" s="29"/>
      <c r="AB99" s="135">
        <f t="shared" si="244"/>
        <v>1</v>
      </c>
      <c r="AC99" s="29"/>
      <c r="AD99" s="29"/>
      <c r="AE99" s="137">
        <f t="shared" si="268"/>
        <v>0</v>
      </c>
      <c r="AF99" s="135">
        <f t="shared" si="246"/>
        <v>1</v>
      </c>
      <c r="AG99" s="29"/>
      <c r="AH99" s="137">
        <f t="shared" si="269"/>
        <v>0</v>
      </c>
      <c r="AI99" s="135">
        <f t="shared" si="247"/>
        <v>1</v>
      </c>
      <c r="AJ99" s="29"/>
      <c r="AK99" s="137">
        <f t="shared" si="270"/>
        <v>0</v>
      </c>
      <c r="AL99" s="135">
        <f t="shared" si="248"/>
        <v>1</v>
      </c>
      <c r="AM99" s="29"/>
      <c r="AN99" s="137">
        <f t="shared" si="271"/>
        <v>0</v>
      </c>
      <c r="AO99" s="135">
        <f t="shared" si="249"/>
        <v>1</v>
      </c>
      <c r="AP99" s="29"/>
      <c r="AQ99" s="137">
        <f t="shared" si="272"/>
        <v>0</v>
      </c>
      <c r="AR99" s="135">
        <f t="shared" si="250"/>
        <v>1</v>
      </c>
      <c r="AS99" s="29"/>
      <c r="AT99" s="137">
        <f t="shared" si="273"/>
        <v>0</v>
      </c>
      <c r="AU99" s="135">
        <f t="shared" si="251"/>
        <v>1</v>
      </c>
      <c r="AV99" s="29"/>
      <c r="AW99" s="137">
        <f t="shared" si="274"/>
        <v>0</v>
      </c>
      <c r="AX99" s="135">
        <f t="shared" si="252"/>
        <v>1</v>
      </c>
      <c r="AY99" s="29"/>
      <c r="AZ99" s="137">
        <f t="shared" si="275"/>
        <v>0</v>
      </c>
      <c r="BA99" s="135">
        <f t="shared" si="253"/>
        <v>1</v>
      </c>
      <c r="BB99" s="29"/>
      <c r="BC99" s="137">
        <f t="shared" si="276"/>
        <v>0</v>
      </c>
      <c r="BD99" s="135">
        <f t="shared" si="254"/>
        <v>1</v>
      </c>
      <c r="BE99" s="29"/>
      <c r="BF99" s="137">
        <f t="shared" si="277"/>
        <v>0</v>
      </c>
      <c r="BG99" s="135">
        <f t="shared" si="255"/>
        <v>1</v>
      </c>
      <c r="BH99" s="29"/>
      <c r="BI99" s="29"/>
      <c r="BJ99" s="29"/>
      <c r="BK99" s="135">
        <f t="shared" si="281"/>
        <v>1</v>
      </c>
      <c r="BL99" s="135">
        <f t="shared" si="257"/>
        <v>1</v>
      </c>
      <c r="BM99" s="167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</row>
    <row r="100" spans="1:206" ht="16.5" customHeight="1">
      <c r="A100" s="292" t="s">
        <v>34</v>
      </c>
      <c r="B100" s="293"/>
      <c r="C100" s="29"/>
      <c r="D100" s="134">
        <f t="shared" si="280"/>
        <v>0</v>
      </c>
      <c r="E100" s="29"/>
      <c r="F100" s="29"/>
      <c r="G100" s="137">
        <f t="shared" si="258"/>
        <v>0</v>
      </c>
      <c r="H100" s="29"/>
      <c r="I100" s="137">
        <f t="shared" si="259"/>
        <v>0</v>
      </c>
      <c r="J100" s="29"/>
      <c r="K100" s="137">
        <f t="shared" si="260"/>
        <v>0</v>
      </c>
      <c r="L100" s="29"/>
      <c r="M100" s="137">
        <f t="shared" si="261"/>
        <v>0</v>
      </c>
      <c r="N100" s="29"/>
      <c r="O100" s="137">
        <f t="shared" si="262"/>
        <v>0</v>
      </c>
      <c r="P100" s="29"/>
      <c r="Q100" s="137">
        <f t="shared" si="263"/>
        <v>0</v>
      </c>
      <c r="R100" s="29"/>
      <c r="S100" s="137">
        <f t="shared" si="264"/>
        <v>0</v>
      </c>
      <c r="T100" s="29"/>
      <c r="U100" s="137">
        <f t="shared" si="265"/>
        <v>0</v>
      </c>
      <c r="V100" s="29"/>
      <c r="W100" s="137">
        <f t="shared" si="266"/>
        <v>0</v>
      </c>
      <c r="X100" s="29"/>
      <c r="Y100" s="137">
        <f t="shared" si="267"/>
        <v>0</v>
      </c>
      <c r="Z100" s="29"/>
      <c r="AA100" s="29"/>
      <c r="AB100" s="135">
        <f t="shared" si="244"/>
        <v>1</v>
      </c>
      <c r="AC100" s="29"/>
      <c r="AD100" s="29"/>
      <c r="AE100" s="137">
        <f t="shared" si="268"/>
        <v>0</v>
      </c>
      <c r="AF100" s="135">
        <f t="shared" si="246"/>
        <v>1</v>
      </c>
      <c r="AG100" s="29"/>
      <c r="AH100" s="137">
        <f t="shared" si="269"/>
        <v>0</v>
      </c>
      <c r="AI100" s="135">
        <f t="shared" si="247"/>
        <v>1</v>
      </c>
      <c r="AJ100" s="29"/>
      <c r="AK100" s="137">
        <f t="shared" si="270"/>
        <v>0</v>
      </c>
      <c r="AL100" s="135">
        <f t="shared" si="248"/>
        <v>1</v>
      </c>
      <c r="AM100" s="29"/>
      <c r="AN100" s="137">
        <f t="shared" si="271"/>
        <v>0</v>
      </c>
      <c r="AO100" s="135">
        <f t="shared" si="249"/>
        <v>1</v>
      </c>
      <c r="AP100" s="29"/>
      <c r="AQ100" s="137">
        <f t="shared" si="272"/>
        <v>0</v>
      </c>
      <c r="AR100" s="135">
        <f t="shared" si="250"/>
        <v>1</v>
      </c>
      <c r="AS100" s="29"/>
      <c r="AT100" s="137">
        <f t="shared" si="273"/>
        <v>0</v>
      </c>
      <c r="AU100" s="135">
        <f t="shared" si="251"/>
        <v>1</v>
      </c>
      <c r="AV100" s="29"/>
      <c r="AW100" s="137">
        <f t="shared" si="274"/>
        <v>0</v>
      </c>
      <c r="AX100" s="135">
        <f t="shared" si="252"/>
        <v>1</v>
      </c>
      <c r="AY100" s="29"/>
      <c r="AZ100" s="137">
        <f t="shared" si="275"/>
        <v>0</v>
      </c>
      <c r="BA100" s="135">
        <f t="shared" si="253"/>
        <v>1</v>
      </c>
      <c r="BB100" s="29"/>
      <c r="BC100" s="137">
        <f t="shared" si="276"/>
        <v>0</v>
      </c>
      <c r="BD100" s="135">
        <f t="shared" si="254"/>
        <v>1</v>
      </c>
      <c r="BE100" s="29"/>
      <c r="BF100" s="137">
        <f t="shared" si="277"/>
        <v>0</v>
      </c>
      <c r="BG100" s="135">
        <f t="shared" si="255"/>
        <v>1</v>
      </c>
      <c r="BH100" s="29"/>
      <c r="BI100" s="29"/>
      <c r="BJ100" s="29"/>
      <c r="BK100" s="135">
        <f t="shared" si="281"/>
        <v>1</v>
      </c>
      <c r="BL100" s="135">
        <f t="shared" si="257"/>
        <v>1</v>
      </c>
    </row>
    <row r="101" spans="1:206" s="104" customFormat="1" ht="18" customHeight="1">
      <c r="A101" s="296" t="s">
        <v>68</v>
      </c>
      <c r="B101" s="297"/>
      <c r="C101" s="137">
        <f t="shared" ref="C101:F101" si="282">C102+C103+C104+C105+C106+C107+C108+C112+C109+C110+C111</f>
        <v>0</v>
      </c>
      <c r="D101" s="137">
        <f t="shared" si="282"/>
        <v>0</v>
      </c>
      <c r="E101" s="137">
        <f t="shared" si="282"/>
        <v>0</v>
      </c>
      <c r="F101" s="137">
        <f t="shared" si="282"/>
        <v>0</v>
      </c>
      <c r="G101" s="137">
        <f t="shared" si="258"/>
        <v>0</v>
      </c>
      <c r="H101" s="137">
        <f>H102+H103+H104+H105+H106+H107+H108+H112+H109+H110+H111</f>
        <v>0</v>
      </c>
      <c r="I101" s="137">
        <f t="shared" ref="I101" si="283">I102+I103+I104+I105+I106+I107+I108+I112</f>
        <v>0</v>
      </c>
      <c r="J101" s="137">
        <f>J102+J103+J104+J105+J106+J107+J108+J112+J109+J110+J111</f>
        <v>0</v>
      </c>
      <c r="K101" s="137">
        <f t="shared" si="260"/>
        <v>0</v>
      </c>
      <c r="L101" s="137">
        <f>L102+L103+L104+L105+L106+L107+L108+L112+L109+L110+L111</f>
        <v>0</v>
      </c>
      <c r="M101" s="137">
        <f t="shared" si="261"/>
        <v>0</v>
      </c>
      <c r="N101" s="137">
        <f>N102+N103+N104+N105+N106+N107+N108+N112+N109+N110+N111</f>
        <v>0</v>
      </c>
      <c r="O101" s="137">
        <f t="shared" si="262"/>
        <v>0</v>
      </c>
      <c r="P101" s="137">
        <f>P102+P103+P104+P105+P106+P107+P108+P112+P109+P110+P111</f>
        <v>0</v>
      </c>
      <c r="Q101" s="137">
        <f t="shared" si="263"/>
        <v>0</v>
      </c>
      <c r="R101" s="137">
        <f>R102+R103+R104+R105+R106+R107+R108+R112+R109+R110+R111</f>
        <v>0</v>
      </c>
      <c r="S101" s="137">
        <f t="shared" si="264"/>
        <v>0</v>
      </c>
      <c r="T101" s="137">
        <f>T102+T103+T104+T105+T106+T107+T108+T112+T109+T110+T111</f>
        <v>0</v>
      </c>
      <c r="U101" s="137">
        <f t="shared" si="265"/>
        <v>0</v>
      </c>
      <c r="V101" s="137">
        <f>V102+V103+V104+V105+V106+V107+V108+V112+V109+V110+V111</f>
        <v>0</v>
      </c>
      <c r="W101" s="137">
        <f t="shared" si="266"/>
        <v>0</v>
      </c>
      <c r="X101" s="137">
        <f>X102+X103+X104+X105+X106+X107+X108+X112+X109+X110+X111</f>
        <v>0</v>
      </c>
      <c r="Y101" s="137">
        <f t="shared" si="267"/>
        <v>0</v>
      </c>
      <c r="Z101" s="137">
        <f>Z102+Z103+Z104+Z105+Z106+Z107+Z108+Z112+Z109+Z110+Z111</f>
        <v>0</v>
      </c>
      <c r="AA101" s="137">
        <f t="shared" ref="AA101" si="284">AA102+AA103+AA104+AA105+AA106+AA107+AA108+AA112</f>
        <v>0</v>
      </c>
      <c r="AB101" s="135">
        <f t="shared" si="244"/>
        <v>1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268"/>
        <v>0</v>
      </c>
      <c r="AF101" s="135">
        <f t="shared" si="246"/>
        <v>1</v>
      </c>
      <c r="AG101" s="137">
        <f>AG102+AG103+AG104+AG105+AG106+AG107+AG108+AG112+AG109+AG110+AG111</f>
        <v>0</v>
      </c>
      <c r="AH101" s="137">
        <f t="shared" si="269"/>
        <v>0</v>
      </c>
      <c r="AI101" s="135">
        <f t="shared" si="247"/>
        <v>1</v>
      </c>
      <c r="AJ101" s="137">
        <f>AJ102+AJ103+AJ104+AJ105+AJ106+AJ107+AJ108+AJ112+AJ109+AJ110+AJ111</f>
        <v>0</v>
      </c>
      <c r="AK101" s="137">
        <f t="shared" si="270"/>
        <v>0</v>
      </c>
      <c r="AL101" s="135">
        <f t="shared" si="248"/>
        <v>1</v>
      </c>
      <c r="AM101" s="137">
        <f>AM102+AM103+AM104+AM105+AM106+AM107+AM108+AM112+AM109+AM110+AM111</f>
        <v>0</v>
      </c>
      <c r="AN101" s="137">
        <f t="shared" si="271"/>
        <v>0</v>
      </c>
      <c r="AO101" s="135">
        <f t="shared" si="249"/>
        <v>1</v>
      </c>
      <c r="AP101" s="137">
        <f>AP102+AP103+AP104+AP105+AP106+AP107+AP108+AP112+AP109+AP110+AP111</f>
        <v>0</v>
      </c>
      <c r="AQ101" s="137">
        <f t="shared" si="272"/>
        <v>0</v>
      </c>
      <c r="AR101" s="135">
        <f t="shared" si="250"/>
        <v>1</v>
      </c>
      <c r="AS101" s="137">
        <f>AS102+AS103+AS104+AS105+AS106+AS107+AS108+AS112+AS109+AS110+AS111</f>
        <v>0</v>
      </c>
      <c r="AT101" s="137">
        <f t="shared" si="273"/>
        <v>0</v>
      </c>
      <c r="AU101" s="135">
        <f t="shared" si="251"/>
        <v>1</v>
      </c>
      <c r="AV101" s="137">
        <f>AV102+AV103+AV104+AV105+AV106+AV107+AV108+AV112+AV109+AV110+AV111</f>
        <v>0</v>
      </c>
      <c r="AW101" s="137">
        <f t="shared" si="274"/>
        <v>0</v>
      </c>
      <c r="AX101" s="135">
        <f t="shared" si="252"/>
        <v>1</v>
      </c>
      <c r="AY101" s="137">
        <f>AY102+AY103+AY104+AY105+AY106+AY107+AY108+AY112+AY109+AY110+AY111</f>
        <v>0</v>
      </c>
      <c r="AZ101" s="137">
        <f t="shared" si="275"/>
        <v>0</v>
      </c>
      <c r="BA101" s="135">
        <f t="shared" si="253"/>
        <v>1</v>
      </c>
      <c r="BB101" s="137">
        <f>BB102+BB103+BB104+BB105+BB106+BB107+BB108+BB112+BB109+BB110+BB111</f>
        <v>0</v>
      </c>
      <c r="BC101" s="137">
        <f t="shared" si="276"/>
        <v>0</v>
      </c>
      <c r="BD101" s="135">
        <f t="shared" si="254"/>
        <v>1</v>
      </c>
      <c r="BE101" s="137">
        <f>BE102+BE103+BE104+BE105+BE106+BE107+BE108+BE112+BE109+BE110+BE111</f>
        <v>0</v>
      </c>
      <c r="BF101" s="137">
        <f t="shared" si="277"/>
        <v>0</v>
      </c>
      <c r="BG101" s="135">
        <f t="shared" si="255"/>
        <v>1</v>
      </c>
      <c r="BH101" s="137">
        <f>BH102+BH103+BH104+BH105+BH106+BH107+BH108+BH112+BH109+BH110+BH111</f>
        <v>0</v>
      </c>
      <c r="BI101" s="137">
        <f t="shared" ref="BI101:BJ101" si="285">BI102+BI103+BI104+BI105+BI106+BI107+BI108+BI112</f>
        <v>0</v>
      </c>
      <c r="BJ101" s="137">
        <f t="shared" si="285"/>
        <v>0</v>
      </c>
      <c r="BK101" s="135">
        <f>IF($AA$101=0,1,BJ101/$AA$101-1)</f>
        <v>1</v>
      </c>
      <c r="BL101" s="135">
        <f t="shared" si="257"/>
        <v>1</v>
      </c>
      <c r="BM101" s="167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</row>
    <row r="102" spans="1:206" s="104" customFormat="1" ht="19.5" customHeight="1">
      <c r="A102" s="290">
        <v>243</v>
      </c>
      <c r="B102" s="291"/>
      <c r="C102" s="29"/>
      <c r="D102" s="134">
        <f t="shared" ref="D102:D112" si="286">E102+F102+H102+J102+L102+N102+P102+R102+T102+V102+X102+Z102</f>
        <v>0</v>
      </c>
      <c r="E102" s="29"/>
      <c r="F102" s="29"/>
      <c r="G102" s="137">
        <f t="shared" si="258"/>
        <v>0</v>
      </c>
      <c r="H102" s="29"/>
      <c r="I102" s="137">
        <f t="shared" ref="I102:I112" si="287">F102+E102</f>
        <v>0</v>
      </c>
      <c r="J102" s="29"/>
      <c r="K102" s="137">
        <f t="shared" si="260"/>
        <v>0</v>
      </c>
      <c r="L102" s="29"/>
      <c r="M102" s="137">
        <f t="shared" si="261"/>
        <v>0</v>
      </c>
      <c r="N102" s="29"/>
      <c r="O102" s="137">
        <f t="shared" si="262"/>
        <v>0</v>
      </c>
      <c r="P102" s="29"/>
      <c r="Q102" s="137">
        <f t="shared" si="263"/>
        <v>0</v>
      </c>
      <c r="R102" s="29"/>
      <c r="S102" s="137">
        <f t="shared" si="264"/>
        <v>0</v>
      </c>
      <c r="T102" s="29"/>
      <c r="U102" s="137">
        <f t="shared" si="265"/>
        <v>0</v>
      </c>
      <c r="V102" s="29"/>
      <c r="W102" s="137">
        <f t="shared" si="266"/>
        <v>0</v>
      </c>
      <c r="X102" s="29"/>
      <c r="Y102" s="137">
        <f t="shared" si="267"/>
        <v>0</v>
      </c>
      <c r="Z102" s="29"/>
      <c r="AA102" s="29"/>
      <c r="AB102" s="135">
        <f t="shared" si="244"/>
        <v>1</v>
      </c>
      <c r="AC102" s="29"/>
      <c r="AD102" s="29"/>
      <c r="AE102" s="137">
        <f t="shared" si="268"/>
        <v>0</v>
      </c>
      <c r="AF102" s="135">
        <f t="shared" si="246"/>
        <v>1</v>
      </c>
      <c r="AG102" s="29"/>
      <c r="AH102" s="137">
        <f t="shared" si="269"/>
        <v>0</v>
      </c>
      <c r="AI102" s="135">
        <f t="shared" si="247"/>
        <v>1</v>
      </c>
      <c r="AJ102" s="29"/>
      <c r="AK102" s="137">
        <f t="shared" si="270"/>
        <v>0</v>
      </c>
      <c r="AL102" s="135">
        <f t="shared" si="248"/>
        <v>1</v>
      </c>
      <c r="AM102" s="29"/>
      <c r="AN102" s="137">
        <f t="shared" si="271"/>
        <v>0</v>
      </c>
      <c r="AO102" s="135">
        <f t="shared" si="249"/>
        <v>1</v>
      </c>
      <c r="AP102" s="29"/>
      <c r="AQ102" s="137">
        <f t="shared" si="272"/>
        <v>0</v>
      </c>
      <c r="AR102" s="135">
        <f t="shared" si="250"/>
        <v>1</v>
      </c>
      <c r="AS102" s="29"/>
      <c r="AT102" s="137">
        <f t="shared" si="273"/>
        <v>0</v>
      </c>
      <c r="AU102" s="135">
        <f t="shared" si="251"/>
        <v>1</v>
      </c>
      <c r="AV102" s="29"/>
      <c r="AW102" s="137">
        <f t="shared" si="274"/>
        <v>0</v>
      </c>
      <c r="AX102" s="135">
        <f t="shared" si="252"/>
        <v>1</v>
      </c>
      <c r="AY102" s="29"/>
      <c r="AZ102" s="137">
        <f t="shared" si="275"/>
        <v>0</v>
      </c>
      <c r="BA102" s="135">
        <f t="shared" si="253"/>
        <v>1</v>
      </c>
      <c r="BB102" s="29"/>
      <c r="BC102" s="137">
        <f t="shared" si="276"/>
        <v>0</v>
      </c>
      <c r="BD102" s="135">
        <f t="shared" si="254"/>
        <v>1</v>
      </c>
      <c r="BE102" s="29"/>
      <c r="BF102" s="137">
        <f t="shared" si="277"/>
        <v>0</v>
      </c>
      <c r="BG102" s="135">
        <f t="shared" si="255"/>
        <v>1</v>
      </c>
      <c r="BH102" s="29"/>
      <c r="BI102" s="29"/>
      <c r="BJ102" s="29">
        <v>0</v>
      </c>
      <c r="BK102" s="135">
        <f>IF($AA$102=0,1,BJ102/$AA$102-1)</f>
        <v>1</v>
      </c>
      <c r="BL102" s="135">
        <f t="shared" si="257"/>
        <v>1</v>
      </c>
      <c r="BM102" s="167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</row>
    <row r="103" spans="1:206" s="106" customFormat="1" ht="18" customHeight="1">
      <c r="A103" s="290">
        <v>244</v>
      </c>
      <c r="B103" s="291"/>
      <c r="C103" s="29"/>
      <c r="D103" s="134">
        <f t="shared" si="286"/>
        <v>0</v>
      </c>
      <c r="E103" s="29"/>
      <c r="F103" s="29"/>
      <c r="G103" s="137">
        <f t="shared" si="258"/>
        <v>0</v>
      </c>
      <c r="H103" s="29"/>
      <c r="I103" s="137">
        <f t="shared" si="287"/>
        <v>0</v>
      </c>
      <c r="J103" s="29"/>
      <c r="K103" s="137">
        <f t="shared" si="260"/>
        <v>0</v>
      </c>
      <c r="L103" s="29"/>
      <c r="M103" s="137">
        <f t="shared" si="261"/>
        <v>0</v>
      </c>
      <c r="N103" s="29"/>
      <c r="O103" s="137">
        <f t="shared" si="262"/>
        <v>0</v>
      </c>
      <c r="P103" s="29"/>
      <c r="Q103" s="137">
        <f t="shared" si="263"/>
        <v>0</v>
      </c>
      <c r="R103" s="29"/>
      <c r="S103" s="137">
        <f t="shared" si="264"/>
        <v>0</v>
      </c>
      <c r="T103" s="29"/>
      <c r="U103" s="137">
        <f t="shared" si="265"/>
        <v>0</v>
      </c>
      <c r="V103" s="29"/>
      <c r="W103" s="137">
        <f t="shared" si="266"/>
        <v>0</v>
      </c>
      <c r="X103" s="29"/>
      <c r="Y103" s="137">
        <f t="shared" si="267"/>
        <v>0</v>
      </c>
      <c r="Z103" s="29"/>
      <c r="AA103" s="29"/>
      <c r="AB103" s="135">
        <f t="shared" si="244"/>
        <v>1</v>
      </c>
      <c r="AC103" s="29"/>
      <c r="AD103" s="29"/>
      <c r="AE103" s="137">
        <f t="shared" si="268"/>
        <v>0</v>
      </c>
      <c r="AF103" s="135">
        <f t="shared" si="246"/>
        <v>1</v>
      </c>
      <c r="AG103" s="29"/>
      <c r="AH103" s="137">
        <f t="shared" si="269"/>
        <v>0</v>
      </c>
      <c r="AI103" s="135">
        <f t="shared" si="247"/>
        <v>1</v>
      </c>
      <c r="AJ103" s="29"/>
      <c r="AK103" s="137">
        <f t="shared" si="270"/>
        <v>0</v>
      </c>
      <c r="AL103" s="135">
        <f t="shared" si="248"/>
        <v>1</v>
      </c>
      <c r="AM103" s="29"/>
      <c r="AN103" s="137">
        <f t="shared" si="271"/>
        <v>0</v>
      </c>
      <c r="AO103" s="135">
        <f t="shared" si="249"/>
        <v>1</v>
      </c>
      <c r="AP103" s="29"/>
      <c r="AQ103" s="137">
        <f t="shared" si="272"/>
        <v>0</v>
      </c>
      <c r="AR103" s="135">
        <f t="shared" si="250"/>
        <v>1</v>
      </c>
      <c r="AS103" s="29"/>
      <c r="AT103" s="137">
        <f t="shared" si="273"/>
        <v>0</v>
      </c>
      <c r="AU103" s="135">
        <f t="shared" si="251"/>
        <v>1</v>
      </c>
      <c r="AV103" s="29"/>
      <c r="AW103" s="137">
        <f t="shared" si="274"/>
        <v>0</v>
      </c>
      <c r="AX103" s="135">
        <f t="shared" si="252"/>
        <v>1</v>
      </c>
      <c r="AY103" s="29"/>
      <c r="AZ103" s="137">
        <f t="shared" si="275"/>
        <v>0</v>
      </c>
      <c r="BA103" s="135">
        <f t="shared" si="253"/>
        <v>1</v>
      </c>
      <c r="BB103" s="29"/>
      <c r="BC103" s="137">
        <f t="shared" si="276"/>
        <v>0</v>
      </c>
      <c r="BD103" s="135">
        <f t="shared" si="254"/>
        <v>1</v>
      </c>
      <c r="BE103" s="29"/>
      <c r="BF103" s="137">
        <f t="shared" si="277"/>
        <v>0</v>
      </c>
      <c r="BG103" s="135">
        <f t="shared" si="255"/>
        <v>1</v>
      </c>
      <c r="BH103" s="29"/>
      <c r="BI103" s="29"/>
      <c r="BJ103" s="29">
        <v>0</v>
      </c>
      <c r="BK103" s="135">
        <f>IF($AA$103=0,1,BJ103/$AA$103-1)</f>
        <v>1</v>
      </c>
      <c r="BL103" s="135">
        <f t="shared" si="257"/>
        <v>1</v>
      </c>
      <c r="BM103" s="167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</row>
    <row r="104" spans="1:206" s="106" customFormat="1" ht="18" customHeight="1">
      <c r="A104" s="290">
        <v>414</v>
      </c>
      <c r="B104" s="291"/>
      <c r="C104" s="29"/>
      <c r="D104" s="134">
        <f t="shared" si="286"/>
        <v>0</v>
      </c>
      <c r="E104" s="29"/>
      <c r="F104" s="29"/>
      <c r="G104" s="137">
        <f t="shared" si="258"/>
        <v>0</v>
      </c>
      <c r="H104" s="29"/>
      <c r="I104" s="137">
        <f t="shared" si="287"/>
        <v>0</v>
      </c>
      <c r="J104" s="29"/>
      <c r="K104" s="137">
        <f t="shared" si="260"/>
        <v>0</v>
      </c>
      <c r="L104" s="29"/>
      <c r="M104" s="137">
        <f t="shared" si="261"/>
        <v>0</v>
      </c>
      <c r="N104" s="29"/>
      <c r="O104" s="137">
        <f t="shared" si="262"/>
        <v>0</v>
      </c>
      <c r="P104" s="29"/>
      <c r="Q104" s="137">
        <f t="shared" si="263"/>
        <v>0</v>
      </c>
      <c r="R104" s="29"/>
      <c r="S104" s="137">
        <f t="shared" si="264"/>
        <v>0</v>
      </c>
      <c r="T104" s="29"/>
      <c r="U104" s="137">
        <f t="shared" si="265"/>
        <v>0</v>
      </c>
      <c r="V104" s="29"/>
      <c r="W104" s="137">
        <f t="shared" si="266"/>
        <v>0</v>
      </c>
      <c r="X104" s="29"/>
      <c r="Y104" s="137">
        <f t="shared" si="267"/>
        <v>0</v>
      </c>
      <c r="Z104" s="29"/>
      <c r="AA104" s="29"/>
      <c r="AB104" s="135">
        <f t="shared" si="244"/>
        <v>1</v>
      </c>
      <c r="AC104" s="29"/>
      <c r="AD104" s="29"/>
      <c r="AE104" s="137">
        <f t="shared" si="268"/>
        <v>0</v>
      </c>
      <c r="AF104" s="135">
        <f t="shared" si="246"/>
        <v>1</v>
      </c>
      <c r="AG104" s="29"/>
      <c r="AH104" s="137">
        <f t="shared" si="269"/>
        <v>0</v>
      </c>
      <c r="AI104" s="135">
        <f t="shared" si="247"/>
        <v>1</v>
      </c>
      <c r="AJ104" s="29"/>
      <c r="AK104" s="137">
        <f t="shared" si="270"/>
        <v>0</v>
      </c>
      <c r="AL104" s="135">
        <f t="shared" si="248"/>
        <v>1</v>
      </c>
      <c r="AM104" s="29"/>
      <c r="AN104" s="137">
        <f t="shared" si="271"/>
        <v>0</v>
      </c>
      <c r="AO104" s="135">
        <f t="shared" si="249"/>
        <v>1</v>
      </c>
      <c r="AP104" s="29"/>
      <c r="AQ104" s="137">
        <f t="shared" si="272"/>
        <v>0</v>
      </c>
      <c r="AR104" s="135">
        <f t="shared" si="250"/>
        <v>1</v>
      </c>
      <c r="AS104" s="29"/>
      <c r="AT104" s="137">
        <f t="shared" si="273"/>
        <v>0</v>
      </c>
      <c r="AU104" s="135">
        <f t="shared" si="251"/>
        <v>1</v>
      </c>
      <c r="AV104" s="29"/>
      <c r="AW104" s="137">
        <f t="shared" si="274"/>
        <v>0</v>
      </c>
      <c r="AX104" s="135">
        <f t="shared" si="252"/>
        <v>1</v>
      </c>
      <c r="AY104" s="29"/>
      <c r="AZ104" s="137">
        <f t="shared" si="275"/>
        <v>0</v>
      </c>
      <c r="BA104" s="135">
        <f t="shared" si="253"/>
        <v>1</v>
      </c>
      <c r="BB104" s="29"/>
      <c r="BC104" s="137">
        <f t="shared" si="276"/>
        <v>0</v>
      </c>
      <c r="BD104" s="135">
        <f t="shared" si="254"/>
        <v>1</v>
      </c>
      <c r="BE104" s="29"/>
      <c r="BF104" s="137">
        <f t="shared" si="277"/>
        <v>0</v>
      </c>
      <c r="BG104" s="135">
        <f t="shared" si="255"/>
        <v>1</v>
      </c>
      <c r="BH104" s="29"/>
      <c r="BI104" s="29"/>
      <c r="BJ104" s="29">
        <v>0</v>
      </c>
      <c r="BK104" s="135">
        <f>IF($AA$104=0,1,BJ104/$AA$104-1)</f>
        <v>1</v>
      </c>
      <c r="BL104" s="135">
        <f t="shared" si="257"/>
        <v>1</v>
      </c>
      <c r="BM104" s="167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</row>
    <row r="105" spans="1:206" s="106" customFormat="1" ht="18" customHeight="1">
      <c r="A105" s="290">
        <v>521</v>
      </c>
      <c r="B105" s="291"/>
      <c r="C105" s="29"/>
      <c r="D105" s="134">
        <f t="shared" si="286"/>
        <v>0</v>
      </c>
      <c r="E105" s="29"/>
      <c r="F105" s="29"/>
      <c r="G105" s="137">
        <f t="shared" si="258"/>
        <v>0</v>
      </c>
      <c r="H105" s="29"/>
      <c r="I105" s="137">
        <f t="shared" si="287"/>
        <v>0</v>
      </c>
      <c r="J105" s="29"/>
      <c r="K105" s="137">
        <f t="shared" si="260"/>
        <v>0</v>
      </c>
      <c r="L105" s="29"/>
      <c r="M105" s="137">
        <f t="shared" si="261"/>
        <v>0</v>
      </c>
      <c r="N105" s="29"/>
      <c r="O105" s="137">
        <f t="shared" si="262"/>
        <v>0</v>
      </c>
      <c r="P105" s="29"/>
      <c r="Q105" s="137">
        <f t="shared" si="263"/>
        <v>0</v>
      </c>
      <c r="R105" s="29"/>
      <c r="S105" s="137">
        <f t="shared" si="264"/>
        <v>0</v>
      </c>
      <c r="T105" s="29"/>
      <c r="U105" s="137">
        <f t="shared" si="265"/>
        <v>0</v>
      </c>
      <c r="V105" s="29"/>
      <c r="W105" s="137">
        <f t="shared" si="266"/>
        <v>0</v>
      </c>
      <c r="X105" s="29"/>
      <c r="Y105" s="137">
        <f t="shared" si="267"/>
        <v>0</v>
      </c>
      <c r="Z105" s="29"/>
      <c r="AA105" s="29"/>
      <c r="AB105" s="135">
        <f t="shared" si="244"/>
        <v>1</v>
      </c>
      <c r="AC105" s="29"/>
      <c r="AD105" s="29"/>
      <c r="AE105" s="137">
        <f t="shared" si="268"/>
        <v>0</v>
      </c>
      <c r="AF105" s="135">
        <f t="shared" si="246"/>
        <v>1</v>
      </c>
      <c r="AG105" s="29"/>
      <c r="AH105" s="137">
        <f t="shared" si="269"/>
        <v>0</v>
      </c>
      <c r="AI105" s="135">
        <f t="shared" si="247"/>
        <v>1</v>
      </c>
      <c r="AJ105" s="29"/>
      <c r="AK105" s="137">
        <f t="shared" si="270"/>
        <v>0</v>
      </c>
      <c r="AL105" s="135">
        <f t="shared" si="248"/>
        <v>1</v>
      </c>
      <c r="AM105" s="29"/>
      <c r="AN105" s="137">
        <f t="shared" si="271"/>
        <v>0</v>
      </c>
      <c r="AO105" s="135">
        <f t="shared" si="249"/>
        <v>1</v>
      </c>
      <c r="AP105" s="29"/>
      <c r="AQ105" s="137">
        <f t="shared" si="272"/>
        <v>0</v>
      </c>
      <c r="AR105" s="135">
        <f t="shared" si="250"/>
        <v>1</v>
      </c>
      <c r="AS105" s="29"/>
      <c r="AT105" s="137">
        <f t="shared" si="273"/>
        <v>0</v>
      </c>
      <c r="AU105" s="135">
        <f t="shared" si="251"/>
        <v>1</v>
      </c>
      <c r="AV105" s="29"/>
      <c r="AW105" s="137">
        <f t="shared" si="274"/>
        <v>0</v>
      </c>
      <c r="AX105" s="135">
        <f t="shared" si="252"/>
        <v>1</v>
      </c>
      <c r="AY105" s="29"/>
      <c r="AZ105" s="137">
        <f t="shared" si="275"/>
        <v>0</v>
      </c>
      <c r="BA105" s="135">
        <f t="shared" si="253"/>
        <v>1</v>
      </c>
      <c r="BB105" s="29"/>
      <c r="BC105" s="137">
        <f t="shared" si="276"/>
        <v>0</v>
      </c>
      <c r="BD105" s="135">
        <f t="shared" si="254"/>
        <v>1</v>
      </c>
      <c r="BE105" s="29"/>
      <c r="BF105" s="137">
        <f t="shared" si="277"/>
        <v>0</v>
      </c>
      <c r="BG105" s="135">
        <f t="shared" si="255"/>
        <v>1</v>
      </c>
      <c r="BH105" s="29"/>
      <c r="BI105" s="29"/>
      <c r="BJ105" s="29">
        <v>0</v>
      </c>
      <c r="BK105" s="135">
        <f>IF($AA$105=0,1,BJ105/$AA$105-1)</f>
        <v>1</v>
      </c>
      <c r="BL105" s="135">
        <f t="shared" si="257"/>
        <v>1</v>
      </c>
      <c r="BM105" s="167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</row>
    <row r="106" spans="1:206" s="106" customFormat="1" ht="18" customHeight="1">
      <c r="A106" s="290">
        <v>831</v>
      </c>
      <c r="B106" s="291"/>
      <c r="C106" s="29"/>
      <c r="D106" s="134">
        <f t="shared" si="286"/>
        <v>0</v>
      </c>
      <c r="E106" s="29"/>
      <c r="F106" s="29"/>
      <c r="G106" s="137">
        <f t="shared" si="258"/>
        <v>0</v>
      </c>
      <c r="H106" s="29"/>
      <c r="I106" s="137">
        <f t="shared" si="287"/>
        <v>0</v>
      </c>
      <c r="J106" s="29"/>
      <c r="K106" s="137">
        <f t="shared" si="260"/>
        <v>0</v>
      </c>
      <c r="L106" s="29"/>
      <c r="M106" s="137">
        <f t="shared" si="261"/>
        <v>0</v>
      </c>
      <c r="N106" s="29"/>
      <c r="O106" s="137">
        <f t="shared" si="262"/>
        <v>0</v>
      </c>
      <c r="P106" s="29"/>
      <c r="Q106" s="137">
        <f t="shared" si="263"/>
        <v>0</v>
      </c>
      <c r="R106" s="29"/>
      <c r="S106" s="137">
        <f t="shared" si="264"/>
        <v>0</v>
      </c>
      <c r="T106" s="29"/>
      <c r="U106" s="137">
        <f t="shared" si="265"/>
        <v>0</v>
      </c>
      <c r="V106" s="29"/>
      <c r="W106" s="137">
        <f t="shared" si="266"/>
        <v>0</v>
      </c>
      <c r="X106" s="29"/>
      <c r="Y106" s="137">
        <f t="shared" si="267"/>
        <v>0</v>
      </c>
      <c r="Z106" s="29"/>
      <c r="AA106" s="29"/>
      <c r="AB106" s="135">
        <f t="shared" si="244"/>
        <v>1</v>
      </c>
      <c r="AC106" s="29"/>
      <c r="AD106" s="29"/>
      <c r="AE106" s="137">
        <f t="shared" si="268"/>
        <v>0</v>
      </c>
      <c r="AF106" s="135">
        <f t="shared" si="246"/>
        <v>1</v>
      </c>
      <c r="AG106" s="29"/>
      <c r="AH106" s="137">
        <f t="shared" si="269"/>
        <v>0</v>
      </c>
      <c r="AI106" s="135">
        <f t="shared" si="247"/>
        <v>1</v>
      </c>
      <c r="AJ106" s="29"/>
      <c r="AK106" s="137">
        <f t="shared" si="270"/>
        <v>0</v>
      </c>
      <c r="AL106" s="135">
        <f t="shared" si="248"/>
        <v>1</v>
      </c>
      <c r="AM106" s="29"/>
      <c r="AN106" s="137">
        <f t="shared" si="271"/>
        <v>0</v>
      </c>
      <c r="AO106" s="135">
        <f t="shared" si="249"/>
        <v>1</v>
      </c>
      <c r="AP106" s="29"/>
      <c r="AQ106" s="137">
        <f t="shared" si="272"/>
        <v>0</v>
      </c>
      <c r="AR106" s="135">
        <f t="shared" si="250"/>
        <v>1</v>
      </c>
      <c r="AS106" s="29"/>
      <c r="AT106" s="137">
        <f t="shared" si="273"/>
        <v>0</v>
      </c>
      <c r="AU106" s="135">
        <f t="shared" si="251"/>
        <v>1</v>
      </c>
      <c r="AV106" s="29"/>
      <c r="AW106" s="137">
        <f t="shared" si="274"/>
        <v>0</v>
      </c>
      <c r="AX106" s="135">
        <f t="shared" si="252"/>
        <v>1</v>
      </c>
      <c r="AY106" s="29"/>
      <c r="AZ106" s="137">
        <f t="shared" si="275"/>
        <v>0</v>
      </c>
      <c r="BA106" s="135">
        <f t="shared" si="253"/>
        <v>1</v>
      </c>
      <c r="BB106" s="29"/>
      <c r="BC106" s="137">
        <f t="shared" si="276"/>
        <v>0</v>
      </c>
      <c r="BD106" s="135">
        <f t="shared" si="254"/>
        <v>1</v>
      </c>
      <c r="BE106" s="29"/>
      <c r="BF106" s="137">
        <f t="shared" si="277"/>
        <v>0</v>
      </c>
      <c r="BG106" s="135">
        <f t="shared" si="255"/>
        <v>1</v>
      </c>
      <c r="BH106" s="29"/>
      <c r="BI106" s="29"/>
      <c r="BJ106" s="29">
        <v>0</v>
      </c>
      <c r="BK106" s="135">
        <f t="shared" ref="BK106:BK112" si="288">IF($AA$105=0,1,BJ106/$AA$105-1)</f>
        <v>1</v>
      </c>
      <c r="BL106" s="135">
        <f t="shared" si="257"/>
        <v>1</v>
      </c>
      <c r="BM106" s="167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</row>
    <row r="107" spans="1:206" s="106" customFormat="1" ht="18" customHeight="1">
      <c r="A107" s="290">
        <v>851</v>
      </c>
      <c r="B107" s="291"/>
      <c r="C107" s="29"/>
      <c r="D107" s="134">
        <f t="shared" si="286"/>
        <v>0</v>
      </c>
      <c r="E107" s="29"/>
      <c r="F107" s="29"/>
      <c r="G107" s="137">
        <f t="shared" si="258"/>
        <v>0</v>
      </c>
      <c r="H107" s="29"/>
      <c r="I107" s="137">
        <f t="shared" si="287"/>
        <v>0</v>
      </c>
      <c r="J107" s="29"/>
      <c r="K107" s="137">
        <f t="shared" si="260"/>
        <v>0</v>
      </c>
      <c r="L107" s="29"/>
      <c r="M107" s="137">
        <f t="shared" si="261"/>
        <v>0</v>
      </c>
      <c r="N107" s="29"/>
      <c r="O107" s="137">
        <f t="shared" si="262"/>
        <v>0</v>
      </c>
      <c r="P107" s="29"/>
      <c r="Q107" s="137">
        <f t="shared" si="263"/>
        <v>0</v>
      </c>
      <c r="R107" s="29"/>
      <c r="S107" s="137">
        <f t="shared" si="264"/>
        <v>0</v>
      </c>
      <c r="T107" s="29"/>
      <c r="U107" s="137">
        <f t="shared" si="265"/>
        <v>0</v>
      </c>
      <c r="V107" s="29"/>
      <c r="W107" s="137">
        <f t="shared" si="266"/>
        <v>0</v>
      </c>
      <c r="X107" s="29"/>
      <c r="Y107" s="137">
        <f t="shared" si="267"/>
        <v>0</v>
      </c>
      <c r="Z107" s="29"/>
      <c r="AA107" s="29"/>
      <c r="AB107" s="135">
        <f t="shared" si="244"/>
        <v>1</v>
      </c>
      <c r="AC107" s="29"/>
      <c r="AD107" s="29"/>
      <c r="AE107" s="137">
        <f t="shared" si="268"/>
        <v>0</v>
      </c>
      <c r="AF107" s="135">
        <f t="shared" si="246"/>
        <v>1</v>
      </c>
      <c r="AG107" s="29"/>
      <c r="AH107" s="137">
        <f t="shared" si="269"/>
        <v>0</v>
      </c>
      <c r="AI107" s="135">
        <f t="shared" si="247"/>
        <v>1</v>
      </c>
      <c r="AJ107" s="29"/>
      <c r="AK107" s="137">
        <f t="shared" si="270"/>
        <v>0</v>
      </c>
      <c r="AL107" s="135">
        <f t="shared" si="248"/>
        <v>1</v>
      </c>
      <c r="AM107" s="29"/>
      <c r="AN107" s="137">
        <f t="shared" si="271"/>
        <v>0</v>
      </c>
      <c r="AO107" s="135">
        <f t="shared" si="249"/>
        <v>1</v>
      </c>
      <c r="AP107" s="29"/>
      <c r="AQ107" s="137">
        <f t="shared" si="272"/>
        <v>0</v>
      </c>
      <c r="AR107" s="135">
        <f t="shared" si="250"/>
        <v>1</v>
      </c>
      <c r="AS107" s="29"/>
      <c r="AT107" s="137">
        <f t="shared" si="273"/>
        <v>0</v>
      </c>
      <c r="AU107" s="135">
        <f t="shared" si="251"/>
        <v>1</v>
      </c>
      <c r="AV107" s="29"/>
      <c r="AW107" s="137">
        <f t="shared" si="274"/>
        <v>0</v>
      </c>
      <c r="AX107" s="135">
        <f t="shared" si="252"/>
        <v>1</v>
      </c>
      <c r="AY107" s="29"/>
      <c r="AZ107" s="137">
        <f t="shared" si="275"/>
        <v>0</v>
      </c>
      <c r="BA107" s="135">
        <f t="shared" si="253"/>
        <v>1</v>
      </c>
      <c r="BB107" s="29"/>
      <c r="BC107" s="137">
        <f t="shared" si="276"/>
        <v>0</v>
      </c>
      <c r="BD107" s="135">
        <f t="shared" si="254"/>
        <v>1</v>
      </c>
      <c r="BE107" s="29"/>
      <c r="BF107" s="137">
        <f t="shared" si="277"/>
        <v>0</v>
      </c>
      <c r="BG107" s="135">
        <f t="shared" si="255"/>
        <v>1</v>
      </c>
      <c r="BH107" s="29"/>
      <c r="BI107" s="29"/>
      <c r="BJ107" s="29">
        <v>0</v>
      </c>
      <c r="BK107" s="135">
        <f t="shared" si="288"/>
        <v>1</v>
      </c>
      <c r="BL107" s="135">
        <f t="shared" si="257"/>
        <v>1</v>
      </c>
      <c r="BM107" s="167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</row>
    <row r="108" spans="1:206" s="106" customFormat="1" ht="18" customHeight="1">
      <c r="A108" s="290">
        <v>853</v>
      </c>
      <c r="B108" s="291"/>
      <c r="C108" s="29"/>
      <c r="D108" s="134">
        <f t="shared" si="286"/>
        <v>0</v>
      </c>
      <c r="E108" s="29"/>
      <c r="F108" s="29"/>
      <c r="G108" s="137">
        <f t="shared" si="258"/>
        <v>0</v>
      </c>
      <c r="H108" s="29"/>
      <c r="I108" s="137">
        <f t="shared" si="287"/>
        <v>0</v>
      </c>
      <c r="J108" s="29"/>
      <c r="K108" s="137">
        <f t="shared" si="260"/>
        <v>0</v>
      </c>
      <c r="L108" s="29"/>
      <c r="M108" s="137">
        <f t="shared" si="261"/>
        <v>0</v>
      </c>
      <c r="N108" s="29"/>
      <c r="O108" s="137">
        <f t="shared" si="262"/>
        <v>0</v>
      </c>
      <c r="P108" s="29"/>
      <c r="Q108" s="137">
        <f t="shared" si="263"/>
        <v>0</v>
      </c>
      <c r="R108" s="29"/>
      <c r="S108" s="137">
        <f t="shared" si="264"/>
        <v>0</v>
      </c>
      <c r="T108" s="29"/>
      <c r="U108" s="137">
        <f t="shared" si="265"/>
        <v>0</v>
      </c>
      <c r="V108" s="29"/>
      <c r="W108" s="137">
        <f t="shared" si="266"/>
        <v>0</v>
      </c>
      <c r="X108" s="29"/>
      <c r="Y108" s="137">
        <f t="shared" si="267"/>
        <v>0</v>
      </c>
      <c r="Z108" s="29"/>
      <c r="AA108" s="29"/>
      <c r="AB108" s="135">
        <f t="shared" si="244"/>
        <v>1</v>
      </c>
      <c r="AC108" s="29"/>
      <c r="AD108" s="29"/>
      <c r="AE108" s="137">
        <f t="shared" si="268"/>
        <v>0</v>
      </c>
      <c r="AF108" s="135">
        <f t="shared" si="246"/>
        <v>1</v>
      </c>
      <c r="AG108" s="29"/>
      <c r="AH108" s="137">
        <f t="shared" si="269"/>
        <v>0</v>
      </c>
      <c r="AI108" s="135">
        <f t="shared" si="247"/>
        <v>1</v>
      </c>
      <c r="AJ108" s="29"/>
      <c r="AK108" s="137">
        <f t="shared" si="270"/>
        <v>0</v>
      </c>
      <c r="AL108" s="135">
        <f t="shared" si="248"/>
        <v>1</v>
      </c>
      <c r="AM108" s="29"/>
      <c r="AN108" s="137">
        <f t="shared" si="271"/>
        <v>0</v>
      </c>
      <c r="AO108" s="135">
        <f t="shared" si="249"/>
        <v>1</v>
      </c>
      <c r="AP108" s="29"/>
      <c r="AQ108" s="137">
        <f t="shared" si="272"/>
        <v>0</v>
      </c>
      <c r="AR108" s="135">
        <f t="shared" si="250"/>
        <v>1</v>
      </c>
      <c r="AS108" s="29"/>
      <c r="AT108" s="137">
        <f t="shared" si="273"/>
        <v>0</v>
      </c>
      <c r="AU108" s="135">
        <f t="shared" si="251"/>
        <v>1</v>
      </c>
      <c r="AV108" s="29"/>
      <c r="AW108" s="137">
        <f t="shared" si="274"/>
        <v>0</v>
      </c>
      <c r="AX108" s="135">
        <f t="shared" si="252"/>
        <v>1</v>
      </c>
      <c r="AY108" s="29"/>
      <c r="AZ108" s="137">
        <f t="shared" si="275"/>
        <v>0</v>
      </c>
      <c r="BA108" s="135">
        <f t="shared" si="253"/>
        <v>1</v>
      </c>
      <c r="BB108" s="29"/>
      <c r="BC108" s="137">
        <f t="shared" si="276"/>
        <v>0</v>
      </c>
      <c r="BD108" s="135">
        <f t="shared" si="254"/>
        <v>1</v>
      </c>
      <c r="BE108" s="29"/>
      <c r="BF108" s="137">
        <f t="shared" si="277"/>
        <v>0</v>
      </c>
      <c r="BG108" s="135">
        <f t="shared" si="255"/>
        <v>1</v>
      </c>
      <c r="BH108" s="29"/>
      <c r="BI108" s="29"/>
      <c r="BJ108" s="29">
        <v>0</v>
      </c>
      <c r="BK108" s="135">
        <f t="shared" si="288"/>
        <v>1</v>
      </c>
      <c r="BL108" s="135">
        <f t="shared" si="257"/>
        <v>1</v>
      </c>
      <c r="BM108" s="167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</row>
    <row r="109" spans="1:206" s="106" customFormat="1" ht="18" customHeight="1">
      <c r="A109" s="290"/>
      <c r="B109" s="291"/>
      <c r="C109" s="29"/>
      <c r="D109" s="134">
        <f t="shared" si="286"/>
        <v>0</v>
      </c>
      <c r="E109" s="29"/>
      <c r="F109" s="29"/>
      <c r="G109" s="137">
        <f t="shared" si="258"/>
        <v>0</v>
      </c>
      <c r="H109" s="29"/>
      <c r="I109" s="137">
        <f t="shared" si="287"/>
        <v>0</v>
      </c>
      <c r="J109" s="29"/>
      <c r="K109" s="137">
        <f t="shared" si="260"/>
        <v>0</v>
      </c>
      <c r="L109" s="29"/>
      <c r="M109" s="137">
        <f t="shared" si="261"/>
        <v>0</v>
      </c>
      <c r="N109" s="29"/>
      <c r="O109" s="137">
        <f t="shared" si="262"/>
        <v>0</v>
      </c>
      <c r="P109" s="29"/>
      <c r="Q109" s="137">
        <f t="shared" si="263"/>
        <v>0</v>
      </c>
      <c r="R109" s="29"/>
      <c r="S109" s="137">
        <f t="shared" si="264"/>
        <v>0</v>
      </c>
      <c r="T109" s="29"/>
      <c r="U109" s="137">
        <f t="shared" si="265"/>
        <v>0</v>
      </c>
      <c r="V109" s="29"/>
      <c r="W109" s="137">
        <f t="shared" si="266"/>
        <v>0</v>
      </c>
      <c r="X109" s="29"/>
      <c r="Y109" s="137">
        <f t="shared" si="267"/>
        <v>0</v>
      </c>
      <c r="Z109" s="29"/>
      <c r="AA109" s="29"/>
      <c r="AB109" s="135">
        <f t="shared" si="244"/>
        <v>1</v>
      </c>
      <c r="AC109" s="29"/>
      <c r="AD109" s="29"/>
      <c r="AE109" s="137">
        <f t="shared" si="268"/>
        <v>0</v>
      </c>
      <c r="AF109" s="135">
        <f t="shared" si="246"/>
        <v>1</v>
      </c>
      <c r="AG109" s="29"/>
      <c r="AH109" s="137">
        <f t="shared" si="269"/>
        <v>0</v>
      </c>
      <c r="AI109" s="135">
        <f t="shared" si="247"/>
        <v>1</v>
      </c>
      <c r="AJ109" s="29"/>
      <c r="AK109" s="137">
        <f t="shared" si="270"/>
        <v>0</v>
      </c>
      <c r="AL109" s="135">
        <f t="shared" si="248"/>
        <v>1</v>
      </c>
      <c r="AM109" s="29"/>
      <c r="AN109" s="137">
        <f t="shared" si="271"/>
        <v>0</v>
      </c>
      <c r="AO109" s="135">
        <f t="shared" si="249"/>
        <v>1</v>
      </c>
      <c r="AP109" s="29"/>
      <c r="AQ109" s="137">
        <f t="shared" si="272"/>
        <v>0</v>
      </c>
      <c r="AR109" s="135">
        <f t="shared" si="250"/>
        <v>1</v>
      </c>
      <c r="AS109" s="29"/>
      <c r="AT109" s="137">
        <f t="shared" si="273"/>
        <v>0</v>
      </c>
      <c r="AU109" s="135">
        <f t="shared" si="251"/>
        <v>1</v>
      </c>
      <c r="AV109" s="29"/>
      <c r="AW109" s="137">
        <f t="shared" si="274"/>
        <v>0</v>
      </c>
      <c r="AX109" s="135">
        <f t="shared" si="252"/>
        <v>1</v>
      </c>
      <c r="AY109" s="29"/>
      <c r="AZ109" s="137">
        <f t="shared" si="275"/>
        <v>0</v>
      </c>
      <c r="BA109" s="135">
        <f t="shared" si="253"/>
        <v>1</v>
      </c>
      <c r="BB109" s="29"/>
      <c r="BC109" s="137">
        <f t="shared" si="276"/>
        <v>0</v>
      </c>
      <c r="BD109" s="135">
        <f t="shared" si="254"/>
        <v>1</v>
      </c>
      <c r="BE109" s="29"/>
      <c r="BF109" s="137">
        <f t="shared" si="277"/>
        <v>0</v>
      </c>
      <c r="BG109" s="135">
        <f t="shared" si="255"/>
        <v>1</v>
      </c>
      <c r="BH109" s="29"/>
      <c r="BI109" s="29"/>
      <c r="BJ109" s="29">
        <v>0</v>
      </c>
      <c r="BK109" s="135">
        <f t="shared" si="288"/>
        <v>1</v>
      </c>
      <c r="BL109" s="135">
        <f t="shared" si="257"/>
        <v>1</v>
      </c>
      <c r="BM109" s="167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</row>
    <row r="110" spans="1:206" s="106" customFormat="1" ht="18" customHeight="1">
      <c r="A110" s="290"/>
      <c r="B110" s="291"/>
      <c r="C110" s="29"/>
      <c r="D110" s="134">
        <f t="shared" si="286"/>
        <v>0</v>
      </c>
      <c r="E110" s="29"/>
      <c r="F110" s="29"/>
      <c r="G110" s="137">
        <f t="shared" si="258"/>
        <v>0</v>
      </c>
      <c r="H110" s="29"/>
      <c r="I110" s="137">
        <f t="shared" si="287"/>
        <v>0</v>
      </c>
      <c r="J110" s="29"/>
      <c r="K110" s="137">
        <f t="shared" si="260"/>
        <v>0</v>
      </c>
      <c r="L110" s="29"/>
      <c r="M110" s="137">
        <f t="shared" si="261"/>
        <v>0</v>
      </c>
      <c r="N110" s="29"/>
      <c r="O110" s="137">
        <f t="shared" si="262"/>
        <v>0</v>
      </c>
      <c r="P110" s="29"/>
      <c r="Q110" s="137">
        <f t="shared" si="263"/>
        <v>0</v>
      </c>
      <c r="R110" s="29"/>
      <c r="S110" s="137">
        <f t="shared" si="264"/>
        <v>0</v>
      </c>
      <c r="T110" s="29"/>
      <c r="U110" s="137">
        <f t="shared" si="265"/>
        <v>0</v>
      </c>
      <c r="V110" s="29"/>
      <c r="W110" s="137">
        <f t="shared" si="266"/>
        <v>0</v>
      </c>
      <c r="X110" s="29"/>
      <c r="Y110" s="137">
        <f t="shared" si="267"/>
        <v>0</v>
      </c>
      <c r="Z110" s="29"/>
      <c r="AA110" s="29"/>
      <c r="AB110" s="135">
        <f t="shared" si="244"/>
        <v>1</v>
      </c>
      <c r="AC110" s="29"/>
      <c r="AD110" s="29"/>
      <c r="AE110" s="137">
        <f t="shared" si="268"/>
        <v>0</v>
      </c>
      <c r="AF110" s="135">
        <f t="shared" si="246"/>
        <v>1</v>
      </c>
      <c r="AG110" s="29"/>
      <c r="AH110" s="137">
        <f t="shared" si="269"/>
        <v>0</v>
      </c>
      <c r="AI110" s="135">
        <f t="shared" si="247"/>
        <v>1</v>
      </c>
      <c r="AJ110" s="29"/>
      <c r="AK110" s="137">
        <f t="shared" si="270"/>
        <v>0</v>
      </c>
      <c r="AL110" s="135">
        <f t="shared" si="248"/>
        <v>1</v>
      </c>
      <c r="AM110" s="29"/>
      <c r="AN110" s="137">
        <f t="shared" si="271"/>
        <v>0</v>
      </c>
      <c r="AO110" s="135">
        <f t="shared" si="249"/>
        <v>1</v>
      </c>
      <c r="AP110" s="29"/>
      <c r="AQ110" s="137">
        <f t="shared" si="272"/>
        <v>0</v>
      </c>
      <c r="AR110" s="135">
        <f t="shared" si="250"/>
        <v>1</v>
      </c>
      <c r="AS110" s="29"/>
      <c r="AT110" s="137">
        <f t="shared" si="273"/>
        <v>0</v>
      </c>
      <c r="AU110" s="135">
        <f t="shared" si="251"/>
        <v>1</v>
      </c>
      <c r="AV110" s="29"/>
      <c r="AW110" s="137">
        <f t="shared" si="274"/>
        <v>0</v>
      </c>
      <c r="AX110" s="135">
        <f t="shared" si="252"/>
        <v>1</v>
      </c>
      <c r="AY110" s="29"/>
      <c r="AZ110" s="137">
        <f t="shared" si="275"/>
        <v>0</v>
      </c>
      <c r="BA110" s="135">
        <f t="shared" si="253"/>
        <v>1</v>
      </c>
      <c r="BB110" s="29"/>
      <c r="BC110" s="137">
        <f t="shared" si="276"/>
        <v>0</v>
      </c>
      <c r="BD110" s="135">
        <f t="shared" si="254"/>
        <v>1</v>
      </c>
      <c r="BE110" s="29"/>
      <c r="BF110" s="137">
        <f t="shared" si="277"/>
        <v>0</v>
      </c>
      <c r="BG110" s="135">
        <f t="shared" si="255"/>
        <v>1</v>
      </c>
      <c r="BH110" s="29"/>
      <c r="BI110" s="29"/>
      <c r="BJ110" s="29">
        <v>0</v>
      </c>
      <c r="BK110" s="135">
        <f t="shared" si="288"/>
        <v>1</v>
      </c>
      <c r="BL110" s="135">
        <f t="shared" si="257"/>
        <v>1</v>
      </c>
      <c r="BM110" s="167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</row>
    <row r="111" spans="1:206" s="106" customFormat="1" ht="18" customHeight="1">
      <c r="A111" s="290"/>
      <c r="B111" s="291"/>
      <c r="C111" s="29"/>
      <c r="D111" s="134">
        <f t="shared" si="286"/>
        <v>0</v>
      </c>
      <c r="E111" s="29"/>
      <c r="F111" s="29"/>
      <c r="G111" s="137">
        <f t="shared" si="258"/>
        <v>0</v>
      </c>
      <c r="H111" s="29"/>
      <c r="I111" s="137">
        <f t="shared" si="287"/>
        <v>0</v>
      </c>
      <c r="J111" s="29"/>
      <c r="K111" s="137">
        <f t="shared" si="260"/>
        <v>0</v>
      </c>
      <c r="L111" s="29"/>
      <c r="M111" s="137">
        <f t="shared" si="261"/>
        <v>0</v>
      </c>
      <c r="N111" s="29"/>
      <c r="O111" s="137">
        <f t="shared" si="262"/>
        <v>0</v>
      </c>
      <c r="P111" s="29"/>
      <c r="Q111" s="137">
        <f t="shared" si="263"/>
        <v>0</v>
      </c>
      <c r="R111" s="29"/>
      <c r="S111" s="137">
        <f t="shared" si="264"/>
        <v>0</v>
      </c>
      <c r="T111" s="29"/>
      <c r="U111" s="137">
        <f t="shared" si="265"/>
        <v>0</v>
      </c>
      <c r="V111" s="29"/>
      <c r="W111" s="137">
        <f t="shared" si="266"/>
        <v>0</v>
      </c>
      <c r="X111" s="29"/>
      <c r="Y111" s="137">
        <f t="shared" si="267"/>
        <v>0</v>
      </c>
      <c r="Z111" s="29"/>
      <c r="AA111" s="29"/>
      <c r="AB111" s="135">
        <f t="shared" si="244"/>
        <v>1</v>
      </c>
      <c r="AC111" s="29"/>
      <c r="AD111" s="29"/>
      <c r="AE111" s="137">
        <f t="shared" si="268"/>
        <v>0</v>
      </c>
      <c r="AF111" s="135">
        <f t="shared" si="246"/>
        <v>1</v>
      </c>
      <c r="AG111" s="29"/>
      <c r="AH111" s="137">
        <f t="shared" si="269"/>
        <v>0</v>
      </c>
      <c r="AI111" s="135">
        <f t="shared" si="247"/>
        <v>1</v>
      </c>
      <c r="AJ111" s="29"/>
      <c r="AK111" s="137">
        <f t="shared" si="270"/>
        <v>0</v>
      </c>
      <c r="AL111" s="135">
        <f t="shared" si="248"/>
        <v>1</v>
      </c>
      <c r="AM111" s="29"/>
      <c r="AN111" s="137">
        <f t="shared" si="271"/>
        <v>0</v>
      </c>
      <c r="AO111" s="135">
        <f t="shared" si="249"/>
        <v>1</v>
      </c>
      <c r="AP111" s="29"/>
      <c r="AQ111" s="137">
        <f t="shared" si="272"/>
        <v>0</v>
      </c>
      <c r="AR111" s="135">
        <f t="shared" si="250"/>
        <v>1</v>
      </c>
      <c r="AS111" s="29"/>
      <c r="AT111" s="137">
        <f t="shared" si="273"/>
        <v>0</v>
      </c>
      <c r="AU111" s="135">
        <f t="shared" si="251"/>
        <v>1</v>
      </c>
      <c r="AV111" s="29"/>
      <c r="AW111" s="137">
        <f t="shared" si="274"/>
        <v>0</v>
      </c>
      <c r="AX111" s="135">
        <f t="shared" si="252"/>
        <v>1</v>
      </c>
      <c r="AY111" s="29"/>
      <c r="AZ111" s="137">
        <f t="shared" si="275"/>
        <v>0</v>
      </c>
      <c r="BA111" s="135">
        <f t="shared" si="253"/>
        <v>1</v>
      </c>
      <c r="BB111" s="29"/>
      <c r="BC111" s="137">
        <f t="shared" si="276"/>
        <v>0</v>
      </c>
      <c r="BD111" s="135">
        <f t="shared" si="254"/>
        <v>1</v>
      </c>
      <c r="BE111" s="29"/>
      <c r="BF111" s="137">
        <f t="shared" si="277"/>
        <v>0</v>
      </c>
      <c r="BG111" s="135">
        <f t="shared" si="255"/>
        <v>1</v>
      </c>
      <c r="BH111" s="29"/>
      <c r="BI111" s="29"/>
      <c r="BJ111" s="29">
        <v>0</v>
      </c>
      <c r="BK111" s="135">
        <f t="shared" si="288"/>
        <v>1</v>
      </c>
      <c r="BL111" s="135">
        <f t="shared" si="257"/>
        <v>1</v>
      </c>
      <c r="BM111" s="167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</row>
    <row r="112" spans="1:206" s="106" customFormat="1" ht="18" customHeight="1">
      <c r="A112" s="290"/>
      <c r="B112" s="291"/>
      <c r="C112" s="29"/>
      <c r="D112" s="134">
        <f t="shared" si="286"/>
        <v>0</v>
      </c>
      <c r="E112" s="29"/>
      <c r="F112" s="29"/>
      <c r="G112" s="137">
        <f t="shared" si="258"/>
        <v>0</v>
      </c>
      <c r="H112" s="29"/>
      <c r="I112" s="137">
        <f t="shared" si="287"/>
        <v>0</v>
      </c>
      <c r="J112" s="29"/>
      <c r="K112" s="137">
        <f t="shared" si="260"/>
        <v>0</v>
      </c>
      <c r="L112" s="29"/>
      <c r="M112" s="137">
        <f t="shared" si="261"/>
        <v>0</v>
      </c>
      <c r="N112" s="29"/>
      <c r="O112" s="137">
        <f t="shared" si="262"/>
        <v>0</v>
      </c>
      <c r="P112" s="29"/>
      <c r="Q112" s="137">
        <f t="shared" si="263"/>
        <v>0</v>
      </c>
      <c r="R112" s="29"/>
      <c r="S112" s="137">
        <f t="shared" si="264"/>
        <v>0</v>
      </c>
      <c r="T112" s="29"/>
      <c r="U112" s="137">
        <f t="shared" si="265"/>
        <v>0</v>
      </c>
      <c r="V112" s="29"/>
      <c r="W112" s="137">
        <f t="shared" si="266"/>
        <v>0</v>
      </c>
      <c r="X112" s="29"/>
      <c r="Y112" s="137">
        <f t="shared" si="267"/>
        <v>0</v>
      </c>
      <c r="Z112" s="29"/>
      <c r="AA112" s="29"/>
      <c r="AB112" s="135">
        <f t="shared" si="244"/>
        <v>1</v>
      </c>
      <c r="AC112" s="29"/>
      <c r="AD112" s="29"/>
      <c r="AE112" s="137">
        <f t="shared" si="268"/>
        <v>0</v>
      </c>
      <c r="AF112" s="135">
        <f t="shared" si="246"/>
        <v>1</v>
      </c>
      <c r="AG112" s="29"/>
      <c r="AH112" s="137">
        <f t="shared" si="269"/>
        <v>0</v>
      </c>
      <c r="AI112" s="135">
        <f t="shared" si="247"/>
        <v>1</v>
      </c>
      <c r="AJ112" s="29"/>
      <c r="AK112" s="137">
        <f t="shared" si="270"/>
        <v>0</v>
      </c>
      <c r="AL112" s="135">
        <f t="shared" si="248"/>
        <v>1</v>
      </c>
      <c r="AM112" s="29"/>
      <c r="AN112" s="137">
        <f t="shared" si="271"/>
        <v>0</v>
      </c>
      <c r="AO112" s="135">
        <f t="shared" si="249"/>
        <v>1</v>
      </c>
      <c r="AP112" s="29"/>
      <c r="AQ112" s="137">
        <f t="shared" si="272"/>
        <v>0</v>
      </c>
      <c r="AR112" s="135">
        <f t="shared" si="250"/>
        <v>1</v>
      </c>
      <c r="AS112" s="29"/>
      <c r="AT112" s="137">
        <f t="shared" si="273"/>
        <v>0</v>
      </c>
      <c r="AU112" s="135">
        <f t="shared" si="251"/>
        <v>1</v>
      </c>
      <c r="AV112" s="29"/>
      <c r="AW112" s="137">
        <f t="shared" si="274"/>
        <v>0</v>
      </c>
      <c r="AX112" s="135">
        <f t="shared" si="252"/>
        <v>1</v>
      </c>
      <c r="AY112" s="29"/>
      <c r="AZ112" s="137">
        <f t="shared" si="275"/>
        <v>0</v>
      </c>
      <c r="BA112" s="135">
        <f t="shared" si="253"/>
        <v>1</v>
      </c>
      <c r="BB112" s="29"/>
      <c r="BC112" s="137">
        <f t="shared" si="276"/>
        <v>0</v>
      </c>
      <c r="BD112" s="135">
        <f t="shared" si="254"/>
        <v>1</v>
      </c>
      <c r="BE112" s="29"/>
      <c r="BF112" s="137">
        <f t="shared" si="277"/>
        <v>0</v>
      </c>
      <c r="BG112" s="135">
        <f t="shared" si="255"/>
        <v>1</v>
      </c>
      <c r="BH112" s="29"/>
      <c r="BI112" s="29"/>
      <c r="BJ112" s="29">
        <v>0</v>
      </c>
      <c r="BK112" s="135">
        <f t="shared" si="288"/>
        <v>1</v>
      </c>
      <c r="BL112" s="135">
        <f t="shared" si="257"/>
        <v>1</v>
      </c>
      <c r="BM112" s="167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</row>
    <row r="113" spans="1:206" s="160" customFormat="1" ht="69" customHeight="1">
      <c r="A113" s="294"/>
      <c r="B113" s="295"/>
      <c r="C113" s="158" t="str">
        <f>BJ113</f>
        <v>на 1 января  очередного финансового года</v>
      </c>
      <c r="D113" s="158" t="str">
        <f>C113</f>
        <v>на 1 января  очередного финансового года</v>
      </c>
      <c r="E113" s="157" t="s">
        <v>69</v>
      </c>
      <c r="F113" s="157" t="s">
        <v>70</v>
      </c>
      <c r="G113" s="175" t="s">
        <v>151</v>
      </c>
      <c r="H113" s="157" t="s">
        <v>14</v>
      </c>
      <c r="I113" s="175" t="s">
        <v>151</v>
      </c>
      <c r="J113" s="157" t="s">
        <v>137</v>
      </c>
      <c r="K113" s="175" t="s">
        <v>151</v>
      </c>
      <c r="L113" s="157" t="s">
        <v>138</v>
      </c>
      <c r="M113" s="175" t="s">
        <v>151</v>
      </c>
      <c r="N113" s="157" t="s">
        <v>83</v>
      </c>
      <c r="O113" s="175" t="s">
        <v>151</v>
      </c>
      <c r="P113" s="157" t="s">
        <v>84</v>
      </c>
      <c r="Q113" s="175" t="s">
        <v>151</v>
      </c>
      <c r="R113" s="157" t="s">
        <v>85</v>
      </c>
      <c r="S113" s="177" t="s">
        <v>151</v>
      </c>
      <c r="T113" s="157" t="s">
        <v>86</v>
      </c>
      <c r="U113" s="175" t="s">
        <v>151</v>
      </c>
      <c r="V113" s="157" t="s">
        <v>87</v>
      </c>
      <c r="W113" s="175" t="s">
        <v>151</v>
      </c>
      <c r="X113" s="157" t="s">
        <v>88</v>
      </c>
      <c r="Y113" s="175" t="s">
        <v>151</v>
      </c>
      <c r="Z113" s="158" t="str">
        <f>D113</f>
        <v>на 1 января  очередного финансового года</v>
      </c>
      <c r="AA113" s="158" t="s">
        <v>71</v>
      </c>
      <c r="AB113" s="175" t="str">
        <f>AB6</f>
        <v>Темп роста (снижения) к исполнено за отчетный год, %</v>
      </c>
      <c r="AC113" s="157" t="s">
        <v>69</v>
      </c>
      <c r="AD113" s="157" t="s">
        <v>70</v>
      </c>
      <c r="AE113" s="175" t="s">
        <v>152</v>
      </c>
      <c r="AF113" s="175" t="str">
        <f>AF7</f>
        <v>Темп роста (снижения) к исполнено за отчетный год, %</v>
      </c>
      <c r="AG113" s="157" t="s">
        <v>14</v>
      </c>
      <c r="AH113" s="175" t="s">
        <v>152</v>
      </c>
      <c r="AI113" s="175" t="str">
        <f>AI7</f>
        <v>Темп роста (снижения) к исполнено за отчетный год, %</v>
      </c>
      <c r="AJ113" s="178" t="s">
        <v>81</v>
      </c>
      <c r="AK113" s="175" t="s">
        <v>152</v>
      </c>
      <c r="AL113" s="175" t="str">
        <f>AL7</f>
        <v>Темп роста (снижения) к исполнено за отчетный год, %</v>
      </c>
      <c r="AM113" s="157" t="s">
        <v>82</v>
      </c>
      <c r="AN113" s="175" t="s">
        <v>152</v>
      </c>
      <c r="AO113" s="175" t="str">
        <f>AO7</f>
        <v>Темп роста (снижения) к исполнено за отчетный год, %</v>
      </c>
      <c r="AP113" s="157" t="s">
        <v>83</v>
      </c>
      <c r="AQ113" s="175" t="s">
        <v>152</v>
      </c>
      <c r="AR113" s="175" t="str">
        <f>AR7</f>
        <v>Темп роста (снижения) к исполнено за отчетный год, %</v>
      </c>
      <c r="AS113" s="157" t="s">
        <v>84</v>
      </c>
      <c r="AT113" s="175" t="s">
        <v>152</v>
      </c>
      <c r="AU113" s="175" t="str">
        <f>AU7</f>
        <v>Темп роста (снижения) к исполнено за отчетный год, %</v>
      </c>
      <c r="AV113" s="157" t="s">
        <v>85</v>
      </c>
      <c r="AW113" s="175" t="s">
        <v>152</v>
      </c>
      <c r="AX113" s="175" t="str">
        <f>AX7</f>
        <v>Темп роста (снижения) к исполнено за отчетный год, %</v>
      </c>
      <c r="AY113" s="157" t="s">
        <v>86</v>
      </c>
      <c r="AZ113" s="175" t="s">
        <v>152</v>
      </c>
      <c r="BA113" s="177" t="str">
        <f>BA7</f>
        <v>Темп роста (снижения) к исполнено за отчетный год, %</v>
      </c>
      <c r="BB113" s="157" t="s">
        <v>87</v>
      </c>
      <c r="BC113" s="175" t="s">
        <v>152</v>
      </c>
      <c r="BD113" s="175" t="str">
        <f>BD7</f>
        <v>Темп роста (снижения) к исполнено за отчетный год, %</v>
      </c>
      <c r="BE113" s="157" t="s">
        <v>88</v>
      </c>
      <c r="BF113" s="175" t="s">
        <v>152</v>
      </c>
      <c r="BG113" s="175" t="str">
        <f>BG7</f>
        <v>Темп роста (снижения) к исполнено за отчетный год, %</v>
      </c>
      <c r="BH113" s="175" t="str">
        <f>AA113</f>
        <v>на 1 января  очередного финансового года</v>
      </c>
      <c r="BI113" s="175" t="str">
        <f>BI7</f>
        <v>Ожидаемая оценка на __________</v>
      </c>
      <c r="BJ113" s="175" t="s">
        <v>71</v>
      </c>
      <c r="BK113" s="175" t="str">
        <f>BK6</f>
        <v>Темп роста (снижения) к утверждено на текущий год, %</v>
      </c>
      <c r="BL113" s="177" t="str">
        <f>BL6</f>
        <v>Темп роста (снижения) к исполнено за отчетный год, %</v>
      </c>
      <c r="BM113" s="123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</row>
    <row r="114" spans="1:206" s="18" customFormat="1" ht="16.5">
      <c r="A114" s="286" t="s">
        <v>153</v>
      </c>
      <c r="B114" s="287"/>
      <c r="C114" s="17"/>
      <c r="D114" s="17"/>
      <c r="E114" s="17">
        <f>D114+E78+E81</f>
        <v>0</v>
      </c>
      <c r="F114" s="17">
        <f>E114+F78+F81</f>
        <v>0</v>
      </c>
      <c r="G114" s="17">
        <f>F114-$C114</f>
        <v>0</v>
      </c>
      <c r="H114" s="17">
        <f>G114+H78+H81</f>
        <v>0</v>
      </c>
      <c r="I114" s="17">
        <f>H114-$C114</f>
        <v>0</v>
      </c>
      <c r="J114" s="17">
        <f>I114+J78+J81</f>
        <v>0</v>
      </c>
      <c r="K114" s="17">
        <f>J114-$C114</f>
        <v>0</v>
      </c>
      <c r="L114" s="17">
        <f>K114+L78+L81</f>
        <v>0</v>
      </c>
      <c r="M114" s="17">
        <f>L114-$C114</f>
        <v>0</v>
      </c>
      <c r="N114" s="17">
        <f>M114+N78+N81</f>
        <v>0</v>
      </c>
      <c r="O114" s="17">
        <f>N114-$C114</f>
        <v>0</v>
      </c>
      <c r="P114" s="17">
        <f>O114+P78+P81</f>
        <v>0</v>
      </c>
      <c r="Q114" s="17">
        <f>P114-$C114</f>
        <v>0</v>
      </c>
      <c r="R114" s="17">
        <f>Q114+R78+R81</f>
        <v>0</v>
      </c>
      <c r="S114" s="17">
        <f>R114-$C114</f>
        <v>0</v>
      </c>
      <c r="T114" s="17">
        <f>S114+T78+T81</f>
        <v>0</v>
      </c>
      <c r="U114" s="17">
        <f>T114-$C114</f>
        <v>0</v>
      </c>
      <c r="V114" s="17">
        <f>U114+V78+V81</f>
        <v>0</v>
      </c>
      <c r="W114" s="17">
        <f>V114-$C114</f>
        <v>0</v>
      </c>
      <c r="X114" s="17">
        <f>W114+X78+X81</f>
        <v>0</v>
      </c>
      <c r="Y114" s="17">
        <f>X114-$C114</f>
        <v>0</v>
      </c>
      <c r="Z114" s="17">
        <f>Y114+Z78+Z81</f>
        <v>0</v>
      </c>
      <c r="AA114" s="17"/>
      <c r="AB114" s="131">
        <f>IF(D114=0,1,AA114/D114-1)</f>
        <v>1</v>
      </c>
      <c r="AC114" s="17">
        <f>D114+AC78-AC81</f>
        <v>0</v>
      </c>
      <c r="AD114" s="17">
        <f>AC114+AD78+AD81</f>
        <v>0</v>
      </c>
      <c r="AE114" s="17">
        <f>AD114-$D114</f>
        <v>0</v>
      </c>
      <c r="AF114" s="131">
        <f>IF(B114=0,1,AE114/B114-1)</f>
        <v>1</v>
      </c>
      <c r="AG114" s="17">
        <f>AE114+AG78+AG81</f>
        <v>0</v>
      </c>
      <c r="AH114" s="17">
        <f>AG114-$D114</f>
        <v>0</v>
      </c>
      <c r="AI114" s="131">
        <f>IF(E114=0,1,AH114/E114-1)</f>
        <v>1</v>
      </c>
      <c r="AJ114" s="17">
        <f>AH114+AJ78+AJ81</f>
        <v>0</v>
      </c>
      <c r="AK114" s="17">
        <f>AJ114-$D114</f>
        <v>0</v>
      </c>
      <c r="AL114" s="131">
        <f>IF(H114=0,1,AK114/H114-1)</f>
        <v>1</v>
      </c>
      <c r="AM114" s="17">
        <f>AK114+AM78+AM81</f>
        <v>0</v>
      </c>
      <c r="AN114" s="17">
        <f>AM114-$D114</f>
        <v>0</v>
      </c>
      <c r="AO114" s="131">
        <f>IF(K114=0,1,AN114/K114-1)</f>
        <v>1</v>
      </c>
      <c r="AP114" s="17">
        <f>AN114+AP78+AP81</f>
        <v>0</v>
      </c>
      <c r="AQ114" s="17">
        <f>AP114-$D114</f>
        <v>0</v>
      </c>
      <c r="AR114" s="131">
        <f>IF(N114=0,1,AQ114/N114-1)</f>
        <v>1</v>
      </c>
      <c r="AS114" s="17">
        <f>AQ114+AS78+AS81</f>
        <v>0</v>
      </c>
      <c r="AT114" s="17">
        <f>AS114-$D114</f>
        <v>0</v>
      </c>
      <c r="AU114" s="131">
        <f>IF(Q114=0,1,AT114/Q114-1)</f>
        <v>1</v>
      </c>
      <c r="AV114" s="17">
        <f>AT114+AV78+AV81</f>
        <v>0</v>
      </c>
      <c r="AW114" s="17">
        <f>AV114-$D114</f>
        <v>0</v>
      </c>
      <c r="AX114" s="131">
        <f>IF(T114=0,1,AW114/T114-1)</f>
        <v>1</v>
      </c>
      <c r="AY114" s="17">
        <f>AW114+AY78+AY81</f>
        <v>0</v>
      </c>
      <c r="AZ114" s="17">
        <f>AY114-$D114</f>
        <v>0</v>
      </c>
      <c r="BA114" s="131">
        <f>IF(W114=0,1,AZ114/W114-1)</f>
        <v>1</v>
      </c>
      <c r="BB114" s="17">
        <f>AZ114+BB78+BB81</f>
        <v>0</v>
      </c>
      <c r="BC114" s="17">
        <f>BB114-$D114</f>
        <v>0</v>
      </c>
      <c r="BD114" s="131">
        <f>IF(Z114=0,1,BC114/Z114-1)</f>
        <v>1</v>
      </c>
      <c r="BE114" s="17">
        <f>BC114+BE78+BE81</f>
        <v>0</v>
      </c>
      <c r="BF114" s="17">
        <f>BE114-$D114</f>
        <v>0</v>
      </c>
      <c r="BG114" s="131">
        <f>IF(AC114=0,1,BF114/AC114-1)</f>
        <v>1</v>
      </c>
      <c r="BH114" s="17">
        <f>BF114+BH78+BH81</f>
        <v>0</v>
      </c>
      <c r="BI114" s="17"/>
      <c r="BJ114" s="17">
        <f>D114+BJ78+BJ81</f>
        <v>0</v>
      </c>
      <c r="BK114" s="131">
        <f>IF($AA$87=0,1,BJ114/$AA$87-1)</f>
        <v>1</v>
      </c>
      <c r="BL114" s="131">
        <f>IF($D114=0,1,BJ114/$D114-1)</f>
        <v>1</v>
      </c>
      <c r="BM114" s="170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</row>
    <row r="115" spans="1:206" s="64" customFormat="1" ht="16.5">
      <c r="A115" s="292" t="s">
        <v>154</v>
      </c>
      <c r="B115" s="293"/>
      <c r="C115" s="29"/>
      <c r="D115" s="134">
        <f t="shared" ref="D115:D117" si="289">E115+F115+H115+J115+L115+N115+P115+R115+T115+V115+X115+Z115</f>
        <v>0</v>
      </c>
      <c r="E115" s="29"/>
      <c r="F115" s="29"/>
      <c r="G115" s="137">
        <f t="shared" ref="G115:G117" si="290">E115+F115</f>
        <v>0</v>
      </c>
      <c r="H115" s="29"/>
      <c r="I115" s="137">
        <f t="shared" ref="I115:I117" si="291">G115+H115</f>
        <v>0</v>
      </c>
      <c r="J115" s="29"/>
      <c r="K115" s="137">
        <f t="shared" ref="K115:K117" si="292">J115-$C115</f>
        <v>0</v>
      </c>
      <c r="L115" s="29">
        <f t="shared" ref="L115:L117" si="293">K115+L79+L82</f>
        <v>0</v>
      </c>
      <c r="M115" s="137">
        <f t="shared" ref="M115:M117" si="294">K115+L115</f>
        <v>0</v>
      </c>
      <c r="N115" s="29"/>
      <c r="O115" s="137">
        <f>M115-$C115</f>
        <v>0</v>
      </c>
      <c r="P115" s="29">
        <f t="shared" ref="P115:P117" si="295">O115+P79+P82</f>
        <v>0</v>
      </c>
      <c r="Q115" s="137">
        <f t="shared" ref="Q115:Q117" si="296">O115+P115</f>
        <v>0</v>
      </c>
      <c r="R115" s="29"/>
      <c r="S115" s="137">
        <f>Q115-$C115</f>
        <v>0</v>
      </c>
      <c r="T115" s="29">
        <f t="shared" ref="T115:T117" si="297">S115+T79+T82</f>
        <v>0</v>
      </c>
      <c r="U115" s="137">
        <f t="shared" ref="U115:U117" si="298">S115+T115</f>
        <v>0</v>
      </c>
      <c r="V115" s="29"/>
      <c r="W115" s="137">
        <f>U115-$C115</f>
        <v>0</v>
      </c>
      <c r="X115" s="29">
        <f t="shared" ref="X115:X117" si="299">W115+X79+X82</f>
        <v>0</v>
      </c>
      <c r="Y115" s="137">
        <f t="shared" ref="Y115:Y117" si="300">W115+X115</f>
        <v>0</v>
      </c>
      <c r="Z115" s="29"/>
      <c r="AA115" s="137">
        <f>Y115-$C115</f>
        <v>0</v>
      </c>
      <c r="AB115" s="135">
        <f t="shared" ref="AB115:AB117" si="301">IF(D115=0,1,AA115/D115-1)</f>
        <v>1</v>
      </c>
      <c r="AC115" s="29"/>
      <c r="AD115" s="29"/>
      <c r="AE115" s="29">
        <f>AD115-$D115</f>
        <v>0</v>
      </c>
      <c r="AF115" s="135">
        <f t="shared" ref="AF115:AF117" si="302">IF(B115=0,1,AE115/B115-1)</f>
        <v>1</v>
      </c>
      <c r="AG115" s="29"/>
      <c r="AH115" s="29">
        <f>AG115-$D115</f>
        <v>0</v>
      </c>
      <c r="AI115" s="135">
        <f t="shared" ref="AI115:AI117" si="303">IF(E115=0,1,AH115/E115-1)</f>
        <v>1</v>
      </c>
      <c r="AJ115" s="29"/>
      <c r="AK115" s="29">
        <f>AJ115-$D115</f>
        <v>0</v>
      </c>
      <c r="AL115" s="135">
        <f t="shared" ref="AL115:AL117" si="304">IF(H115=0,1,AK115/H115-1)</f>
        <v>1</v>
      </c>
      <c r="AM115" s="137"/>
      <c r="AN115" s="29">
        <f>AM115-$D115</f>
        <v>0</v>
      </c>
      <c r="AO115" s="135">
        <f t="shared" ref="AO115:AO117" si="305">IF(K115=0,1,AN115/K115-1)</f>
        <v>1</v>
      </c>
      <c r="AP115" s="29"/>
      <c r="AQ115" s="29">
        <f>AP115-$D115</f>
        <v>0</v>
      </c>
      <c r="AR115" s="135">
        <f t="shared" ref="AR115:AR117" si="306">IF(N115=0,1,AQ115/N115-1)</f>
        <v>1</v>
      </c>
      <c r="AS115" s="29"/>
      <c r="AT115" s="29">
        <f>AS115-$D115</f>
        <v>0</v>
      </c>
      <c r="AU115" s="135">
        <f t="shared" ref="AU115:AU117" si="307">IF(Q115=0,1,AT115/Q115-1)</f>
        <v>1</v>
      </c>
      <c r="AV115" s="29">
        <f t="shared" ref="AV115:AV117" si="308">AU115+AV79+AV82</f>
        <v>1</v>
      </c>
      <c r="AW115" s="29">
        <f>AV115-$D115</f>
        <v>1</v>
      </c>
      <c r="AX115" s="135">
        <f t="shared" ref="AX115:AX117" si="309">IF(T115=0,1,AW115/T115-1)</f>
        <v>1</v>
      </c>
      <c r="AY115" s="29"/>
      <c r="AZ115" s="29">
        <f>AY115-$D115</f>
        <v>0</v>
      </c>
      <c r="BA115" s="135">
        <f t="shared" ref="BA115:BA117" si="310">IF(W115=0,1,AZ115/W115-1)</f>
        <v>1</v>
      </c>
      <c r="BB115" s="29"/>
      <c r="BC115" s="29">
        <f>BB115-$D115</f>
        <v>0</v>
      </c>
      <c r="BD115" s="135">
        <f t="shared" ref="BD115:BD117" si="311">IF(Z115=0,1,BC115/Z115-1)</f>
        <v>1</v>
      </c>
      <c r="BE115" s="29"/>
      <c r="BF115" s="29">
        <f>BE115-$D115</f>
        <v>0</v>
      </c>
      <c r="BG115" s="135">
        <f t="shared" ref="BG115:BG117" si="312">IF(AC115=0,1,BF115/AC115-1)</f>
        <v>1</v>
      </c>
      <c r="BH115" s="137">
        <f t="shared" ref="BH115:BH117" si="313">BF115+BH79+BH82</f>
        <v>0</v>
      </c>
      <c r="BI115" s="29"/>
      <c r="BJ115" s="29">
        <f t="shared" ref="BJ115:BJ117" si="314">D115+BJ79+BJ82</f>
        <v>0</v>
      </c>
      <c r="BK115" s="135">
        <f t="shared" ref="BK115:BK117" si="315">IF($AA$80=0,1,BJ115/$AA$80-1)</f>
        <v>1</v>
      </c>
      <c r="BL115" s="135">
        <f t="shared" ref="BL115:BL117" si="316">IF($D115=0,1,BJ115/$D115-1)</f>
        <v>1</v>
      </c>
      <c r="BM115" s="29">
        <f>BK115-$E115</f>
        <v>1</v>
      </c>
      <c r="BN115" s="137">
        <f t="shared" ref="BN115:BN117" si="317">BL115+BN79+BN82</f>
        <v>1</v>
      </c>
      <c r="BO115" s="29"/>
      <c r="BP115" s="29">
        <f t="shared" ref="BP115:BP117" si="318">J115+BP79+BP82</f>
        <v>0</v>
      </c>
      <c r="BQ115" s="63"/>
      <c r="BR115" s="63"/>
      <c r="BS115" s="29">
        <f>BQ115-$E115</f>
        <v>0</v>
      </c>
      <c r="BT115" s="137">
        <f t="shared" ref="BT115:BT117" si="319">BR115+BT79+BT82</f>
        <v>0</v>
      </c>
      <c r="BU115" s="29"/>
      <c r="BV115" s="29">
        <f t="shared" ref="BV115:BV117" si="320">P115+BV79+BV82</f>
        <v>0</v>
      </c>
      <c r="BW115" s="63"/>
      <c r="BX115" s="63"/>
      <c r="BY115" s="29">
        <f>BW115-$E115</f>
        <v>0</v>
      </c>
      <c r="BZ115" s="137">
        <f t="shared" ref="BZ115:BZ117" si="321">BX115+BZ79+BZ82</f>
        <v>0</v>
      </c>
      <c r="CA115" s="29"/>
      <c r="CB115" s="29">
        <f t="shared" ref="CB115:CB117" si="322">V115+CB79+CB82</f>
        <v>0</v>
      </c>
      <c r="CC115" s="63"/>
      <c r="CD115" s="63"/>
      <c r="CE115" s="29">
        <f>CC115-$E115</f>
        <v>0</v>
      </c>
      <c r="CF115" s="137">
        <f t="shared" ref="CF115:CF117" si="323">CD115+CF79+CF82</f>
        <v>0</v>
      </c>
      <c r="CG115" s="29"/>
      <c r="CH115" s="29">
        <f t="shared" ref="CH115:CH117" si="324">AB115+CH79+CH82</f>
        <v>1</v>
      </c>
      <c r="CI115" s="63"/>
      <c r="CJ115" s="63"/>
      <c r="CK115" s="29">
        <f>CI115-$E115</f>
        <v>0</v>
      </c>
      <c r="CL115" s="137">
        <f t="shared" ref="CL115:CL117" si="325">CJ115+CL79+CL82</f>
        <v>0</v>
      </c>
      <c r="CM115" s="29"/>
      <c r="CN115" s="29">
        <f t="shared" ref="CN115:CN117" si="326">AH115+CN79+CN82</f>
        <v>0</v>
      </c>
      <c r="CO115" s="63"/>
      <c r="CP115" s="63"/>
      <c r="CQ115" s="29">
        <f>CO115-$E115</f>
        <v>0</v>
      </c>
      <c r="CR115" s="137">
        <f t="shared" ref="CR115:CR117" si="327">CP115+CR79+CR82</f>
        <v>0</v>
      </c>
      <c r="CS115" s="29"/>
      <c r="CT115" s="29">
        <f t="shared" ref="CT115:CT117" si="328">AN115+CT79+CT82</f>
        <v>0</v>
      </c>
      <c r="CU115" s="63"/>
      <c r="CV115" s="63"/>
      <c r="CW115" s="29">
        <f>CU115-$E115</f>
        <v>0</v>
      </c>
      <c r="CX115" s="137">
        <f t="shared" ref="CX115:CX117" si="329">CV115+CX79+CX82</f>
        <v>0</v>
      </c>
      <c r="CY115" s="29"/>
      <c r="CZ115" s="29">
        <f t="shared" ref="CZ115:CZ117" si="330">AT115+CZ79+CZ82</f>
        <v>0</v>
      </c>
      <c r="DA115" s="63"/>
      <c r="DB115" s="63"/>
      <c r="DC115" s="29">
        <f>DA115-$E115</f>
        <v>0</v>
      </c>
      <c r="DD115" s="137">
        <f t="shared" ref="DD115:DD117" si="331">DB115+DD79+DD82</f>
        <v>0</v>
      </c>
      <c r="DE115" s="29"/>
      <c r="DF115" s="29">
        <f t="shared" ref="DF115:DF117" si="332">AZ115+DF79+DF82</f>
        <v>0</v>
      </c>
      <c r="DG115" s="63"/>
      <c r="DH115" s="63"/>
      <c r="DI115" s="29">
        <f>DG115-$E115</f>
        <v>0</v>
      </c>
      <c r="DJ115" s="137">
        <f t="shared" ref="DJ115:DJ117" si="333">DH115+DJ79+DJ82</f>
        <v>0</v>
      </c>
      <c r="DK115" s="29"/>
      <c r="DL115" s="29">
        <f t="shared" ref="DL115:DL117" si="334">BF115+DL79+DL82</f>
        <v>0</v>
      </c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</row>
    <row r="116" spans="1:206" s="64" customFormat="1" ht="16.5">
      <c r="A116" s="292" t="s">
        <v>155</v>
      </c>
      <c r="B116" s="293"/>
      <c r="C116" s="29"/>
      <c r="D116" s="134">
        <f t="shared" si="289"/>
        <v>0</v>
      </c>
      <c r="E116" s="29"/>
      <c r="F116" s="29"/>
      <c r="G116" s="137">
        <f t="shared" si="290"/>
        <v>0</v>
      </c>
      <c r="H116" s="29"/>
      <c r="I116" s="137">
        <f t="shared" si="291"/>
        <v>0</v>
      </c>
      <c r="J116" s="29"/>
      <c r="K116" s="137">
        <f>I116-$C116</f>
        <v>0</v>
      </c>
      <c r="L116" s="29">
        <f t="shared" si="293"/>
        <v>0</v>
      </c>
      <c r="M116" s="137">
        <f t="shared" si="294"/>
        <v>0</v>
      </c>
      <c r="N116" s="29"/>
      <c r="O116" s="137">
        <f>M116-$C116</f>
        <v>0</v>
      </c>
      <c r="P116" s="29">
        <f t="shared" si="295"/>
        <v>0</v>
      </c>
      <c r="Q116" s="137">
        <f t="shared" si="296"/>
        <v>0</v>
      </c>
      <c r="R116" s="29"/>
      <c r="S116" s="137">
        <f>Q116-$C116</f>
        <v>0</v>
      </c>
      <c r="T116" s="29">
        <f t="shared" si="297"/>
        <v>0</v>
      </c>
      <c r="U116" s="137">
        <f t="shared" si="298"/>
        <v>0</v>
      </c>
      <c r="V116" s="29"/>
      <c r="W116" s="137">
        <f>U116-$C116</f>
        <v>0</v>
      </c>
      <c r="X116" s="29">
        <f t="shared" si="299"/>
        <v>0</v>
      </c>
      <c r="Y116" s="137">
        <f t="shared" si="300"/>
        <v>0</v>
      </c>
      <c r="Z116" s="29"/>
      <c r="AA116" s="137">
        <f>Y116-$C116</f>
        <v>0</v>
      </c>
      <c r="AB116" s="135">
        <f t="shared" si="301"/>
        <v>1</v>
      </c>
      <c r="AC116" s="29"/>
      <c r="AD116" s="29"/>
      <c r="AE116" s="29">
        <f t="shared" ref="AE116:AE117" si="335">AD116-$D116</f>
        <v>0</v>
      </c>
      <c r="AF116" s="135">
        <f t="shared" si="302"/>
        <v>1</v>
      </c>
      <c r="AG116" s="29"/>
      <c r="AH116" s="29">
        <f t="shared" ref="AH116:AH117" si="336">AG116-$D116</f>
        <v>0</v>
      </c>
      <c r="AI116" s="135">
        <f t="shared" si="303"/>
        <v>1</v>
      </c>
      <c r="AJ116" s="29"/>
      <c r="AK116" s="29">
        <f t="shared" ref="AK116:AK117" si="337">AJ116-$D116</f>
        <v>0</v>
      </c>
      <c r="AL116" s="135">
        <f t="shared" si="304"/>
        <v>1</v>
      </c>
      <c r="AM116" s="137"/>
      <c r="AN116" s="29">
        <f t="shared" ref="AN116:AN117" si="338">AM116-$D116</f>
        <v>0</v>
      </c>
      <c r="AO116" s="135">
        <f t="shared" si="305"/>
        <v>1</v>
      </c>
      <c r="AP116" s="29"/>
      <c r="AQ116" s="29">
        <f t="shared" ref="AQ116:AQ117" si="339">AP116-$D116</f>
        <v>0</v>
      </c>
      <c r="AR116" s="135">
        <f t="shared" si="306"/>
        <v>1</v>
      </c>
      <c r="AS116" s="29"/>
      <c r="AT116" s="29">
        <f t="shared" ref="AT116:AT117" si="340">AS116-$D116</f>
        <v>0</v>
      </c>
      <c r="AU116" s="135">
        <f t="shared" si="307"/>
        <v>1</v>
      </c>
      <c r="AV116" s="29">
        <f t="shared" si="308"/>
        <v>1</v>
      </c>
      <c r="AW116" s="29">
        <f t="shared" ref="AW116:AW117" si="341">AV116-$D116</f>
        <v>1</v>
      </c>
      <c r="AX116" s="135">
        <f t="shared" si="309"/>
        <v>1</v>
      </c>
      <c r="AY116" s="29"/>
      <c r="AZ116" s="29">
        <f t="shared" ref="AZ116:AZ117" si="342">AY116-$D116</f>
        <v>0</v>
      </c>
      <c r="BA116" s="135">
        <f t="shared" si="310"/>
        <v>1</v>
      </c>
      <c r="BB116" s="29"/>
      <c r="BC116" s="29">
        <f t="shared" ref="BC116:BC117" si="343">BB116-$D116</f>
        <v>0</v>
      </c>
      <c r="BD116" s="135">
        <f t="shared" si="311"/>
        <v>1</v>
      </c>
      <c r="BE116" s="29"/>
      <c r="BF116" s="29">
        <f t="shared" ref="BF116:BF117" si="344">BE116-$D116</f>
        <v>0</v>
      </c>
      <c r="BG116" s="135">
        <f t="shared" si="312"/>
        <v>1</v>
      </c>
      <c r="BH116" s="137">
        <f t="shared" si="313"/>
        <v>0</v>
      </c>
      <c r="BI116" s="29"/>
      <c r="BJ116" s="29">
        <f t="shared" si="314"/>
        <v>0</v>
      </c>
      <c r="BK116" s="135">
        <f t="shared" si="315"/>
        <v>1</v>
      </c>
      <c r="BL116" s="135">
        <f t="shared" si="316"/>
        <v>1</v>
      </c>
      <c r="BM116" s="29">
        <f t="shared" ref="BM116:BM117" si="345">IF(AE116=0,1,BL116/AE116-1)</f>
        <v>1</v>
      </c>
      <c r="BN116" s="137">
        <f t="shared" si="317"/>
        <v>1</v>
      </c>
      <c r="BO116" s="29"/>
      <c r="BP116" s="29">
        <f t="shared" si="318"/>
        <v>0</v>
      </c>
      <c r="BQ116" s="63"/>
      <c r="BR116" s="63"/>
      <c r="BS116" s="29">
        <f t="shared" ref="BS116:BS117" si="346">IF(AK116=0,1,BR116/AK116-1)</f>
        <v>1</v>
      </c>
      <c r="BT116" s="137">
        <f t="shared" si="319"/>
        <v>0</v>
      </c>
      <c r="BU116" s="29"/>
      <c r="BV116" s="29">
        <f t="shared" si="320"/>
        <v>0</v>
      </c>
      <c r="BW116" s="63"/>
      <c r="BX116" s="63"/>
      <c r="BY116" s="29">
        <f t="shared" ref="BY116:BY117" si="347">IF(AQ116=0,1,BX116/AQ116-1)</f>
        <v>1</v>
      </c>
      <c r="BZ116" s="137">
        <f t="shared" si="321"/>
        <v>0</v>
      </c>
      <c r="CA116" s="29"/>
      <c r="CB116" s="29">
        <f t="shared" si="322"/>
        <v>0</v>
      </c>
      <c r="CC116" s="63"/>
      <c r="CD116" s="63"/>
      <c r="CE116" s="29">
        <f t="shared" ref="CE116:CE117" si="348">IF(AW116=0,1,CD116/AW116-1)</f>
        <v>-1</v>
      </c>
      <c r="CF116" s="137">
        <f t="shared" si="323"/>
        <v>0</v>
      </c>
      <c r="CG116" s="29"/>
      <c r="CH116" s="29">
        <f t="shared" si="324"/>
        <v>1</v>
      </c>
      <c r="CI116" s="63"/>
      <c r="CJ116" s="63"/>
      <c r="CK116" s="29">
        <f t="shared" ref="CK116:CK117" si="349">IF(BC116=0,1,CJ116/BC116-1)</f>
        <v>1</v>
      </c>
      <c r="CL116" s="137">
        <f t="shared" si="325"/>
        <v>0</v>
      </c>
      <c r="CM116" s="29"/>
      <c r="CN116" s="29">
        <f t="shared" si="326"/>
        <v>0</v>
      </c>
      <c r="CO116" s="63"/>
      <c r="CP116" s="63"/>
      <c r="CQ116" s="29">
        <f t="shared" ref="CQ116:CQ117" si="350">IF(BI116=0,1,CP116/BI116-1)</f>
        <v>1</v>
      </c>
      <c r="CR116" s="137">
        <f t="shared" si="327"/>
        <v>0</v>
      </c>
      <c r="CS116" s="29"/>
      <c r="CT116" s="29">
        <f t="shared" si="328"/>
        <v>0</v>
      </c>
      <c r="CU116" s="63"/>
      <c r="CV116" s="63"/>
      <c r="CW116" s="29">
        <f t="shared" ref="CW116:CW117" si="351">IF(BO116=0,1,CV116/BO116-1)</f>
        <v>1</v>
      </c>
      <c r="CX116" s="137">
        <f t="shared" si="329"/>
        <v>0</v>
      </c>
      <c r="CY116" s="29"/>
      <c r="CZ116" s="29">
        <f t="shared" si="330"/>
        <v>0</v>
      </c>
      <c r="DA116" s="63"/>
      <c r="DB116" s="63"/>
      <c r="DC116" s="29">
        <f t="shared" ref="DC116:DC117" si="352">IF(BU116=0,1,DB116/BU116-1)</f>
        <v>1</v>
      </c>
      <c r="DD116" s="137">
        <f t="shared" si="331"/>
        <v>0</v>
      </c>
      <c r="DE116" s="29"/>
      <c r="DF116" s="29">
        <f t="shared" si="332"/>
        <v>0</v>
      </c>
      <c r="DG116" s="63"/>
      <c r="DH116" s="63"/>
      <c r="DI116" s="29">
        <f t="shared" ref="DI116:DI117" si="353">IF(CA116=0,1,DH116/CA116-1)</f>
        <v>1</v>
      </c>
      <c r="DJ116" s="137">
        <f t="shared" si="333"/>
        <v>0</v>
      </c>
      <c r="DK116" s="29"/>
      <c r="DL116" s="29">
        <f t="shared" si="334"/>
        <v>0</v>
      </c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</row>
    <row r="117" spans="1:206" s="64" customFormat="1" ht="16.5">
      <c r="A117" s="292" t="s">
        <v>156</v>
      </c>
      <c r="B117" s="293"/>
      <c r="C117" s="29"/>
      <c r="D117" s="134">
        <f t="shared" si="289"/>
        <v>0</v>
      </c>
      <c r="E117" s="29"/>
      <c r="F117" s="29"/>
      <c r="G117" s="137">
        <f t="shared" si="290"/>
        <v>0</v>
      </c>
      <c r="H117" s="29"/>
      <c r="I117" s="137">
        <f t="shared" si="291"/>
        <v>0</v>
      </c>
      <c r="J117" s="29"/>
      <c r="K117" s="137">
        <f t="shared" si="292"/>
        <v>0</v>
      </c>
      <c r="L117" s="29">
        <f t="shared" si="293"/>
        <v>0</v>
      </c>
      <c r="M117" s="137">
        <f t="shared" si="294"/>
        <v>0</v>
      </c>
      <c r="N117" s="29"/>
      <c r="O117" s="137">
        <f t="shared" ref="O117" si="354">N117-$C117</f>
        <v>0</v>
      </c>
      <c r="P117" s="29">
        <f t="shared" si="295"/>
        <v>0</v>
      </c>
      <c r="Q117" s="137">
        <f t="shared" si="296"/>
        <v>0</v>
      </c>
      <c r="R117" s="29"/>
      <c r="S117" s="137">
        <f t="shared" ref="S117" si="355">R117-$C117</f>
        <v>0</v>
      </c>
      <c r="T117" s="29">
        <f t="shared" si="297"/>
        <v>0</v>
      </c>
      <c r="U117" s="137">
        <f t="shared" si="298"/>
        <v>0</v>
      </c>
      <c r="V117" s="29"/>
      <c r="W117" s="137">
        <f t="shared" ref="W117" si="356">V117-$C117</f>
        <v>0</v>
      </c>
      <c r="X117" s="29">
        <f t="shared" si="299"/>
        <v>0</v>
      </c>
      <c r="Y117" s="137">
        <f t="shared" si="300"/>
        <v>0</v>
      </c>
      <c r="Z117" s="29"/>
      <c r="AA117" s="137">
        <f t="shared" ref="AA117" si="357">Z117-$C117</f>
        <v>0</v>
      </c>
      <c r="AB117" s="135">
        <f t="shared" si="301"/>
        <v>1</v>
      </c>
      <c r="AC117" s="29"/>
      <c r="AD117" s="29"/>
      <c r="AE117" s="29">
        <f t="shared" si="335"/>
        <v>0</v>
      </c>
      <c r="AF117" s="135">
        <f t="shared" si="302"/>
        <v>1</v>
      </c>
      <c r="AG117" s="29"/>
      <c r="AH117" s="29">
        <f t="shared" si="336"/>
        <v>0</v>
      </c>
      <c r="AI117" s="135">
        <f t="shared" si="303"/>
        <v>1</v>
      </c>
      <c r="AJ117" s="29"/>
      <c r="AK117" s="29">
        <f t="shared" si="337"/>
        <v>0</v>
      </c>
      <c r="AL117" s="135">
        <f t="shared" si="304"/>
        <v>1</v>
      </c>
      <c r="AM117" s="137"/>
      <c r="AN117" s="29">
        <f t="shared" si="338"/>
        <v>0</v>
      </c>
      <c r="AO117" s="135">
        <f t="shared" si="305"/>
        <v>1</v>
      </c>
      <c r="AP117" s="29"/>
      <c r="AQ117" s="29">
        <f t="shared" si="339"/>
        <v>0</v>
      </c>
      <c r="AR117" s="135">
        <f t="shared" si="306"/>
        <v>1</v>
      </c>
      <c r="AS117" s="29"/>
      <c r="AT117" s="29">
        <f t="shared" si="340"/>
        <v>0</v>
      </c>
      <c r="AU117" s="135">
        <f t="shared" si="307"/>
        <v>1</v>
      </c>
      <c r="AV117" s="29">
        <f t="shared" si="308"/>
        <v>1</v>
      </c>
      <c r="AW117" s="29">
        <f t="shared" si="341"/>
        <v>1</v>
      </c>
      <c r="AX117" s="135">
        <f t="shared" si="309"/>
        <v>1</v>
      </c>
      <c r="AY117" s="29"/>
      <c r="AZ117" s="29">
        <f t="shared" si="342"/>
        <v>0</v>
      </c>
      <c r="BA117" s="135">
        <f t="shared" si="310"/>
        <v>1</v>
      </c>
      <c r="BB117" s="29"/>
      <c r="BC117" s="29">
        <f t="shared" si="343"/>
        <v>0</v>
      </c>
      <c r="BD117" s="135">
        <f t="shared" si="311"/>
        <v>1</v>
      </c>
      <c r="BE117" s="29"/>
      <c r="BF117" s="29">
        <f t="shared" si="344"/>
        <v>0</v>
      </c>
      <c r="BG117" s="135">
        <f t="shared" si="312"/>
        <v>1</v>
      </c>
      <c r="BH117" s="137">
        <f t="shared" si="313"/>
        <v>0</v>
      </c>
      <c r="BI117" s="29"/>
      <c r="BJ117" s="29">
        <f t="shared" si="314"/>
        <v>0</v>
      </c>
      <c r="BK117" s="135">
        <f t="shared" si="315"/>
        <v>1</v>
      </c>
      <c r="BL117" s="135">
        <f t="shared" si="316"/>
        <v>1</v>
      </c>
      <c r="BM117" s="29">
        <f t="shared" si="345"/>
        <v>1</v>
      </c>
      <c r="BN117" s="137">
        <f t="shared" si="317"/>
        <v>1</v>
      </c>
      <c r="BO117" s="29"/>
      <c r="BP117" s="29">
        <f t="shared" si="318"/>
        <v>0</v>
      </c>
      <c r="BQ117" s="63"/>
      <c r="BR117" s="63"/>
      <c r="BS117" s="29">
        <f t="shared" si="346"/>
        <v>1</v>
      </c>
      <c r="BT117" s="137">
        <f t="shared" si="319"/>
        <v>0</v>
      </c>
      <c r="BU117" s="29"/>
      <c r="BV117" s="29">
        <f t="shared" si="320"/>
        <v>0</v>
      </c>
      <c r="BW117" s="63"/>
      <c r="BX117" s="63"/>
      <c r="BY117" s="29">
        <f t="shared" si="347"/>
        <v>1</v>
      </c>
      <c r="BZ117" s="137">
        <f t="shared" si="321"/>
        <v>0</v>
      </c>
      <c r="CA117" s="29"/>
      <c r="CB117" s="29">
        <f t="shared" si="322"/>
        <v>0</v>
      </c>
      <c r="CC117" s="63"/>
      <c r="CD117" s="63"/>
      <c r="CE117" s="29">
        <f t="shared" si="348"/>
        <v>-1</v>
      </c>
      <c r="CF117" s="137">
        <f t="shared" si="323"/>
        <v>0</v>
      </c>
      <c r="CG117" s="29"/>
      <c r="CH117" s="29">
        <f t="shared" si="324"/>
        <v>1</v>
      </c>
      <c r="CI117" s="63"/>
      <c r="CJ117" s="63"/>
      <c r="CK117" s="29">
        <f t="shared" si="349"/>
        <v>1</v>
      </c>
      <c r="CL117" s="137">
        <f t="shared" si="325"/>
        <v>0</v>
      </c>
      <c r="CM117" s="29"/>
      <c r="CN117" s="29">
        <f t="shared" si="326"/>
        <v>0</v>
      </c>
      <c r="CO117" s="63"/>
      <c r="CP117" s="63"/>
      <c r="CQ117" s="29">
        <f t="shared" si="350"/>
        <v>1</v>
      </c>
      <c r="CR117" s="137">
        <f t="shared" si="327"/>
        <v>0</v>
      </c>
      <c r="CS117" s="29"/>
      <c r="CT117" s="29">
        <f t="shared" si="328"/>
        <v>0</v>
      </c>
      <c r="CU117" s="63"/>
      <c r="CV117" s="63"/>
      <c r="CW117" s="29">
        <f t="shared" si="351"/>
        <v>1</v>
      </c>
      <c r="CX117" s="137">
        <f t="shared" si="329"/>
        <v>0</v>
      </c>
      <c r="CY117" s="29"/>
      <c r="CZ117" s="29">
        <f t="shared" si="330"/>
        <v>0</v>
      </c>
      <c r="DA117" s="63"/>
      <c r="DB117" s="63"/>
      <c r="DC117" s="29">
        <f t="shared" si="352"/>
        <v>1</v>
      </c>
      <c r="DD117" s="137">
        <f t="shared" si="331"/>
        <v>0</v>
      </c>
      <c r="DE117" s="29"/>
      <c r="DF117" s="29">
        <f t="shared" si="332"/>
        <v>0</v>
      </c>
      <c r="DG117" s="63"/>
      <c r="DH117" s="63"/>
      <c r="DI117" s="29">
        <f t="shared" si="353"/>
        <v>1</v>
      </c>
      <c r="DJ117" s="137">
        <f t="shared" si="333"/>
        <v>0</v>
      </c>
      <c r="DK117" s="29"/>
      <c r="DL117" s="29">
        <f t="shared" si="334"/>
        <v>0</v>
      </c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</row>
    <row r="118" spans="1:206" s="150" customFormat="1" ht="15.75" customHeight="1">
      <c r="A118" s="283" t="s">
        <v>73</v>
      </c>
      <c r="B118" s="284"/>
      <c r="C118" s="133" t="e">
        <f>C114/(C10-C12)</f>
        <v>#DIV/0!</v>
      </c>
      <c r="D118" s="133" t="e">
        <f>D114/(D10-D12)</f>
        <v>#DIV/0!</v>
      </c>
      <c r="E118" s="133" t="s">
        <v>51</v>
      </c>
      <c r="F118" s="133" t="s">
        <v>51</v>
      </c>
      <c r="G118" s="133" t="s">
        <v>51</v>
      </c>
      <c r="H118" s="133" t="s">
        <v>51</v>
      </c>
      <c r="I118" s="133" t="s">
        <v>51</v>
      </c>
      <c r="J118" s="133" t="s">
        <v>51</v>
      </c>
      <c r="K118" s="133" t="s">
        <v>51</v>
      </c>
      <c r="L118" s="133" t="s">
        <v>51</v>
      </c>
      <c r="M118" s="133" t="s">
        <v>51</v>
      </c>
      <c r="N118" s="133" t="s">
        <v>51</v>
      </c>
      <c r="O118" s="133" t="s">
        <v>51</v>
      </c>
      <c r="P118" s="133" t="s">
        <v>51</v>
      </c>
      <c r="Q118" s="133" t="s">
        <v>51</v>
      </c>
      <c r="R118" s="133" t="s">
        <v>51</v>
      </c>
      <c r="S118" s="133" t="s">
        <v>51</v>
      </c>
      <c r="T118" s="133" t="s">
        <v>51</v>
      </c>
      <c r="U118" s="133" t="s">
        <v>51</v>
      </c>
      <c r="V118" s="133" t="s">
        <v>51</v>
      </c>
      <c r="W118" s="133" t="s">
        <v>51</v>
      </c>
      <c r="X118" s="133" t="s">
        <v>51</v>
      </c>
      <c r="Y118" s="133" t="s">
        <v>51</v>
      </c>
      <c r="Z118" s="133" t="s">
        <v>51</v>
      </c>
      <c r="AA118" s="133" t="e">
        <f>AA114/(AA9-AA12-AA27)</f>
        <v>#DIV/0!</v>
      </c>
      <c r="AB118" s="133" t="s">
        <v>51</v>
      </c>
      <c r="AC118" s="133" t="e">
        <f>AC114/($AA$10-$AA$12)</f>
        <v>#DIV/0!</v>
      </c>
      <c r="AD118" s="133" t="e">
        <f>AD114/($AA$10-$AA$12)</f>
        <v>#DIV/0!</v>
      </c>
      <c r="AE118" s="133" t="e">
        <f>AD118</f>
        <v>#DIV/0!</v>
      </c>
      <c r="AF118" s="133" t="s">
        <v>51</v>
      </c>
      <c r="AG118" s="133" t="e">
        <f>AG114/($AA$10-$AA$12)</f>
        <v>#DIV/0!</v>
      </c>
      <c r="AH118" s="133" t="e">
        <f>AG118</f>
        <v>#DIV/0!</v>
      </c>
      <c r="AI118" s="133" t="s">
        <v>51</v>
      </c>
      <c r="AJ118" s="133" t="e">
        <f>AJ114/($AA$10-$AA$12)</f>
        <v>#DIV/0!</v>
      </c>
      <c r="AK118" s="133" t="e">
        <f>AJ118</f>
        <v>#DIV/0!</v>
      </c>
      <c r="AL118" s="133" t="s">
        <v>51</v>
      </c>
      <c r="AM118" s="133" t="e">
        <f>AM114/($AA$10-$AA$12)</f>
        <v>#DIV/0!</v>
      </c>
      <c r="AN118" s="133" t="e">
        <f>AM118</f>
        <v>#DIV/0!</v>
      </c>
      <c r="AO118" s="133" t="s">
        <v>51</v>
      </c>
      <c r="AP118" s="133" t="e">
        <f>AP114/($AA$10-$AA$12)</f>
        <v>#DIV/0!</v>
      </c>
      <c r="AQ118" s="133" t="e">
        <f>AP118</f>
        <v>#DIV/0!</v>
      </c>
      <c r="AR118" s="133" t="s">
        <v>51</v>
      </c>
      <c r="AS118" s="133" t="e">
        <f>AS114/($AA$10-$AA$12)</f>
        <v>#DIV/0!</v>
      </c>
      <c r="AT118" s="133" t="e">
        <f>AS118</f>
        <v>#DIV/0!</v>
      </c>
      <c r="AU118" s="133" t="s">
        <v>51</v>
      </c>
      <c r="AV118" s="133" t="e">
        <f>AV114/($AA$10-$AA$12)</f>
        <v>#DIV/0!</v>
      </c>
      <c r="AW118" s="133" t="e">
        <f>AV118</f>
        <v>#DIV/0!</v>
      </c>
      <c r="AX118" s="133" t="s">
        <v>51</v>
      </c>
      <c r="AY118" s="133" t="e">
        <f>AY114/($AA$10-$AA$12)</f>
        <v>#DIV/0!</v>
      </c>
      <c r="AZ118" s="133" t="e">
        <f>AY118</f>
        <v>#DIV/0!</v>
      </c>
      <c r="BA118" s="133" t="s">
        <v>51</v>
      </c>
      <c r="BB118" s="133" t="e">
        <f>BB114/($AA$10-$AA$12)</f>
        <v>#DIV/0!</v>
      </c>
      <c r="BC118" s="133" t="e">
        <f>BB118</f>
        <v>#DIV/0!</v>
      </c>
      <c r="BD118" s="133" t="s">
        <v>51</v>
      </c>
      <c r="BE118" s="133" t="e">
        <f>BE114/($AA$10-$AA$12)</f>
        <v>#DIV/0!</v>
      </c>
      <c r="BF118" s="133" t="e">
        <f>BE118</f>
        <v>#DIV/0!</v>
      </c>
      <c r="BG118" s="133" t="s">
        <v>51</v>
      </c>
      <c r="BH118" s="133" t="e">
        <f>BH114/($AA$10-$AA$12)</f>
        <v>#DIV/0!</v>
      </c>
      <c r="BI118" s="133" t="e">
        <f>BI114/($AA$10-$AA$12)</f>
        <v>#DIV/0!</v>
      </c>
      <c r="BJ118" s="133" t="e">
        <f>BJ114/(BJ10-BJ12)</f>
        <v>#DIV/0!</v>
      </c>
      <c r="BK118" s="133" t="s">
        <v>51</v>
      </c>
      <c r="BL118" s="133" t="e">
        <f>IF($D118=0,1,BJ118/$D118-1)</f>
        <v>#DIV/0!</v>
      </c>
      <c r="BM118" s="121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</row>
    <row r="119" spans="1:206" s="194" customFormat="1" ht="38.25" customHeight="1">
      <c r="A119" s="279" t="s">
        <v>165</v>
      </c>
      <c r="B119" s="280"/>
      <c r="C119" s="19"/>
      <c r="D119" s="19"/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31" t="s">
        <v>51</v>
      </c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/>
      <c r="AZ119" s="131"/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31" t="s">
        <v>51</v>
      </c>
      <c r="BK119" s="131" t="s">
        <v>51</v>
      </c>
      <c r="BL119" s="131" t="s">
        <v>51</v>
      </c>
      <c r="BM119" s="131" t="s">
        <v>51</v>
      </c>
      <c r="BN119" s="131" t="s">
        <v>51</v>
      </c>
      <c r="BO119" s="131" t="s">
        <v>51</v>
      </c>
      <c r="BP119" s="131" t="s">
        <v>51</v>
      </c>
      <c r="BQ119" s="131" t="s">
        <v>51</v>
      </c>
      <c r="BR119" s="131" t="s">
        <v>51</v>
      </c>
      <c r="BS119" s="131" t="s">
        <v>51</v>
      </c>
      <c r="BT119" s="131" t="s">
        <v>51</v>
      </c>
      <c r="BU119" s="131" t="s">
        <v>51</v>
      </c>
      <c r="BV119" s="131" t="s">
        <v>51</v>
      </c>
      <c r="BW119" s="131" t="s">
        <v>51</v>
      </c>
      <c r="BX119" s="131" t="s">
        <v>51</v>
      </c>
      <c r="BY119" s="131" t="s">
        <v>51</v>
      </c>
      <c r="BZ119" s="131" t="s">
        <v>51</v>
      </c>
      <c r="CA119" s="131" t="s">
        <v>51</v>
      </c>
      <c r="CB119" s="131" t="s">
        <v>51</v>
      </c>
      <c r="CC119" s="131" t="s">
        <v>51</v>
      </c>
      <c r="CD119" s="131" t="s">
        <v>51</v>
      </c>
      <c r="CE119" s="131" t="s">
        <v>51</v>
      </c>
      <c r="CF119" s="131" t="s">
        <v>51</v>
      </c>
      <c r="CG119" s="131" t="s">
        <v>51</v>
      </c>
      <c r="CH119" s="131" t="s">
        <v>51</v>
      </c>
      <c r="CI119" s="131" t="s">
        <v>51</v>
      </c>
      <c r="CJ119" s="131" t="s">
        <v>51</v>
      </c>
      <c r="CK119" s="131" t="s">
        <v>51</v>
      </c>
      <c r="CL119" s="131" t="s">
        <v>51</v>
      </c>
      <c r="CM119" s="131" t="s">
        <v>51</v>
      </c>
      <c r="CN119" s="131" t="s">
        <v>51</v>
      </c>
      <c r="CO119" s="131" t="s">
        <v>51</v>
      </c>
      <c r="CP119" s="131" t="s">
        <v>51</v>
      </c>
      <c r="CQ119" s="131" t="s">
        <v>51</v>
      </c>
      <c r="CR119" s="131" t="s">
        <v>51</v>
      </c>
      <c r="CS119" s="131" t="s">
        <v>51</v>
      </c>
      <c r="CT119" s="131" t="s">
        <v>51</v>
      </c>
      <c r="CU119" s="131" t="s">
        <v>51</v>
      </c>
      <c r="CV119" s="131" t="s">
        <v>51</v>
      </c>
      <c r="CW119" s="131" t="s">
        <v>51</v>
      </c>
      <c r="CX119" s="131" t="s">
        <v>51</v>
      </c>
      <c r="CY119" s="131" t="s">
        <v>51</v>
      </c>
      <c r="CZ119" s="131" t="s">
        <v>51</v>
      </c>
      <c r="DA119" s="131" t="s">
        <v>51</v>
      </c>
      <c r="DB119" s="131" t="s">
        <v>51</v>
      </c>
      <c r="DC119" s="131" t="s">
        <v>51</v>
      </c>
      <c r="DD119" s="131" t="s">
        <v>51</v>
      </c>
      <c r="DE119" s="131" t="s">
        <v>51</v>
      </c>
      <c r="DF119" s="131" t="s">
        <v>51</v>
      </c>
      <c r="DG119" s="131" t="s">
        <v>51</v>
      </c>
      <c r="DH119" s="131" t="s">
        <v>51</v>
      </c>
      <c r="DI119" s="131" t="s">
        <v>51</v>
      </c>
      <c r="DJ119" s="131" t="s">
        <v>51</v>
      </c>
      <c r="DK119" s="131" t="s">
        <v>51</v>
      </c>
      <c r="DL119" s="131" t="s">
        <v>51</v>
      </c>
      <c r="DM119" s="131" t="s">
        <v>51</v>
      </c>
      <c r="DN119" s="131" t="s">
        <v>51</v>
      </c>
      <c r="DO119" s="131" t="s">
        <v>51</v>
      </c>
      <c r="DP119" s="131" t="s">
        <v>51</v>
      </c>
      <c r="DQ119" s="19"/>
      <c r="DR119" s="19"/>
      <c r="DS119" s="131" t="s">
        <v>51</v>
      </c>
      <c r="DT119" s="131" t="s">
        <v>51</v>
      </c>
      <c r="DU119" s="131" t="s">
        <v>51</v>
      </c>
      <c r="DV119" s="131" t="s">
        <v>51</v>
      </c>
      <c r="DW119" s="193"/>
      <c r="DX119" s="193"/>
      <c r="DY119" s="193"/>
      <c r="DZ119" s="193"/>
      <c r="EA119" s="193"/>
      <c r="EB119" s="193"/>
      <c r="EC119" s="193"/>
      <c r="ED119" s="193"/>
      <c r="EE119" s="193"/>
      <c r="EF119" s="193"/>
      <c r="EG119" s="193"/>
      <c r="EH119" s="193"/>
      <c r="EI119" s="193"/>
      <c r="EJ119" s="193"/>
      <c r="EK119" s="193"/>
      <c r="EL119" s="193"/>
      <c r="EM119" s="193"/>
      <c r="EN119" s="193"/>
      <c r="EO119" s="193"/>
      <c r="EP119" s="193"/>
      <c r="EQ119" s="193"/>
      <c r="ER119" s="193"/>
      <c r="ES119" s="193"/>
      <c r="ET119" s="193"/>
      <c r="EU119" s="193"/>
      <c r="EV119" s="193"/>
      <c r="EW119" s="193"/>
      <c r="EX119" s="193"/>
      <c r="EY119" s="193"/>
      <c r="EZ119" s="193"/>
      <c r="FA119" s="193"/>
      <c r="FB119" s="193"/>
      <c r="FC119" s="193"/>
      <c r="FD119" s="193"/>
      <c r="FE119" s="193"/>
      <c r="FF119" s="193"/>
      <c r="FG119" s="193"/>
      <c r="FH119" s="193"/>
      <c r="FI119" s="193"/>
      <c r="FJ119" s="193"/>
      <c r="FK119" s="193"/>
      <c r="FL119" s="193"/>
      <c r="FM119" s="193"/>
      <c r="FN119" s="193"/>
      <c r="FO119" s="193"/>
      <c r="FP119" s="193"/>
      <c r="FQ119" s="193"/>
      <c r="FR119" s="193"/>
      <c r="FS119" s="193"/>
      <c r="FT119" s="193"/>
      <c r="FU119" s="193"/>
      <c r="FV119" s="193"/>
      <c r="FW119" s="193"/>
      <c r="FX119" s="193"/>
      <c r="FY119" s="193"/>
      <c r="FZ119" s="193"/>
      <c r="GA119" s="193"/>
      <c r="GB119" s="193"/>
      <c r="GC119" s="193"/>
      <c r="GD119" s="193"/>
      <c r="GE119" s="193"/>
      <c r="GF119" s="193"/>
      <c r="GG119" s="193"/>
      <c r="GH119" s="193"/>
      <c r="GI119" s="193"/>
      <c r="GJ119" s="193"/>
      <c r="GK119" s="193"/>
      <c r="GL119" s="193"/>
      <c r="GM119" s="193"/>
      <c r="GN119" s="193"/>
      <c r="GO119" s="193"/>
      <c r="GP119" s="193"/>
      <c r="GQ119" s="193"/>
      <c r="GR119" s="193"/>
      <c r="GS119" s="193"/>
      <c r="GT119" s="193"/>
      <c r="GU119" s="193"/>
      <c r="GV119" s="193"/>
      <c r="GW119" s="193"/>
      <c r="GX119" s="193"/>
    </row>
    <row r="120" spans="1:206" s="85" customFormat="1" ht="36.75" customHeight="1">
      <c r="A120" s="279" t="s">
        <v>160</v>
      </c>
      <c r="B120" s="280"/>
      <c r="C120" s="17"/>
      <c r="D120" s="130">
        <f>Z120</f>
        <v>0</v>
      </c>
      <c r="E120" s="17"/>
      <c r="F120" s="17"/>
      <c r="G120" s="17">
        <f t="shared" ref="G120:G131" si="358">F120-$C120</f>
        <v>0</v>
      </c>
      <c r="H120" s="17"/>
      <c r="I120" s="17">
        <f t="shared" ref="I120:I131" si="359">H120-$C120</f>
        <v>0</v>
      </c>
      <c r="J120" s="17"/>
      <c r="K120" s="17">
        <f t="shared" ref="K120:K131" si="360">J120-$C120</f>
        <v>0</v>
      </c>
      <c r="L120" s="17"/>
      <c r="M120" s="17">
        <f t="shared" ref="M120:M131" si="361">L120-$C120</f>
        <v>0</v>
      </c>
      <c r="N120" s="17"/>
      <c r="O120" s="17">
        <f t="shared" ref="O120:O131" si="362">N120-$C120</f>
        <v>0</v>
      </c>
      <c r="P120" s="17"/>
      <c r="Q120" s="17">
        <f t="shared" ref="Q120:Q131" si="363">P120-$C120</f>
        <v>0</v>
      </c>
      <c r="R120" s="17"/>
      <c r="S120" s="17">
        <f t="shared" ref="S120:S131" si="364">R120-$C120</f>
        <v>0</v>
      </c>
      <c r="T120" s="17"/>
      <c r="U120" s="17">
        <f t="shared" ref="U120:U131" si="365">T120-$C120</f>
        <v>0</v>
      </c>
      <c r="V120" s="17"/>
      <c r="W120" s="17">
        <f t="shared" ref="W120:W131" si="366">V120-$C120</f>
        <v>0</v>
      </c>
      <c r="X120" s="17"/>
      <c r="Y120" s="17">
        <f t="shared" ref="Y120:Y131" si="367">X120-$C120</f>
        <v>0</v>
      </c>
      <c r="Z120" s="17"/>
      <c r="AA120" s="17" t="s">
        <v>51</v>
      </c>
      <c r="AB120" s="131" t="s">
        <v>51</v>
      </c>
      <c r="AC120" s="17"/>
      <c r="AD120" s="17"/>
      <c r="AE120" s="17">
        <f t="shared" ref="AE120:AE131" si="368">AD120-$D120</f>
        <v>0</v>
      </c>
      <c r="AF120" s="131" t="s">
        <v>51</v>
      </c>
      <c r="AG120" s="17"/>
      <c r="AH120" s="17">
        <f t="shared" ref="AH120:AH131" si="369">AG120-$D120</f>
        <v>0</v>
      </c>
      <c r="AI120" s="131" t="s">
        <v>51</v>
      </c>
      <c r="AJ120" s="17"/>
      <c r="AK120" s="17">
        <f t="shared" ref="AK120:AK131" si="370">AJ120-$D120</f>
        <v>0</v>
      </c>
      <c r="AL120" s="131" t="s">
        <v>51</v>
      </c>
      <c r="AM120" s="17"/>
      <c r="AN120" s="17">
        <f t="shared" ref="AN120:AN131" si="371">AM120-$D120</f>
        <v>0</v>
      </c>
      <c r="AO120" s="131" t="s">
        <v>51</v>
      </c>
      <c r="AP120" s="17"/>
      <c r="AQ120" s="17">
        <f t="shared" ref="AQ120:AQ131" si="372">AP120-$D120</f>
        <v>0</v>
      </c>
      <c r="AR120" s="131" t="s">
        <v>51</v>
      </c>
      <c r="AS120" s="17"/>
      <c r="AT120" s="17">
        <f t="shared" ref="AT120:AT131" si="373">AS120-$D120</f>
        <v>0</v>
      </c>
      <c r="AU120" s="131" t="s">
        <v>51</v>
      </c>
      <c r="AV120" s="17"/>
      <c r="AW120" s="17">
        <f t="shared" ref="AW120:AW131" si="374">AV120-$D120</f>
        <v>0</v>
      </c>
      <c r="AX120" s="131" t="s">
        <v>51</v>
      </c>
      <c r="AY120" s="17"/>
      <c r="AZ120" s="17">
        <f t="shared" ref="AZ120:AZ131" si="375">AY120-$D120</f>
        <v>0</v>
      </c>
      <c r="BA120" s="131" t="s">
        <v>51</v>
      </c>
      <c r="BB120" s="17"/>
      <c r="BC120" s="17">
        <f t="shared" ref="BC120:BC131" si="376">BB120-$D120</f>
        <v>0</v>
      </c>
      <c r="BD120" s="131" t="s">
        <v>51</v>
      </c>
      <c r="BE120" s="17"/>
      <c r="BF120" s="17">
        <f t="shared" ref="BF120:BF131" si="377">BE120-$D120</f>
        <v>0</v>
      </c>
      <c r="BG120" s="131" t="s">
        <v>51</v>
      </c>
      <c r="BH120" s="17"/>
      <c r="BI120" s="17"/>
      <c r="BJ120" s="17"/>
      <c r="BK120" s="131" t="s">
        <v>51</v>
      </c>
      <c r="BL120" s="131">
        <f t="shared" ref="BL120:BL131" si="378">IF($D120=0,1,BJ120/$D120-1)</f>
        <v>1</v>
      </c>
      <c r="BM120" s="168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86"/>
      <c r="DR120" s="86"/>
      <c r="DS120" s="86"/>
      <c r="DT120" s="86"/>
      <c r="DU120" s="86"/>
      <c r="DV120" s="86"/>
      <c r="DW120" s="86"/>
      <c r="DX120" s="86"/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  <c r="EK120" s="86"/>
      <c r="EL120" s="86"/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6"/>
      <c r="EY120" s="86"/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6"/>
      <c r="FL120" s="86"/>
      <c r="FM120" s="86"/>
      <c r="FN120" s="86"/>
      <c r="FO120" s="86"/>
      <c r="FP120" s="86"/>
      <c r="FQ120" s="86"/>
      <c r="FR120" s="86"/>
      <c r="FS120" s="86"/>
      <c r="FT120" s="86"/>
      <c r="FU120" s="86"/>
      <c r="FV120" s="86"/>
      <c r="FW120" s="86"/>
      <c r="FX120" s="86"/>
      <c r="FY120" s="86"/>
      <c r="FZ120" s="86"/>
      <c r="GA120" s="86"/>
      <c r="GB120" s="86"/>
      <c r="GC120" s="86"/>
      <c r="GD120" s="86"/>
      <c r="GE120" s="86"/>
      <c r="GF120" s="86"/>
      <c r="GG120" s="86"/>
      <c r="GH120" s="86"/>
      <c r="GI120" s="86"/>
      <c r="GJ120" s="86"/>
      <c r="GK120" s="86"/>
      <c r="GL120" s="86"/>
      <c r="GM120" s="86"/>
      <c r="GN120" s="86"/>
      <c r="GO120" s="86"/>
      <c r="GP120" s="86"/>
      <c r="GQ120" s="86"/>
      <c r="GR120" s="86"/>
      <c r="GS120" s="86"/>
      <c r="GT120" s="86"/>
      <c r="GU120" s="86"/>
      <c r="GV120" s="86"/>
      <c r="GW120" s="86"/>
      <c r="GX120" s="86"/>
    </row>
    <row r="121" spans="1:206" s="66" customFormat="1" ht="16.5">
      <c r="A121" s="277" t="s">
        <v>75</v>
      </c>
      <c r="B121" s="278"/>
      <c r="C121" s="42"/>
      <c r="D121" s="161">
        <f t="shared" ref="D121:D131" si="379">Z121</f>
        <v>0</v>
      </c>
      <c r="E121" s="40"/>
      <c r="F121" s="40"/>
      <c r="G121" s="40">
        <f t="shared" si="358"/>
        <v>0</v>
      </c>
      <c r="H121" s="40"/>
      <c r="I121" s="40">
        <f t="shared" si="359"/>
        <v>0</v>
      </c>
      <c r="J121" s="40"/>
      <c r="K121" s="40">
        <f t="shared" si="360"/>
        <v>0</v>
      </c>
      <c r="L121" s="40"/>
      <c r="M121" s="40">
        <f t="shared" si="361"/>
        <v>0</v>
      </c>
      <c r="N121" s="40"/>
      <c r="O121" s="40">
        <f t="shared" si="362"/>
        <v>0</v>
      </c>
      <c r="P121" s="40"/>
      <c r="Q121" s="40">
        <f t="shared" si="363"/>
        <v>0</v>
      </c>
      <c r="R121" s="40"/>
      <c r="S121" s="40">
        <f t="shared" si="364"/>
        <v>0</v>
      </c>
      <c r="T121" s="40"/>
      <c r="U121" s="40">
        <f t="shared" si="365"/>
        <v>0</v>
      </c>
      <c r="V121" s="40"/>
      <c r="W121" s="40">
        <f t="shared" si="366"/>
        <v>0</v>
      </c>
      <c r="X121" s="40"/>
      <c r="Y121" s="40">
        <f t="shared" si="367"/>
        <v>0</v>
      </c>
      <c r="Z121" s="40"/>
      <c r="AA121" s="42" t="s">
        <v>51</v>
      </c>
      <c r="AB121" s="162" t="s">
        <v>51</v>
      </c>
      <c r="AC121" s="42"/>
      <c r="AD121" s="42"/>
      <c r="AE121" s="42">
        <f t="shared" si="368"/>
        <v>0</v>
      </c>
      <c r="AF121" s="162" t="s">
        <v>51</v>
      </c>
      <c r="AG121" s="42"/>
      <c r="AH121" s="42">
        <f t="shared" si="369"/>
        <v>0</v>
      </c>
      <c r="AI121" s="162" t="s">
        <v>51</v>
      </c>
      <c r="AJ121" s="42"/>
      <c r="AK121" s="42">
        <f t="shared" si="370"/>
        <v>0</v>
      </c>
      <c r="AL121" s="162" t="s">
        <v>51</v>
      </c>
      <c r="AM121" s="42"/>
      <c r="AN121" s="42">
        <f t="shared" si="371"/>
        <v>0</v>
      </c>
      <c r="AO121" s="162" t="s">
        <v>51</v>
      </c>
      <c r="AP121" s="42"/>
      <c r="AQ121" s="42">
        <f t="shared" si="372"/>
        <v>0</v>
      </c>
      <c r="AR121" s="162" t="s">
        <v>51</v>
      </c>
      <c r="AS121" s="42"/>
      <c r="AT121" s="42">
        <f t="shared" si="373"/>
        <v>0</v>
      </c>
      <c r="AU121" s="162" t="s">
        <v>51</v>
      </c>
      <c r="AV121" s="42"/>
      <c r="AW121" s="42">
        <f t="shared" si="374"/>
        <v>0</v>
      </c>
      <c r="AX121" s="162" t="s">
        <v>51</v>
      </c>
      <c r="AY121" s="42"/>
      <c r="AZ121" s="42">
        <f t="shared" si="375"/>
        <v>0</v>
      </c>
      <c r="BA121" s="162" t="s">
        <v>51</v>
      </c>
      <c r="BB121" s="42"/>
      <c r="BC121" s="42">
        <f t="shared" si="376"/>
        <v>0</v>
      </c>
      <c r="BD121" s="162" t="s">
        <v>51</v>
      </c>
      <c r="BE121" s="42"/>
      <c r="BF121" s="42">
        <f t="shared" si="377"/>
        <v>0</v>
      </c>
      <c r="BG121" s="162" t="s">
        <v>51</v>
      </c>
      <c r="BH121" s="42"/>
      <c r="BI121" s="42"/>
      <c r="BJ121" s="42"/>
      <c r="BK121" s="162" t="s">
        <v>51</v>
      </c>
      <c r="BL121" s="162">
        <f t="shared" si="378"/>
        <v>1</v>
      </c>
      <c r="BM121" s="171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</row>
    <row r="122" spans="1:206" s="66" customFormat="1" ht="18.75" customHeight="1">
      <c r="A122" s="277" t="s">
        <v>76</v>
      </c>
      <c r="B122" s="278"/>
      <c r="C122" s="42"/>
      <c r="D122" s="161">
        <f t="shared" si="379"/>
        <v>0</v>
      </c>
      <c r="E122" s="40"/>
      <c r="F122" s="40"/>
      <c r="G122" s="40">
        <f t="shared" si="358"/>
        <v>0</v>
      </c>
      <c r="H122" s="40"/>
      <c r="I122" s="40">
        <f t="shared" si="359"/>
        <v>0</v>
      </c>
      <c r="J122" s="40"/>
      <c r="K122" s="40">
        <f t="shared" si="360"/>
        <v>0</v>
      </c>
      <c r="L122" s="40"/>
      <c r="M122" s="40">
        <f t="shared" si="361"/>
        <v>0</v>
      </c>
      <c r="N122" s="40"/>
      <c r="O122" s="40">
        <f t="shared" si="362"/>
        <v>0</v>
      </c>
      <c r="P122" s="40"/>
      <c r="Q122" s="40">
        <f t="shared" si="363"/>
        <v>0</v>
      </c>
      <c r="R122" s="40"/>
      <c r="S122" s="40">
        <f t="shared" si="364"/>
        <v>0</v>
      </c>
      <c r="T122" s="40"/>
      <c r="U122" s="40">
        <f t="shared" si="365"/>
        <v>0</v>
      </c>
      <c r="V122" s="40"/>
      <c r="W122" s="40">
        <f t="shared" si="366"/>
        <v>0</v>
      </c>
      <c r="X122" s="40"/>
      <c r="Y122" s="40">
        <f t="shared" si="367"/>
        <v>0</v>
      </c>
      <c r="Z122" s="40"/>
      <c r="AA122" s="42" t="s">
        <v>51</v>
      </c>
      <c r="AB122" s="162" t="s">
        <v>51</v>
      </c>
      <c r="AC122" s="42"/>
      <c r="AD122" s="42"/>
      <c r="AE122" s="42">
        <f t="shared" si="368"/>
        <v>0</v>
      </c>
      <c r="AF122" s="162" t="s">
        <v>51</v>
      </c>
      <c r="AG122" s="42"/>
      <c r="AH122" s="42">
        <f t="shared" si="369"/>
        <v>0</v>
      </c>
      <c r="AI122" s="162" t="s">
        <v>51</v>
      </c>
      <c r="AJ122" s="42"/>
      <c r="AK122" s="42">
        <f t="shared" si="370"/>
        <v>0</v>
      </c>
      <c r="AL122" s="162" t="s">
        <v>51</v>
      </c>
      <c r="AM122" s="42"/>
      <c r="AN122" s="42">
        <f t="shared" si="371"/>
        <v>0</v>
      </c>
      <c r="AO122" s="162" t="s">
        <v>51</v>
      </c>
      <c r="AP122" s="42"/>
      <c r="AQ122" s="42">
        <f t="shared" si="372"/>
        <v>0</v>
      </c>
      <c r="AR122" s="162" t="s">
        <v>51</v>
      </c>
      <c r="AS122" s="42"/>
      <c r="AT122" s="42">
        <f t="shared" si="373"/>
        <v>0</v>
      </c>
      <c r="AU122" s="162" t="s">
        <v>51</v>
      </c>
      <c r="AV122" s="42"/>
      <c r="AW122" s="42">
        <f t="shared" si="374"/>
        <v>0</v>
      </c>
      <c r="AX122" s="162" t="s">
        <v>51</v>
      </c>
      <c r="AY122" s="42"/>
      <c r="AZ122" s="42">
        <f t="shared" si="375"/>
        <v>0</v>
      </c>
      <c r="BA122" s="162" t="s">
        <v>51</v>
      </c>
      <c r="BB122" s="42"/>
      <c r="BC122" s="42">
        <f t="shared" si="376"/>
        <v>0</v>
      </c>
      <c r="BD122" s="162" t="s">
        <v>51</v>
      </c>
      <c r="BE122" s="42"/>
      <c r="BF122" s="42">
        <f t="shared" si="377"/>
        <v>0</v>
      </c>
      <c r="BG122" s="162" t="s">
        <v>51</v>
      </c>
      <c r="BH122" s="42"/>
      <c r="BI122" s="42"/>
      <c r="BJ122" s="42"/>
      <c r="BK122" s="162" t="s">
        <v>51</v>
      </c>
      <c r="BL122" s="162">
        <f t="shared" si="378"/>
        <v>1</v>
      </c>
      <c r="BM122" s="171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</row>
    <row r="123" spans="1:206" s="66" customFormat="1" ht="18.75" customHeight="1">
      <c r="A123" s="277" t="s">
        <v>129</v>
      </c>
      <c r="B123" s="278"/>
      <c r="C123" s="42"/>
      <c r="D123" s="138">
        <f t="shared" si="379"/>
        <v>0</v>
      </c>
      <c r="E123" s="30"/>
      <c r="F123" s="30"/>
      <c r="G123" s="30">
        <f t="shared" si="358"/>
        <v>0</v>
      </c>
      <c r="H123" s="30"/>
      <c r="I123" s="30">
        <f t="shared" si="359"/>
        <v>0</v>
      </c>
      <c r="J123" s="30"/>
      <c r="K123" s="30">
        <f t="shared" si="360"/>
        <v>0</v>
      </c>
      <c r="L123" s="30"/>
      <c r="M123" s="30">
        <f t="shared" si="361"/>
        <v>0</v>
      </c>
      <c r="N123" s="30"/>
      <c r="O123" s="30">
        <f t="shared" si="362"/>
        <v>0</v>
      </c>
      <c r="P123" s="30"/>
      <c r="Q123" s="30">
        <f t="shared" si="363"/>
        <v>0</v>
      </c>
      <c r="R123" s="30"/>
      <c r="S123" s="30">
        <f t="shared" si="364"/>
        <v>0</v>
      </c>
      <c r="T123" s="30"/>
      <c r="U123" s="30">
        <f t="shared" si="365"/>
        <v>0</v>
      </c>
      <c r="V123" s="30"/>
      <c r="W123" s="30">
        <f t="shared" si="366"/>
        <v>0</v>
      </c>
      <c r="X123" s="40"/>
      <c r="Y123" s="30">
        <f t="shared" si="367"/>
        <v>0</v>
      </c>
      <c r="Z123" s="40"/>
      <c r="AA123" s="42" t="s">
        <v>51</v>
      </c>
      <c r="AB123" s="162" t="s">
        <v>51</v>
      </c>
      <c r="AC123" s="29"/>
      <c r="AD123" s="29"/>
      <c r="AE123" s="29">
        <f t="shared" si="368"/>
        <v>0</v>
      </c>
      <c r="AF123" s="162" t="s">
        <v>51</v>
      </c>
      <c r="AG123" s="29"/>
      <c r="AH123" s="29">
        <f t="shared" si="369"/>
        <v>0</v>
      </c>
      <c r="AI123" s="162" t="s">
        <v>51</v>
      </c>
      <c r="AJ123" s="29"/>
      <c r="AK123" s="29">
        <f t="shared" si="370"/>
        <v>0</v>
      </c>
      <c r="AL123" s="162" t="s">
        <v>51</v>
      </c>
      <c r="AM123" s="29"/>
      <c r="AN123" s="29">
        <f t="shared" si="371"/>
        <v>0</v>
      </c>
      <c r="AO123" s="162" t="s">
        <v>51</v>
      </c>
      <c r="AP123" s="29"/>
      <c r="AQ123" s="29">
        <f t="shared" si="372"/>
        <v>0</v>
      </c>
      <c r="AR123" s="162" t="s">
        <v>51</v>
      </c>
      <c r="AS123" s="29"/>
      <c r="AT123" s="29">
        <f t="shared" si="373"/>
        <v>0</v>
      </c>
      <c r="AU123" s="162" t="s">
        <v>51</v>
      </c>
      <c r="AV123" s="29"/>
      <c r="AW123" s="29">
        <f t="shared" si="374"/>
        <v>0</v>
      </c>
      <c r="AX123" s="162" t="s">
        <v>51</v>
      </c>
      <c r="AY123" s="29"/>
      <c r="AZ123" s="29">
        <f t="shared" si="375"/>
        <v>0</v>
      </c>
      <c r="BA123" s="162" t="s">
        <v>51</v>
      </c>
      <c r="BB123" s="29"/>
      <c r="BC123" s="29">
        <f t="shared" si="376"/>
        <v>0</v>
      </c>
      <c r="BD123" s="162" t="s">
        <v>51</v>
      </c>
      <c r="BE123" s="29"/>
      <c r="BF123" s="29">
        <f t="shared" si="377"/>
        <v>0</v>
      </c>
      <c r="BG123" s="162" t="s">
        <v>51</v>
      </c>
      <c r="BH123" s="29"/>
      <c r="BI123" s="29"/>
      <c r="BJ123" s="29"/>
      <c r="BK123" s="162" t="s">
        <v>51</v>
      </c>
      <c r="BL123" s="162">
        <f t="shared" si="378"/>
        <v>1</v>
      </c>
      <c r="BM123" s="171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</row>
    <row r="124" spans="1:206" s="87" customFormat="1" ht="35.25" customHeight="1">
      <c r="A124" s="279" t="s">
        <v>161</v>
      </c>
      <c r="B124" s="280"/>
      <c r="C124" s="17"/>
      <c r="D124" s="130">
        <f t="shared" si="379"/>
        <v>0</v>
      </c>
      <c r="E124" s="17"/>
      <c r="F124" s="17"/>
      <c r="G124" s="17">
        <f t="shared" si="358"/>
        <v>0</v>
      </c>
      <c r="H124" s="17"/>
      <c r="I124" s="17">
        <f t="shared" si="359"/>
        <v>0</v>
      </c>
      <c r="J124" s="17"/>
      <c r="K124" s="17">
        <f t="shared" si="360"/>
        <v>0</v>
      </c>
      <c r="L124" s="17"/>
      <c r="M124" s="17">
        <f t="shared" si="361"/>
        <v>0</v>
      </c>
      <c r="N124" s="17"/>
      <c r="O124" s="17">
        <f t="shared" si="362"/>
        <v>0</v>
      </c>
      <c r="P124" s="17"/>
      <c r="Q124" s="17">
        <f t="shared" si="363"/>
        <v>0</v>
      </c>
      <c r="R124" s="17"/>
      <c r="S124" s="17">
        <f t="shared" si="364"/>
        <v>0</v>
      </c>
      <c r="T124" s="17"/>
      <c r="U124" s="17">
        <f t="shared" si="365"/>
        <v>0</v>
      </c>
      <c r="V124" s="17"/>
      <c r="W124" s="17">
        <f t="shared" si="366"/>
        <v>0</v>
      </c>
      <c r="X124" s="17"/>
      <c r="Y124" s="17">
        <f t="shared" si="367"/>
        <v>0</v>
      </c>
      <c r="Z124" s="17"/>
      <c r="AA124" s="17" t="s">
        <v>51</v>
      </c>
      <c r="AB124" s="143" t="s">
        <v>51</v>
      </c>
      <c r="AC124" s="17"/>
      <c r="AD124" s="17"/>
      <c r="AE124" s="17">
        <f t="shared" si="368"/>
        <v>0</v>
      </c>
      <c r="AF124" s="143" t="s">
        <v>51</v>
      </c>
      <c r="AG124" s="17"/>
      <c r="AH124" s="17">
        <f t="shared" si="369"/>
        <v>0</v>
      </c>
      <c r="AI124" s="143" t="s">
        <v>51</v>
      </c>
      <c r="AJ124" s="17"/>
      <c r="AK124" s="17">
        <f t="shared" si="370"/>
        <v>0</v>
      </c>
      <c r="AL124" s="143" t="s">
        <v>51</v>
      </c>
      <c r="AM124" s="17"/>
      <c r="AN124" s="17">
        <f t="shared" si="371"/>
        <v>0</v>
      </c>
      <c r="AO124" s="143" t="s">
        <v>51</v>
      </c>
      <c r="AP124" s="17"/>
      <c r="AQ124" s="17">
        <f t="shared" si="372"/>
        <v>0</v>
      </c>
      <c r="AR124" s="143" t="s">
        <v>51</v>
      </c>
      <c r="AS124" s="17"/>
      <c r="AT124" s="17">
        <f t="shared" si="373"/>
        <v>0</v>
      </c>
      <c r="AU124" s="143" t="s">
        <v>51</v>
      </c>
      <c r="AV124" s="17"/>
      <c r="AW124" s="17">
        <f t="shared" si="374"/>
        <v>0</v>
      </c>
      <c r="AX124" s="143" t="s">
        <v>51</v>
      </c>
      <c r="AY124" s="17"/>
      <c r="AZ124" s="17">
        <f t="shared" si="375"/>
        <v>0</v>
      </c>
      <c r="BA124" s="143" t="s">
        <v>51</v>
      </c>
      <c r="BB124" s="17"/>
      <c r="BC124" s="17">
        <f t="shared" si="376"/>
        <v>0</v>
      </c>
      <c r="BD124" s="143" t="s">
        <v>51</v>
      </c>
      <c r="BE124" s="17"/>
      <c r="BF124" s="17">
        <f t="shared" si="377"/>
        <v>0</v>
      </c>
      <c r="BG124" s="143" t="s">
        <v>51</v>
      </c>
      <c r="BH124" s="17"/>
      <c r="BI124" s="17"/>
      <c r="BJ124" s="17"/>
      <c r="BK124" s="143" t="s">
        <v>51</v>
      </c>
      <c r="BL124" s="143">
        <f t="shared" si="378"/>
        <v>1</v>
      </c>
      <c r="BM124" s="172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8"/>
      <c r="EP124" s="88"/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8"/>
      <c r="FC124" s="88"/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GX124" s="88"/>
    </row>
    <row r="125" spans="1:206" s="66" customFormat="1" ht="16.5">
      <c r="A125" s="277" t="s">
        <v>75</v>
      </c>
      <c r="B125" s="278"/>
      <c r="C125" s="42"/>
      <c r="D125" s="161">
        <f t="shared" si="379"/>
        <v>0</v>
      </c>
      <c r="E125" s="40"/>
      <c r="F125" s="40"/>
      <c r="G125" s="40">
        <f t="shared" si="358"/>
        <v>0</v>
      </c>
      <c r="H125" s="40"/>
      <c r="I125" s="40">
        <f t="shared" si="359"/>
        <v>0</v>
      </c>
      <c r="J125" s="40"/>
      <c r="K125" s="40">
        <f t="shared" si="360"/>
        <v>0</v>
      </c>
      <c r="L125" s="40"/>
      <c r="M125" s="40">
        <f t="shared" si="361"/>
        <v>0</v>
      </c>
      <c r="N125" s="40"/>
      <c r="O125" s="40">
        <f t="shared" si="362"/>
        <v>0</v>
      </c>
      <c r="P125" s="40"/>
      <c r="Q125" s="40">
        <f t="shared" si="363"/>
        <v>0</v>
      </c>
      <c r="R125" s="40"/>
      <c r="S125" s="40">
        <f t="shared" si="364"/>
        <v>0</v>
      </c>
      <c r="T125" s="40"/>
      <c r="U125" s="40">
        <f t="shared" si="365"/>
        <v>0</v>
      </c>
      <c r="V125" s="40"/>
      <c r="W125" s="40">
        <f t="shared" si="366"/>
        <v>0</v>
      </c>
      <c r="X125" s="40"/>
      <c r="Y125" s="40">
        <f t="shared" si="367"/>
        <v>0</v>
      </c>
      <c r="Z125" s="40"/>
      <c r="AA125" s="42" t="s">
        <v>51</v>
      </c>
      <c r="AB125" s="162" t="s">
        <v>51</v>
      </c>
      <c r="AC125" s="40"/>
      <c r="AD125" s="40"/>
      <c r="AE125" s="40">
        <f t="shared" si="368"/>
        <v>0</v>
      </c>
      <c r="AF125" s="162" t="s">
        <v>51</v>
      </c>
      <c r="AG125" s="40"/>
      <c r="AH125" s="40">
        <f t="shared" si="369"/>
        <v>0</v>
      </c>
      <c r="AI125" s="162" t="s">
        <v>51</v>
      </c>
      <c r="AJ125" s="40"/>
      <c r="AK125" s="40">
        <f t="shared" si="370"/>
        <v>0</v>
      </c>
      <c r="AL125" s="162" t="s">
        <v>51</v>
      </c>
      <c r="AM125" s="40"/>
      <c r="AN125" s="40">
        <f t="shared" si="371"/>
        <v>0</v>
      </c>
      <c r="AO125" s="162" t="s">
        <v>51</v>
      </c>
      <c r="AP125" s="40"/>
      <c r="AQ125" s="40">
        <f t="shared" si="372"/>
        <v>0</v>
      </c>
      <c r="AR125" s="162" t="s">
        <v>51</v>
      </c>
      <c r="AS125" s="40"/>
      <c r="AT125" s="40">
        <f t="shared" si="373"/>
        <v>0</v>
      </c>
      <c r="AU125" s="162" t="s">
        <v>51</v>
      </c>
      <c r="AV125" s="40"/>
      <c r="AW125" s="40">
        <f t="shared" si="374"/>
        <v>0</v>
      </c>
      <c r="AX125" s="162" t="s">
        <v>51</v>
      </c>
      <c r="AY125" s="40"/>
      <c r="AZ125" s="40">
        <f t="shared" si="375"/>
        <v>0</v>
      </c>
      <c r="BA125" s="162" t="s">
        <v>51</v>
      </c>
      <c r="BB125" s="40"/>
      <c r="BC125" s="40">
        <f t="shared" si="376"/>
        <v>0</v>
      </c>
      <c r="BD125" s="162" t="s">
        <v>51</v>
      </c>
      <c r="BE125" s="40"/>
      <c r="BF125" s="40">
        <f t="shared" si="377"/>
        <v>0</v>
      </c>
      <c r="BG125" s="162" t="s">
        <v>51</v>
      </c>
      <c r="BH125" s="40"/>
      <c r="BI125" s="40"/>
      <c r="BJ125" s="40"/>
      <c r="BK125" s="162" t="s">
        <v>51</v>
      </c>
      <c r="BL125" s="162">
        <f t="shared" si="378"/>
        <v>1</v>
      </c>
      <c r="BM125" s="171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</row>
    <row r="126" spans="1:206" s="66" customFormat="1" ht="18.75" customHeight="1">
      <c r="A126" s="277" t="s">
        <v>76</v>
      </c>
      <c r="B126" s="278"/>
      <c r="C126" s="42"/>
      <c r="D126" s="161">
        <f t="shared" si="379"/>
        <v>0</v>
      </c>
      <c r="E126" s="40"/>
      <c r="F126" s="40"/>
      <c r="G126" s="40">
        <f t="shared" si="358"/>
        <v>0</v>
      </c>
      <c r="H126" s="40"/>
      <c r="I126" s="40">
        <f t="shared" si="359"/>
        <v>0</v>
      </c>
      <c r="J126" s="40"/>
      <c r="K126" s="40">
        <f t="shared" si="360"/>
        <v>0</v>
      </c>
      <c r="L126" s="40"/>
      <c r="M126" s="40">
        <f t="shared" si="361"/>
        <v>0</v>
      </c>
      <c r="N126" s="40"/>
      <c r="O126" s="40">
        <f t="shared" si="362"/>
        <v>0</v>
      </c>
      <c r="P126" s="40"/>
      <c r="Q126" s="40">
        <f t="shared" si="363"/>
        <v>0</v>
      </c>
      <c r="R126" s="40"/>
      <c r="S126" s="40">
        <f t="shared" si="364"/>
        <v>0</v>
      </c>
      <c r="T126" s="40"/>
      <c r="U126" s="40">
        <f t="shared" si="365"/>
        <v>0</v>
      </c>
      <c r="V126" s="40"/>
      <c r="W126" s="40">
        <f t="shared" si="366"/>
        <v>0</v>
      </c>
      <c r="X126" s="40"/>
      <c r="Y126" s="40">
        <f t="shared" si="367"/>
        <v>0</v>
      </c>
      <c r="Z126" s="40"/>
      <c r="AA126" s="42" t="s">
        <v>51</v>
      </c>
      <c r="AB126" s="162" t="s">
        <v>51</v>
      </c>
      <c r="AC126" s="40"/>
      <c r="AD126" s="40"/>
      <c r="AE126" s="40">
        <f t="shared" si="368"/>
        <v>0</v>
      </c>
      <c r="AF126" s="162" t="s">
        <v>51</v>
      </c>
      <c r="AG126" s="40"/>
      <c r="AH126" s="40">
        <f t="shared" si="369"/>
        <v>0</v>
      </c>
      <c r="AI126" s="162" t="s">
        <v>51</v>
      </c>
      <c r="AJ126" s="40"/>
      <c r="AK126" s="40">
        <f t="shared" si="370"/>
        <v>0</v>
      </c>
      <c r="AL126" s="162" t="s">
        <v>51</v>
      </c>
      <c r="AM126" s="40"/>
      <c r="AN126" s="40">
        <f t="shared" si="371"/>
        <v>0</v>
      </c>
      <c r="AO126" s="162" t="s">
        <v>51</v>
      </c>
      <c r="AP126" s="40"/>
      <c r="AQ126" s="40">
        <f t="shared" si="372"/>
        <v>0</v>
      </c>
      <c r="AR126" s="162" t="s">
        <v>51</v>
      </c>
      <c r="AS126" s="40"/>
      <c r="AT126" s="40">
        <f t="shared" si="373"/>
        <v>0</v>
      </c>
      <c r="AU126" s="162" t="s">
        <v>51</v>
      </c>
      <c r="AV126" s="40"/>
      <c r="AW126" s="40">
        <f t="shared" si="374"/>
        <v>0</v>
      </c>
      <c r="AX126" s="162" t="s">
        <v>51</v>
      </c>
      <c r="AY126" s="40"/>
      <c r="AZ126" s="40">
        <f t="shared" si="375"/>
        <v>0</v>
      </c>
      <c r="BA126" s="162" t="s">
        <v>51</v>
      </c>
      <c r="BB126" s="40"/>
      <c r="BC126" s="40">
        <f t="shared" si="376"/>
        <v>0</v>
      </c>
      <c r="BD126" s="162" t="s">
        <v>51</v>
      </c>
      <c r="BE126" s="40"/>
      <c r="BF126" s="40">
        <f t="shared" si="377"/>
        <v>0</v>
      </c>
      <c r="BG126" s="162" t="s">
        <v>51</v>
      </c>
      <c r="BH126" s="40"/>
      <c r="BI126" s="40"/>
      <c r="BJ126" s="40"/>
      <c r="BK126" s="162" t="s">
        <v>51</v>
      </c>
      <c r="BL126" s="162">
        <f t="shared" si="378"/>
        <v>1</v>
      </c>
      <c r="BM126" s="171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</row>
    <row r="127" spans="1:206" s="66" customFormat="1" ht="21.75" customHeight="1">
      <c r="A127" s="277" t="s">
        <v>129</v>
      </c>
      <c r="B127" s="278"/>
      <c r="C127" s="42"/>
      <c r="D127" s="138">
        <f t="shared" si="379"/>
        <v>0</v>
      </c>
      <c r="E127" s="30"/>
      <c r="F127" s="30"/>
      <c r="G127" s="30">
        <f t="shared" si="358"/>
        <v>0</v>
      </c>
      <c r="H127" s="30"/>
      <c r="I127" s="30">
        <f t="shared" si="359"/>
        <v>0</v>
      </c>
      <c r="J127" s="30"/>
      <c r="K127" s="30">
        <f t="shared" si="360"/>
        <v>0</v>
      </c>
      <c r="L127" s="30"/>
      <c r="M127" s="30">
        <f t="shared" si="361"/>
        <v>0</v>
      </c>
      <c r="N127" s="30"/>
      <c r="O127" s="30">
        <f t="shared" si="362"/>
        <v>0</v>
      </c>
      <c r="P127" s="30"/>
      <c r="Q127" s="30">
        <f t="shared" si="363"/>
        <v>0</v>
      </c>
      <c r="R127" s="30"/>
      <c r="S127" s="30">
        <f t="shared" si="364"/>
        <v>0</v>
      </c>
      <c r="T127" s="30"/>
      <c r="U127" s="30">
        <f t="shared" si="365"/>
        <v>0</v>
      </c>
      <c r="V127" s="30"/>
      <c r="W127" s="30">
        <f t="shared" si="366"/>
        <v>0</v>
      </c>
      <c r="X127" s="30"/>
      <c r="Y127" s="30">
        <f t="shared" si="367"/>
        <v>0</v>
      </c>
      <c r="Z127" s="40"/>
      <c r="AA127" s="42" t="s">
        <v>51</v>
      </c>
      <c r="AB127" s="162" t="s">
        <v>51</v>
      </c>
      <c r="AC127" s="30"/>
      <c r="AD127" s="30"/>
      <c r="AE127" s="30">
        <f t="shared" si="368"/>
        <v>0</v>
      </c>
      <c r="AF127" s="162" t="s">
        <v>51</v>
      </c>
      <c r="AG127" s="30"/>
      <c r="AH127" s="30">
        <f t="shared" si="369"/>
        <v>0</v>
      </c>
      <c r="AI127" s="162" t="s">
        <v>51</v>
      </c>
      <c r="AJ127" s="30"/>
      <c r="AK127" s="30">
        <f t="shared" si="370"/>
        <v>0</v>
      </c>
      <c r="AL127" s="162" t="s">
        <v>51</v>
      </c>
      <c r="AM127" s="30"/>
      <c r="AN127" s="30">
        <f t="shared" si="371"/>
        <v>0</v>
      </c>
      <c r="AO127" s="162" t="s">
        <v>51</v>
      </c>
      <c r="AP127" s="30"/>
      <c r="AQ127" s="30">
        <f t="shared" si="372"/>
        <v>0</v>
      </c>
      <c r="AR127" s="162" t="s">
        <v>51</v>
      </c>
      <c r="AS127" s="30"/>
      <c r="AT127" s="30">
        <f t="shared" si="373"/>
        <v>0</v>
      </c>
      <c r="AU127" s="162" t="s">
        <v>51</v>
      </c>
      <c r="AV127" s="30"/>
      <c r="AW127" s="30">
        <f t="shared" si="374"/>
        <v>0</v>
      </c>
      <c r="AX127" s="162" t="s">
        <v>51</v>
      </c>
      <c r="AY127" s="30"/>
      <c r="AZ127" s="30">
        <f t="shared" si="375"/>
        <v>0</v>
      </c>
      <c r="BA127" s="162" t="s">
        <v>51</v>
      </c>
      <c r="BB127" s="30"/>
      <c r="BC127" s="30">
        <f t="shared" si="376"/>
        <v>0</v>
      </c>
      <c r="BD127" s="162" t="s">
        <v>51</v>
      </c>
      <c r="BE127" s="30"/>
      <c r="BF127" s="30">
        <f t="shared" si="377"/>
        <v>0</v>
      </c>
      <c r="BG127" s="162" t="s">
        <v>51</v>
      </c>
      <c r="BH127" s="30"/>
      <c r="BI127" s="30"/>
      <c r="BJ127" s="30"/>
      <c r="BK127" s="162" t="s">
        <v>51</v>
      </c>
      <c r="BL127" s="162">
        <f t="shared" si="378"/>
        <v>1</v>
      </c>
      <c r="BM127" s="171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</row>
    <row r="128" spans="1:206" s="87" customFormat="1" ht="35.25" customHeight="1">
      <c r="A128" s="279" t="s">
        <v>162</v>
      </c>
      <c r="B128" s="280"/>
      <c r="C128" s="17"/>
      <c r="D128" s="130">
        <f t="shared" si="379"/>
        <v>0</v>
      </c>
      <c r="E128" s="17"/>
      <c r="F128" s="17"/>
      <c r="G128" s="17">
        <f t="shared" si="358"/>
        <v>0</v>
      </c>
      <c r="H128" s="17"/>
      <c r="I128" s="17">
        <f t="shared" si="359"/>
        <v>0</v>
      </c>
      <c r="J128" s="17"/>
      <c r="K128" s="17">
        <f t="shared" si="360"/>
        <v>0</v>
      </c>
      <c r="L128" s="17"/>
      <c r="M128" s="17">
        <f t="shared" si="361"/>
        <v>0</v>
      </c>
      <c r="N128" s="17"/>
      <c r="O128" s="17">
        <f t="shared" si="362"/>
        <v>0</v>
      </c>
      <c r="P128" s="17"/>
      <c r="Q128" s="17">
        <f t="shared" si="363"/>
        <v>0</v>
      </c>
      <c r="R128" s="17"/>
      <c r="S128" s="17">
        <f t="shared" si="364"/>
        <v>0</v>
      </c>
      <c r="T128" s="17"/>
      <c r="U128" s="17">
        <f t="shared" si="365"/>
        <v>0</v>
      </c>
      <c r="V128" s="17"/>
      <c r="W128" s="17">
        <f t="shared" si="366"/>
        <v>0</v>
      </c>
      <c r="X128" s="17"/>
      <c r="Y128" s="17">
        <f t="shared" si="367"/>
        <v>0</v>
      </c>
      <c r="Z128" s="17"/>
      <c r="AA128" s="17" t="s">
        <v>51</v>
      </c>
      <c r="AB128" s="143" t="s">
        <v>51</v>
      </c>
      <c r="AC128" s="17"/>
      <c r="AD128" s="17"/>
      <c r="AE128" s="17">
        <f t="shared" si="368"/>
        <v>0</v>
      </c>
      <c r="AF128" s="143" t="s">
        <v>51</v>
      </c>
      <c r="AG128" s="17"/>
      <c r="AH128" s="17">
        <f t="shared" si="369"/>
        <v>0</v>
      </c>
      <c r="AI128" s="143" t="s">
        <v>51</v>
      </c>
      <c r="AJ128" s="17"/>
      <c r="AK128" s="17">
        <f t="shared" si="370"/>
        <v>0</v>
      </c>
      <c r="AL128" s="143" t="s">
        <v>51</v>
      </c>
      <c r="AM128" s="17"/>
      <c r="AN128" s="17">
        <f t="shared" si="371"/>
        <v>0</v>
      </c>
      <c r="AO128" s="143" t="s">
        <v>51</v>
      </c>
      <c r="AP128" s="17"/>
      <c r="AQ128" s="17">
        <f t="shared" si="372"/>
        <v>0</v>
      </c>
      <c r="AR128" s="143" t="s">
        <v>51</v>
      </c>
      <c r="AS128" s="17"/>
      <c r="AT128" s="17">
        <f t="shared" si="373"/>
        <v>0</v>
      </c>
      <c r="AU128" s="143" t="s">
        <v>51</v>
      </c>
      <c r="AV128" s="17"/>
      <c r="AW128" s="17">
        <f t="shared" si="374"/>
        <v>0</v>
      </c>
      <c r="AX128" s="143" t="s">
        <v>51</v>
      </c>
      <c r="AY128" s="17"/>
      <c r="AZ128" s="17">
        <f t="shared" si="375"/>
        <v>0</v>
      </c>
      <c r="BA128" s="143" t="s">
        <v>51</v>
      </c>
      <c r="BB128" s="17"/>
      <c r="BC128" s="17">
        <f t="shared" si="376"/>
        <v>0</v>
      </c>
      <c r="BD128" s="143" t="s">
        <v>51</v>
      </c>
      <c r="BE128" s="17"/>
      <c r="BF128" s="17">
        <f t="shared" si="377"/>
        <v>0</v>
      </c>
      <c r="BG128" s="143" t="s">
        <v>51</v>
      </c>
      <c r="BH128" s="17"/>
      <c r="BI128" s="17"/>
      <c r="BJ128" s="17"/>
      <c r="BK128" s="143" t="s">
        <v>51</v>
      </c>
      <c r="BL128" s="143">
        <f t="shared" si="378"/>
        <v>1</v>
      </c>
      <c r="BM128" s="172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</row>
    <row r="129" spans="1:206" s="66" customFormat="1" ht="16.5">
      <c r="A129" s="281" t="s">
        <v>78</v>
      </c>
      <c r="B129" s="282"/>
      <c r="C129" s="30"/>
      <c r="D129" s="137">
        <f t="shared" si="379"/>
        <v>0</v>
      </c>
      <c r="E129" s="29"/>
      <c r="F129" s="29"/>
      <c r="G129" s="29">
        <f t="shared" si="358"/>
        <v>0</v>
      </c>
      <c r="H129" s="29"/>
      <c r="I129" s="29">
        <f t="shared" si="359"/>
        <v>0</v>
      </c>
      <c r="J129" s="29"/>
      <c r="K129" s="29">
        <f t="shared" si="360"/>
        <v>0</v>
      </c>
      <c r="L129" s="29"/>
      <c r="M129" s="29">
        <f t="shared" si="361"/>
        <v>0</v>
      </c>
      <c r="N129" s="29"/>
      <c r="O129" s="29">
        <f t="shared" si="362"/>
        <v>0</v>
      </c>
      <c r="P129" s="29"/>
      <c r="Q129" s="29">
        <f t="shared" si="363"/>
        <v>0</v>
      </c>
      <c r="R129" s="29"/>
      <c r="S129" s="29">
        <f t="shared" si="364"/>
        <v>0</v>
      </c>
      <c r="T129" s="29"/>
      <c r="U129" s="29">
        <f t="shared" si="365"/>
        <v>0</v>
      </c>
      <c r="V129" s="29"/>
      <c r="W129" s="29">
        <f t="shared" si="366"/>
        <v>0</v>
      </c>
      <c r="X129" s="29"/>
      <c r="Y129" s="29">
        <f t="shared" si="367"/>
        <v>0</v>
      </c>
      <c r="Z129" s="30"/>
      <c r="AA129" s="42" t="s">
        <v>51</v>
      </c>
      <c r="AB129" s="162" t="s">
        <v>51</v>
      </c>
      <c r="AC129" s="30"/>
      <c r="AD129" s="29"/>
      <c r="AE129" s="29">
        <f t="shared" si="368"/>
        <v>0</v>
      </c>
      <c r="AF129" s="162" t="s">
        <v>51</v>
      </c>
      <c r="AG129" s="29"/>
      <c r="AH129" s="29">
        <f t="shared" si="369"/>
        <v>0</v>
      </c>
      <c r="AI129" s="162" t="s">
        <v>51</v>
      </c>
      <c r="AJ129" s="29"/>
      <c r="AK129" s="29">
        <f t="shared" si="370"/>
        <v>0</v>
      </c>
      <c r="AL129" s="162" t="s">
        <v>51</v>
      </c>
      <c r="AM129" s="29"/>
      <c r="AN129" s="29">
        <f t="shared" si="371"/>
        <v>0</v>
      </c>
      <c r="AO129" s="162" t="s">
        <v>51</v>
      </c>
      <c r="AP129" s="29"/>
      <c r="AQ129" s="29">
        <f t="shared" si="372"/>
        <v>0</v>
      </c>
      <c r="AR129" s="162" t="s">
        <v>51</v>
      </c>
      <c r="AS129" s="29"/>
      <c r="AT129" s="29">
        <f t="shared" si="373"/>
        <v>0</v>
      </c>
      <c r="AU129" s="162" t="s">
        <v>51</v>
      </c>
      <c r="AV129" s="29"/>
      <c r="AW129" s="29">
        <f t="shared" si="374"/>
        <v>0</v>
      </c>
      <c r="AX129" s="162" t="s">
        <v>51</v>
      </c>
      <c r="AY129" s="29"/>
      <c r="AZ129" s="29">
        <f t="shared" si="375"/>
        <v>0</v>
      </c>
      <c r="BA129" s="162" t="s">
        <v>51</v>
      </c>
      <c r="BB129" s="29"/>
      <c r="BC129" s="29">
        <f t="shared" si="376"/>
        <v>0</v>
      </c>
      <c r="BD129" s="162" t="s">
        <v>51</v>
      </c>
      <c r="BE129" s="29"/>
      <c r="BF129" s="29">
        <f t="shared" si="377"/>
        <v>0</v>
      </c>
      <c r="BG129" s="162" t="s">
        <v>51</v>
      </c>
      <c r="BH129" s="29"/>
      <c r="BI129" s="29"/>
      <c r="BJ129" s="29"/>
      <c r="BK129" s="162" t="s">
        <v>51</v>
      </c>
      <c r="BL129" s="162">
        <f t="shared" si="378"/>
        <v>1</v>
      </c>
      <c r="BM129" s="171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</row>
    <row r="130" spans="1:206" s="87" customFormat="1" ht="15.75" customHeight="1">
      <c r="A130" s="279" t="s">
        <v>163</v>
      </c>
      <c r="B130" s="280"/>
      <c r="C130" s="17"/>
      <c r="D130" s="130">
        <f t="shared" si="379"/>
        <v>0</v>
      </c>
      <c r="E130" s="17"/>
      <c r="F130" s="17"/>
      <c r="G130" s="17">
        <f t="shared" si="358"/>
        <v>0</v>
      </c>
      <c r="H130" s="17"/>
      <c r="I130" s="17">
        <f t="shared" si="359"/>
        <v>0</v>
      </c>
      <c r="J130" s="17"/>
      <c r="K130" s="17">
        <f t="shared" si="360"/>
        <v>0</v>
      </c>
      <c r="L130" s="17"/>
      <c r="M130" s="17">
        <f t="shared" si="361"/>
        <v>0</v>
      </c>
      <c r="N130" s="17"/>
      <c r="O130" s="17">
        <f t="shared" si="362"/>
        <v>0</v>
      </c>
      <c r="P130" s="17"/>
      <c r="Q130" s="17">
        <f t="shared" si="363"/>
        <v>0</v>
      </c>
      <c r="R130" s="17"/>
      <c r="S130" s="17">
        <f t="shared" si="364"/>
        <v>0</v>
      </c>
      <c r="T130" s="17"/>
      <c r="U130" s="17">
        <f t="shared" si="365"/>
        <v>0</v>
      </c>
      <c r="V130" s="17"/>
      <c r="W130" s="17">
        <f t="shared" si="366"/>
        <v>0</v>
      </c>
      <c r="X130" s="17"/>
      <c r="Y130" s="17">
        <f t="shared" si="367"/>
        <v>0</v>
      </c>
      <c r="Z130" s="17"/>
      <c r="AA130" s="17" t="s">
        <v>51</v>
      </c>
      <c r="AB130" s="143" t="s">
        <v>51</v>
      </c>
      <c r="AC130" s="17"/>
      <c r="AD130" s="17"/>
      <c r="AE130" s="17">
        <f t="shared" si="368"/>
        <v>0</v>
      </c>
      <c r="AF130" s="143" t="s">
        <v>51</v>
      </c>
      <c r="AG130" s="17"/>
      <c r="AH130" s="17">
        <f t="shared" si="369"/>
        <v>0</v>
      </c>
      <c r="AI130" s="143" t="s">
        <v>51</v>
      </c>
      <c r="AJ130" s="17"/>
      <c r="AK130" s="17">
        <f t="shared" si="370"/>
        <v>0</v>
      </c>
      <c r="AL130" s="143" t="s">
        <v>51</v>
      </c>
      <c r="AM130" s="17"/>
      <c r="AN130" s="17">
        <f t="shared" si="371"/>
        <v>0</v>
      </c>
      <c r="AO130" s="143" t="s">
        <v>51</v>
      </c>
      <c r="AP130" s="17"/>
      <c r="AQ130" s="17">
        <f t="shared" si="372"/>
        <v>0</v>
      </c>
      <c r="AR130" s="143" t="s">
        <v>51</v>
      </c>
      <c r="AS130" s="17"/>
      <c r="AT130" s="17">
        <f t="shared" si="373"/>
        <v>0</v>
      </c>
      <c r="AU130" s="143" t="s">
        <v>51</v>
      </c>
      <c r="AV130" s="17"/>
      <c r="AW130" s="17">
        <f t="shared" si="374"/>
        <v>0</v>
      </c>
      <c r="AX130" s="143" t="s">
        <v>51</v>
      </c>
      <c r="AY130" s="17"/>
      <c r="AZ130" s="17">
        <f t="shared" si="375"/>
        <v>0</v>
      </c>
      <c r="BA130" s="143" t="s">
        <v>51</v>
      </c>
      <c r="BB130" s="17"/>
      <c r="BC130" s="17">
        <f t="shared" si="376"/>
        <v>0</v>
      </c>
      <c r="BD130" s="143" t="s">
        <v>51</v>
      </c>
      <c r="BE130" s="17"/>
      <c r="BF130" s="17">
        <f t="shared" si="377"/>
        <v>0</v>
      </c>
      <c r="BG130" s="143" t="s">
        <v>51</v>
      </c>
      <c r="BH130" s="17"/>
      <c r="BI130" s="17"/>
      <c r="BJ130" s="17"/>
      <c r="BK130" s="143" t="s">
        <v>51</v>
      </c>
      <c r="BL130" s="143">
        <f t="shared" si="378"/>
        <v>1</v>
      </c>
      <c r="BM130" s="172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  <c r="EL130" s="88"/>
      <c r="EM130" s="88"/>
      <c r="EN130" s="88"/>
      <c r="EO130" s="88"/>
      <c r="EP130" s="88"/>
      <c r="EQ130" s="88"/>
      <c r="ER130" s="88"/>
      <c r="ES130" s="88"/>
      <c r="ET130" s="88"/>
      <c r="EU130" s="88"/>
      <c r="EV130" s="88"/>
      <c r="EW130" s="88"/>
      <c r="EX130" s="88"/>
      <c r="EY130" s="88"/>
      <c r="EZ130" s="88"/>
      <c r="FA130" s="88"/>
      <c r="FB130" s="88"/>
      <c r="FC130" s="88"/>
      <c r="FD130" s="88"/>
      <c r="FE130" s="88"/>
      <c r="FF130" s="88"/>
      <c r="FG130" s="88"/>
      <c r="FH130" s="88"/>
      <c r="FI130" s="88"/>
      <c r="FJ130" s="88"/>
      <c r="FK130" s="88"/>
      <c r="FL130" s="88"/>
      <c r="FM130" s="88"/>
      <c r="FN130" s="88"/>
      <c r="FO130" s="88"/>
      <c r="FP130" s="88"/>
      <c r="FQ130" s="88"/>
      <c r="FR130" s="88"/>
      <c r="FS130" s="88"/>
      <c r="FT130" s="88"/>
      <c r="FU130" s="88"/>
      <c r="FV130" s="88"/>
      <c r="FW130" s="88"/>
      <c r="FX130" s="88"/>
      <c r="FY130" s="88"/>
      <c r="FZ130" s="88"/>
      <c r="GA130" s="88"/>
      <c r="GB130" s="88"/>
      <c r="GC130" s="88"/>
      <c r="GD130" s="88"/>
      <c r="GE130" s="88"/>
      <c r="GF130" s="88"/>
      <c r="GG130" s="88"/>
      <c r="GH130" s="88"/>
      <c r="GI130" s="88"/>
      <c r="GJ130" s="88"/>
      <c r="GK130" s="88"/>
      <c r="GL130" s="88"/>
      <c r="GM130" s="88"/>
      <c r="GN130" s="88"/>
      <c r="GO130" s="88"/>
      <c r="GP130" s="88"/>
      <c r="GQ130" s="88"/>
      <c r="GR130" s="88"/>
      <c r="GS130" s="88"/>
      <c r="GT130" s="88"/>
      <c r="GU130" s="88"/>
      <c r="GV130" s="88"/>
      <c r="GW130" s="88"/>
      <c r="GX130" s="88"/>
    </row>
    <row r="131" spans="1:206" s="82" customFormat="1" ht="16.5">
      <c r="A131" s="279" t="s">
        <v>164</v>
      </c>
      <c r="B131" s="280"/>
      <c r="C131" s="17"/>
      <c r="D131" s="130">
        <f t="shared" si="379"/>
        <v>0</v>
      </c>
      <c r="E131" s="17"/>
      <c r="F131" s="17"/>
      <c r="G131" s="17">
        <f t="shared" si="358"/>
        <v>0</v>
      </c>
      <c r="H131" s="17"/>
      <c r="I131" s="17">
        <f t="shared" si="359"/>
        <v>0</v>
      </c>
      <c r="J131" s="17"/>
      <c r="K131" s="17">
        <f t="shared" si="360"/>
        <v>0</v>
      </c>
      <c r="L131" s="17"/>
      <c r="M131" s="17">
        <f t="shared" si="361"/>
        <v>0</v>
      </c>
      <c r="N131" s="17"/>
      <c r="O131" s="17">
        <f t="shared" si="362"/>
        <v>0</v>
      </c>
      <c r="P131" s="17"/>
      <c r="Q131" s="17">
        <f t="shared" si="363"/>
        <v>0</v>
      </c>
      <c r="R131" s="17"/>
      <c r="S131" s="17">
        <f t="shared" si="364"/>
        <v>0</v>
      </c>
      <c r="T131" s="17"/>
      <c r="U131" s="17">
        <f t="shared" si="365"/>
        <v>0</v>
      </c>
      <c r="V131" s="17"/>
      <c r="W131" s="17">
        <f t="shared" si="366"/>
        <v>0</v>
      </c>
      <c r="X131" s="17"/>
      <c r="Y131" s="17">
        <f t="shared" si="367"/>
        <v>0</v>
      </c>
      <c r="Z131" s="17"/>
      <c r="AA131" s="17" t="s">
        <v>51</v>
      </c>
      <c r="AB131" s="143" t="s">
        <v>51</v>
      </c>
      <c r="AC131" s="17"/>
      <c r="AD131" s="17"/>
      <c r="AE131" s="17">
        <f t="shared" si="368"/>
        <v>0</v>
      </c>
      <c r="AF131" s="143">
        <f>IF(G131=0,1,AE131/G131-1)</f>
        <v>1</v>
      </c>
      <c r="AG131" s="17"/>
      <c r="AH131" s="17">
        <f t="shared" si="369"/>
        <v>0</v>
      </c>
      <c r="AI131" s="143">
        <f>IF(I131=0,1,AH131/I131-1)</f>
        <v>1</v>
      </c>
      <c r="AJ131" s="17"/>
      <c r="AK131" s="17">
        <f t="shared" si="370"/>
        <v>0</v>
      </c>
      <c r="AL131" s="143">
        <f>IF(K131=0,1,AK131/K131-1)</f>
        <v>1</v>
      </c>
      <c r="AM131" s="17"/>
      <c r="AN131" s="17">
        <f t="shared" si="371"/>
        <v>0</v>
      </c>
      <c r="AO131" s="143">
        <f>IF(M131=0,1,AN131/M131-1)</f>
        <v>1</v>
      </c>
      <c r="AP131" s="17"/>
      <c r="AQ131" s="17">
        <f t="shared" si="372"/>
        <v>0</v>
      </c>
      <c r="AR131" s="143">
        <f>IF(O131=0,1,AQ131/O131-1)</f>
        <v>1</v>
      </c>
      <c r="AS131" s="17"/>
      <c r="AT131" s="17">
        <f t="shared" si="373"/>
        <v>0</v>
      </c>
      <c r="AU131" s="143">
        <f>IF(Q131=0,1,AT131/Q131-1)</f>
        <v>1</v>
      </c>
      <c r="AV131" s="17"/>
      <c r="AW131" s="17">
        <f t="shared" si="374"/>
        <v>0</v>
      </c>
      <c r="AX131" s="143">
        <f>IF(S131=0,1,AW131/S131-1)</f>
        <v>1</v>
      </c>
      <c r="AY131" s="17"/>
      <c r="AZ131" s="17">
        <f t="shared" si="375"/>
        <v>0</v>
      </c>
      <c r="BA131" s="143">
        <f>IF(U131=0,1,AZ131/U131-1)</f>
        <v>1</v>
      </c>
      <c r="BB131" s="17"/>
      <c r="BC131" s="17">
        <f t="shared" si="376"/>
        <v>0</v>
      </c>
      <c r="BD131" s="143">
        <f>IF(W131=0,1,BC131/W131-1)</f>
        <v>1</v>
      </c>
      <c r="BE131" s="17"/>
      <c r="BF131" s="17">
        <f t="shared" si="377"/>
        <v>0</v>
      </c>
      <c r="BG131" s="143">
        <f>IF(Y131=0,1,BF131/Y131-1)</f>
        <v>1</v>
      </c>
      <c r="BH131" s="17"/>
      <c r="BI131" s="17"/>
      <c r="BJ131" s="17"/>
      <c r="BK131" s="143">
        <f>IF($AA$24=0,1,BJ131/$AA$24-1)</f>
        <v>1</v>
      </c>
      <c r="BL131" s="143">
        <f t="shared" si="378"/>
        <v>1</v>
      </c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</row>
    <row r="132" spans="1:206" s="66" customFormat="1">
      <c r="A132" s="89"/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91"/>
      <c r="BN132" s="91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</row>
    <row r="133" spans="1:206" s="66" customFormat="1">
      <c r="A133" s="89"/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91"/>
      <c r="BN133" s="91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</row>
    <row r="134" spans="1:206" s="66" customFormat="1">
      <c r="A134" s="89"/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91"/>
      <c r="BN134" s="91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</row>
    <row r="135" spans="1:206" s="66" customFormat="1">
      <c r="A135" s="89"/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91"/>
      <c r="BN135" s="91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</row>
    <row r="136" spans="1:206" s="66" customFormat="1">
      <c r="A136" s="89"/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91"/>
      <c r="BN136" s="91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</row>
    <row r="137" spans="1:206" s="66" customFormat="1">
      <c r="A137" s="89"/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91"/>
      <c r="BN137" s="91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</row>
    <row r="138" spans="1:206" s="66" customFormat="1">
      <c r="A138" s="89"/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91"/>
      <c r="BN138" s="91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</row>
    <row r="139" spans="1:206" s="66" customFormat="1">
      <c r="A139" s="89"/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91"/>
      <c r="BN139" s="91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</row>
    <row r="140" spans="1:206" s="66" customFormat="1">
      <c r="A140" s="89"/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91"/>
      <c r="BN140" s="91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</row>
    <row r="141" spans="1:206" s="66" customFormat="1">
      <c r="A141" s="89"/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91"/>
      <c r="BN141" s="91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</row>
    <row r="142" spans="1:206" s="66" customFormat="1">
      <c r="A142" s="89"/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91"/>
      <c r="BN142" s="91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</row>
    <row r="143" spans="1:206" s="66" customFormat="1">
      <c r="A143" s="89"/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91"/>
      <c r="BN143" s="91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</row>
    <row r="144" spans="1:206" s="66" customFormat="1">
      <c r="A144" s="89"/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91"/>
      <c r="BN144" s="91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</row>
    <row r="145" spans="1:206" s="66" customFormat="1">
      <c r="A145" s="89"/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91"/>
      <c r="BN145" s="91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</row>
    <row r="146" spans="1:206" s="66" customFormat="1">
      <c r="A146" s="89"/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91"/>
      <c r="BN146" s="91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</row>
    <row r="147" spans="1:206" s="66" customFormat="1">
      <c r="A147" s="89"/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91"/>
      <c r="BN147" s="91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</row>
    <row r="148" spans="1:206" s="66" customFormat="1">
      <c r="A148" s="89"/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91"/>
      <c r="BN148" s="91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</row>
    <row r="149" spans="1:206" s="66" customFormat="1">
      <c r="A149" s="89"/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91"/>
      <c r="BN149" s="91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</row>
    <row r="150" spans="1:206" s="66" customFormat="1">
      <c r="A150" s="89"/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91"/>
      <c r="BN150" s="91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</row>
    <row r="151" spans="1:206" s="66" customFormat="1">
      <c r="A151" s="89"/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91"/>
      <c r="BN151" s="91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</row>
    <row r="152" spans="1:206" s="66" customFormat="1">
      <c r="A152" s="89"/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91"/>
      <c r="BN152" s="91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</row>
    <row r="153" spans="1:206" s="66" customFormat="1">
      <c r="A153" s="89"/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91"/>
      <c r="BN153" s="91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</row>
    <row r="154" spans="1:206" s="66" customFormat="1">
      <c r="A154" s="89"/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91"/>
      <c r="BN154" s="91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</row>
    <row r="155" spans="1:206" s="66" customFormat="1">
      <c r="A155" s="89"/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91"/>
      <c r="BN155" s="91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</row>
    <row r="156" spans="1:206" s="66" customFormat="1">
      <c r="A156" s="89"/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91"/>
      <c r="BN156" s="91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</row>
    <row r="157" spans="1:206" s="66" customFormat="1">
      <c r="A157" s="89"/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91"/>
      <c r="BN157" s="91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</row>
    <row r="158" spans="1:206" s="66" customFormat="1">
      <c r="A158" s="89"/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91"/>
      <c r="BN158" s="91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</row>
    <row r="159" spans="1:206" s="66" customFormat="1">
      <c r="A159" s="89"/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91"/>
      <c r="BN159" s="91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</row>
    <row r="160" spans="1:206" s="66" customFormat="1">
      <c r="A160" s="89"/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91"/>
      <c r="BN160" s="91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</row>
    <row r="161" spans="1:206" s="66" customFormat="1">
      <c r="A161" s="89"/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91"/>
      <c r="BN161" s="91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</row>
    <row r="162" spans="1:206" s="66" customFormat="1">
      <c r="A162" s="89"/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91"/>
      <c r="BN162" s="91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</row>
    <row r="163" spans="1:206" s="66" customFormat="1">
      <c r="A163" s="89"/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91"/>
      <c r="BN163" s="91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</row>
    <row r="164" spans="1:206" s="66" customFormat="1">
      <c r="A164" s="89"/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91"/>
      <c r="BN164" s="91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</row>
    <row r="165" spans="1:206" s="66" customFormat="1">
      <c r="A165" s="89"/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91"/>
      <c r="BN165" s="91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</row>
    <row r="166" spans="1:206" s="66" customFormat="1">
      <c r="A166" s="89"/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91"/>
      <c r="BN166" s="91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</row>
    <row r="167" spans="1:206" s="66" customFormat="1">
      <c r="A167" s="89"/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91"/>
      <c r="BN167" s="91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</row>
    <row r="168" spans="1:206" s="66" customFormat="1">
      <c r="A168" s="89"/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91"/>
      <c r="BN168" s="91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</row>
    <row r="169" spans="1:206" s="66" customFormat="1">
      <c r="A169" s="89"/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91"/>
      <c r="BN169" s="91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</row>
    <row r="170" spans="1:206" s="66" customFormat="1">
      <c r="A170" s="89"/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91"/>
      <c r="BN170" s="91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</row>
    <row r="171" spans="1:206" s="66" customFormat="1">
      <c r="A171" s="89"/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91"/>
      <c r="BN171" s="91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</row>
    <row r="172" spans="1:206" s="66" customFormat="1">
      <c r="A172" s="89"/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91"/>
      <c r="BN172" s="91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</row>
    <row r="173" spans="1:206" s="66" customFormat="1">
      <c r="A173" s="89"/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91"/>
      <c r="BN173" s="91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</row>
    <row r="174" spans="1:206" s="66" customFormat="1">
      <c r="A174" s="89"/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91"/>
      <c r="BN174" s="91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</row>
    <row r="175" spans="1:206" s="66" customFormat="1">
      <c r="A175" s="89"/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91"/>
      <c r="BN175" s="91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</row>
    <row r="176" spans="1:206" s="34" customFormat="1">
      <c r="A176" s="45"/>
      <c r="B176" s="45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</row>
    <row r="177" spans="1:206" s="34" customFormat="1">
      <c r="A177" s="45"/>
      <c r="B177" s="45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</row>
    <row r="178" spans="1:206" s="34" customFormat="1">
      <c r="A178" s="45"/>
      <c r="B178" s="45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47"/>
      <c r="BN178" s="47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</row>
    <row r="179" spans="1:206" s="34" customFormat="1">
      <c r="A179" s="45"/>
      <c r="B179" s="45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47"/>
      <c r="BN179" s="47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</row>
    <row r="180" spans="1:206" s="34" customFormat="1">
      <c r="A180" s="45"/>
      <c r="B180" s="45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47"/>
      <c r="BN180" s="47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</row>
    <row r="181" spans="1:206" s="34" customFormat="1">
      <c r="A181" s="45"/>
      <c r="B181" s="45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47"/>
      <c r="BN181" s="47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</row>
    <row r="182" spans="1:206" s="34" customFormat="1">
      <c r="A182" s="45"/>
      <c r="B182" s="45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47"/>
      <c r="BN182" s="47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</row>
    <row r="183" spans="1:206" s="34" customFormat="1">
      <c r="A183" s="45"/>
      <c r="B183" s="45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47"/>
      <c r="BN183" s="47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</row>
    <row r="184" spans="1:206" s="34" customFormat="1">
      <c r="A184" s="45"/>
      <c r="B184" s="45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47"/>
      <c r="BN184" s="47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</row>
    <row r="185" spans="1:206" s="34" customFormat="1">
      <c r="A185" s="45"/>
      <c r="B185" s="45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47"/>
      <c r="BN185" s="47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</row>
    <row r="186" spans="1:206" s="34" customFormat="1">
      <c r="A186" s="45"/>
      <c r="B186" s="45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47"/>
      <c r="BN186" s="47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</row>
    <row r="187" spans="1:206" s="34" customFormat="1">
      <c r="A187" s="45"/>
      <c r="B187" s="45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47"/>
      <c r="BN187" s="47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</row>
    <row r="188" spans="1:206" s="34" customFormat="1">
      <c r="A188" s="45"/>
      <c r="B188" s="45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47"/>
      <c r="BN188" s="47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</row>
    <row r="189" spans="1:206" s="34" customFormat="1">
      <c r="A189" s="45"/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47"/>
      <c r="BN189" s="47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</row>
    <row r="190" spans="1:206" s="34" customFormat="1">
      <c r="A190" s="45"/>
      <c r="B190" s="45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47"/>
      <c r="BN190" s="47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</row>
    <row r="191" spans="1:206" s="34" customFormat="1">
      <c r="A191" s="45"/>
      <c r="B191" s="45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47"/>
      <c r="BN191" s="47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</row>
    <row r="192" spans="1:206" s="34" customFormat="1">
      <c r="A192" s="45"/>
      <c r="B192" s="45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47"/>
      <c r="BN192" s="47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</row>
    <row r="193" spans="1:206" s="34" customFormat="1">
      <c r="A193" s="45"/>
      <c r="B193" s="45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47"/>
      <c r="BN193" s="47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</row>
    <row r="194" spans="1:206" s="34" customFormat="1">
      <c r="A194" s="45"/>
      <c r="B194" s="45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47"/>
      <c r="BN194" s="47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</row>
    <row r="195" spans="1:206" s="34" customFormat="1">
      <c r="A195" s="45"/>
      <c r="B195" s="45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47"/>
      <c r="BN195" s="47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</row>
    <row r="196" spans="1:206" s="34" customFormat="1">
      <c r="A196" s="45"/>
      <c r="B196" s="45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47"/>
      <c r="BN196" s="47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</row>
    <row r="197" spans="1:206" s="34" customFormat="1">
      <c r="A197" s="45"/>
      <c r="B197" s="45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47"/>
      <c r="BN197" s="47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</row>
    <row r="198" spans="1:206" s="34" customFormat="1">
      <c r="A198" s="45"/>
      <c r="B198" s="45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</row>
    <row r="199" spans="1:206" s="34" customFormat="1">
      <c r="A199" s="45"/>
      <c r="B199" s="45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</row>
    <row r="200" spans="1:206" s="34" customFormat="1">
      <c r="A200" s="45"/>
      <c r="B200" s="45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</row>
    <row r="201" spans="1:206" s="34" customFormat="1">
      <c r="A201" s="45"/>
      <c r="B201" s="45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</row>
    <row r="202" spans="1:206" s="34" customFormat="1">
      <c r="A202" s="45"/>
      <c r="B202" s="45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47"/>
      <c r="BN202" s="47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</row>
    <row r="203" spans="1:206" s="34" customFormat="1">
      <c r="A203" s="45"/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47"/>
      <c r="BN203" s="47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</row>
    <row r="204" spans="1:206" s="34" customFormat="1">
      <c r="A204" s="45"/>
      <c r="B204" s="45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47"/>
      <c r="BN204" s="47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</row>
    <row r="205" spans="1:206" s="34" customFormat="1">
      <c r="A205" s="45"/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47"/>
      <c r="BN205" s="47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</row>
    <row r="206" spans="1:206" s="34" customFormat="1">
      <c r="A206" s="45"/>
      <c r="B206" s="45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47"/>
      <c r="BN206" s="47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</row>
    <row r="207" spans="1:206" s="34" customFormat="1">
      <c r="A207" s="45"/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47"/>
      <c r="BN207" s="47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</row>
    <row r="208" spans="1:206" s="34" customFormat="1">
      <c r="A208" s="45"/>
      <c r="B208" s="45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47"/>
      <c r="BN208" s="47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</row>
    <row r="209" spans="1:206" s="34" customFormat="1">
      <c r="A209" s="45"/>
      <c r="B209" s="45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47"/>
      <c r="BN209" s="47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</row>
    <row r="210" spans="1:206" s="34" customFormat="1">
      <c r="A210" s="45"/>
      <c r="B210" s="45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47"/>
      <c r="BN210" s="47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</row>
    <row r="211" spans="1:206" s="34" customFormat="1">
      <c r="A211" s="45"/>
      <c r="B211" s="45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47"/>
      <c r="BN211" s="47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</row>
    <row r="212" spans="1:206" s="34" customFormat="1">
      <c r="A212" s="45"/>
      <c r="B212" s="45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47"/>
      <c r="BN212" s="47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</row>
    <row r="213" spans="1:206" s="34" customFormat="1">
      <c r="A213" s="45"/>
      <c r="B213" s="45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47"/>
      <c r="BN213" s="47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</row>
    <row r="214" spans="1:206" s="34" customFormat="1">
      <c r="A214" s="45"/>
      <c r="B214" s="45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47"/>
      <c r="BN214" s="47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</row>
    <row r="215" spans="1:206" s="34" customFormat="1">
      <c r="A215" s="45"/>
      <c r="B215" s="45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47"/>
      <c r="BN215" s="47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</row>
    <row r="216" spans="1:206" s="34" customFormat="1">
      <c r="A216" s="45"/>
      <c r="B216" s="45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47"/>
      <c r="BN216" s="47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</row>
    <row r="217" spans="1:206" s="34" customFormat="1">
      <c r="A217" s="45"/>
      <c r="B217" s="45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47"/>
      <c r="BN217" s="47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</row>
    <row r="218" spans="1:206" s="34" customFormat="1">
      <c r="A218" s="45"/>
      <c r="B218" s="45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47"/>
      <c r="BN218" s="47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</row>
    <row r="219" spans="1:206" s="34" customFormat="1">
      <c r="A219" s="45"/>
      <c r="B219" s="45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47"/>
      <c r="BN219" s="47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</row>
    <row r="220" spans="1:206" s="34" customFormat="1">
      <c r="A220" s="45"/>
      <c r="B220" s="45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47"/>
      <c r="BN220" s="47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</row>
    <row r="221" spans="1:206" s="34" customFormat="1">
      <c r="A221" s="45"/>
      <c r="B221" s="45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47"/>
      <c r="BN221" s="47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</row>
    <row r="222" spans="1:206" s="34" customFormat="1">
      <c r="A222" s="45"/>
      <c r="B222" s="45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</row>
    <row r="223" spans="1:206" s="34" customFormat="1">
      <c r="A223" s="45"/>
      <c r="B223" s="45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</row>
    <row r="224" spans="1:206" s="34" customFormat="1">
      <c r="A224" s="45"/>
      <c r="B224" s="45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</row>
    <row r="225" spans="1:206" s="34" customFormat="1">
      <c r="A225" s="45"/>
      <c r="B225" s="45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47"/>
      <c r="BN225" s="47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</row>
    <row r="226" spans="1:206" s="34" customFormat="1">
      <c r="A226" s="45"/>
      <c r="B226" s="45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47"/>
      <c r="BN226" s="47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</row>
    <row r="227" spans="1:206" s="34" customFormat="1">
      <c r="A227" s="45"/>
      <c r="B227" s="45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47"/>
      <c r="BN227" s="47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</row>
    <row r="228" spans="1:206" s="34" customFormat="1">
      <c r="A228" s="45"/>
      <c r="B228" s="45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47"/>
      <c r="BN228" s="47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</row>
    <row r="229" spans="1:206" s="34" customFormat="1">
      <c r="A229" s="45"/>
      <c r="B229" s="45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47"/>
      <c r="BN229" s="47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</row>
    <row r="230" spans="1:206" s="34" customFormat="1">
      <c r="A230" s="45"/>
      <c r="B230" s="45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47"/>
      <c r="BN230" s="47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</row>
    <row r="231" spans="1:206" s="34" customFormat="1">
      <c r="A231" s="45"/>
      <c r="B231" s="45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47"/>
      <c r="BN231" s="47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</row>
    <row r="232" spans="1:206" s="34" customFormat="1">
      <c r="A232" s="45"/>
      <c r="B232" s="45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47"/>
      <c r="BN232" s="47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</row>
    <row r="233" spans="1:206" s="34" customFormat="1">
      <c r="A233" s="45"/>
      <c r="B233" s="45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47"/>
      <c r="BN233" s="47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</row>
    <row r="234" spans="1:206" s="34" customFormat="1">
      <c r="A234" s="45"/>
      <c r="B234" s="45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47"/>
      <c r="BN234" s="47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</row>
    <row r="235" spans="1:206" s="34" customFormat="1">
      <c r="A235" s="45"/>
      <c r="B235" s="45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47"/>
      <c r="BN235" s="47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</row>
    <row r="236" spans="1:206" s="34" customFormat="1">
      <c r="A236" s="45"/>
      <c r="B236" s="45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47"/>
      <c r="BN236" s="47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</row>
    <row r="237" spans="1:206" s="34" customFormat="1">
      <c r="A237" s="45"/>
      <c r="B237" s="45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47"/>
      <c r="BN237" s="47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</row>
    <row r="238" spans="1:206" s="34" customFormat="1">
      <c r="A238" s="45"/>
      <c r="B238" s="45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47"/>
      <c r="BN238" s="47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</row>
    <row r="239" spans="1:206" s="34" customFormat="1">
      <c r="A239" s="45"/>
      <c r="B239" s="45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47"/>
      <c r="BN239" s="47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</row>
    <row r="240" spans="1:206" s="34" customFormat="1">
      <c r="A240" s="45"/>
      <c r="B240" s="45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47"/>
      <c r="BN240" s="47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</row>
    <row r="241" spans="1:206" s="34" customFormat="1">
      <c r="A241" s="45"/>
      <c r="B241" s="45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47"/>
      <c r="BN241" s="47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</row>
    <row r="242" spans="1:206" s="34" customFormat="1">
      <c r="A242" s="45"/>
      <c r="B242" s="45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47"/>
      <c r="BN242" s="47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</row>
    <row r="243" spans="1:206" s="34" customFormat="1">
      <c r="A243" s="45"/>
      <c r="B243" s="45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47"/>
      <c r="BN243" s="47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</row>
    <row r="244" spans="1:206" s="34" customFormat="1">
      <c r="A244" s="45"/>
      <c r="B244" s="45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47"/>
      <c r="BN244" s="47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</row>
    <row r="245" spans="1:206" s="34" customFormat="1">
      <c r="A245" s="45"/>
      <c r="B245" s="45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47"/>
      <c r="BN245" s="47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</row>
    <row r="246" spans="1:206" s="34" customFormat="1">
      <c r="A246" s="45"/>
      <c r="B246" s="45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47"/>
      <c r="BN246" s="47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</row>
    <row r="247" spans="1:206" s="34" customFormat="1">
      <c r="A247" s="45"/>
      <c r="B247" s="45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47"/>
      <c r="BN247" s="47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</row>
    <row r="248" spans="1:206" s="34" customFormat="1">
      <c r="A248" s="45"/>
      <c r="B248" s="45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47"/>
      <c r="BN248" s="47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</row>
    <row r="249" spans="1:206" s="34" customFormat="1">
      <c r="A249" s="45"/>
      <c r="B249" s="45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47"/>
      <c r="BN249" s="47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</row>
    <row r="250" spans="1:206" s="34" customFormat="1">
      <c r="A250" s="45"/>
      <c r="B250" s="45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47"/>
      <c r="BN250" s="47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</row>
    <row r="251" spans="1:206" s="34" customFormat="1">
      <c r="A251" s="45"/>
      <c r="B251" s="45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47"/>
      <c r="BN251" s="47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</row>
    <row r="252" spans="1:206" s="34" customFormat="1">
      <c r="A252" s="45"/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47"/>
      <c r="BN252" s="47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</row>
    <row r="253" spans="1:206" s="34" customFormat="1">
      <c r="A253" s="45"/>
      <c r="B253" s="45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47"/>
      <c r="BN253" s="47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</row>
    <row r="254" spans="1:206" s="34" customFormat="1">
      <c r="A254" s="45"/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47"/>
      <c r="BN254" s="47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</row>
    <row r="255" spans="1:206" s="34" customFormat="1">
      <c r="A255" s="45"/>
      <c r="B255" s="45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47"/>
      <c r="BN255" s="47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</row>
    <row r="256" spans="1:206" s="34" customFormat="1">
      <c r="A256" s="45"/>
      <c r="B256" s="45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47"/>
      <c r="BN256" s="47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</row>
    <row r="257" spans="1:206" s="34" customFormat="1">
      <c r="A257" s="45"/>
      <c r="B257" s="45"/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47"/>
      <c r="BN257" s="47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</row>
    <row r="258" spans="1:206" s="34" customFormat="1">
      <c r="A258" s="45"/>
      <c r="B258" s="45"/>
      <c r="C258" s="45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47"/>
      <c r="BN258" s="47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</row>
    <row r="259" spans="1:206" s="34" customFormat="1">
      <c r="A259" s="45"/>
      <c r="B259" s="45"/>
      <c r="C259" s="45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47"/>
      <c r="BN259" s="47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</row>
    <row r="260" spans="1:206" s="34" customFormat="1">
      <c r="A260" s="45"/>
      <c r="B260" s="45"/>
      <c r="C260" s="45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47"/>
      <c r="BN260" s="47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</row>
    <row r="261" spans="1:206" s="34" customFormat="1">
      <c r="A261" s="45"/>
      <c r="B261" s="45"/>
      <c r="C261" s="45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47"/>
      <c r="BN261" s="47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</row>
    <row r="262" spans="1:206" s="34" customFormat="1">
      <c r="A262" s="45"/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47"/>
      <c r="BN262" s="47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</row>
    <row r="263" spans="1:206" s="34" customFormat="1">
      <c r="A263" s="45"/>
      <c r="B263" s="45"/>
      <c r="C263" s="45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47"/>
      <c r="BN263" s="47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</row>
    <row r="264" spans="1:206" s="34" customFormat="1">
      <c r="A264" s="45"/>
      <c r="B264" s="45"/>
      <c r="C264" s="45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47"/>
      <c r="BN264" s="47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</row>
    <row r="265" spans="1:206" s="34" customFormat="1">
      <c r="A265" s="45"/>
      <c r="B265" s="45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47"/>
      <c r="BN265" s="47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</row>
    <row r="266" spans="1:206" s="34" customFormat="1">
      <c r="A266" s="45"/>
      <c r="B266" s="45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47"/>
      <c r="BN266" s="47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</row>
    <row r="267" spans="1:206" s="34" customFormat="1">
      <c r="A267" s="45"/>
      <c r="B267" s="45"/>
      <c r="C267" s="45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47"/>
      <c r="BN267" s="47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</row>
    <row r="268" spans="1:206" s="34" customFormat="1">
      <c r="A268" s="45"/>
      <c r="B268" s="45"/>
      <c r="C268" s="45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47"/>
      <c r="BN268" s="47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</row>
    <row r="269" spans="1:206" s="34" customFormat="1">
      <c r="A269" s="45"/>
      <c r="B269" s="45"/>
      <c r="C269" s="45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47"/>
      <c r="BN269" s="47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</row>
    <row r="270" spans="1:206" s="34" customFormat="1">
      <c r="A270" s="45"/>
      <c r="B270" s="45"/>
      <c r="C270" s="45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47"/>
      <c r="BN270" s="47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</row>
    <row r="271" spans="1:206" s="34" customFormat="1">
      <c r="A271" s="45"/>
      <c r="B271" s="45"/>
      <c r="C271" s="45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47"/>
      <c r="BN271" s="47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</row>
    <row r="272" spans="1:206" s="34" customFormat="1">
      <c r="A272" s="45"/>
      <c r="B272" s="45"/>
      <c r="C272" s="45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47"/>
      <c r="BN272" s="47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</row>
    <row r="273" spans="1:206" s="34" customFormat="1">
      <c r="A273" s="45"/>
      <c r="B273" s="45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47"/>
      <c r="BN273" s="47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</row>
    <row r="274" spans="1:206" s="34" customFormat="1">
      <c r="A274" s="45"/>
      <c r="B274" s="45"/>
      <c r="C274" s="45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47"/>
      <c r="BN274" s="47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</row>
    <row r="275" spans="1:206" s="34" customFormat="1">
      <c r="A275" s="45"/>
      <c r="B275" s="45"/>
      <c r="C275" s="45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47"/>
      <c r="BN275" s="47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</row>
    <row r="276" spans="1:206" s="34" customFormat="1">
      <c r="A276" s="45"/>
      <c r="B276" s="45"/>
      <c r="C276" s="45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47"/>
      <c r="BN276" s="47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</row>
    <row r="277" spans="1:206" s="34" customFormat="1">
      <c r="A277" s="45"/>
      <c r="B277" s="45"/>
      <c r="C277" s="45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47"/>
      <c r="BN277" s="47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</row>
    <row r="278" spans="1:206" s="34" customFormat="1">
      <c r="A278" s="45"/>
      <c r="B278" s="45"/>
      <c r="C278" s="45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47"/>
      <c r="BN278" s="47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</row>
    <row r="279" spans="1:206" s="34" customFormat="1">
      <c r="A279" s="45"/>
      <c r="B279" s="45"/>
      <c r="C279" s="45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47"/>
      <c r="BN279" s="47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</row>
    <row r="280" spans="1:206" s="34" customFormat="1">
      <c r="A280" s="45"/>
      <c r="B280" s="45"/>
      <c r="C280" s="45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47"/>
      <c r="BN280" s="47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</row>
    <row r="281" spans="1:206" s="34" customFormat="1">
      <c r="A281" s="45"/>
      <c r="B281" s="45"/>
      <c r="C281" s="45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47"/>
      <c r="BN281" s="47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</row>
    <row r="282" spans="1:206" s="34" customFormat="1">
      <c r="A282" s="45"/>
      <c r="B282" s="45"/>
      <c r="C282" s="45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47"/>
      <c r="BN282" s="47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</row>
    <row r="283" spans="1:206" s="34" customFormat="1">
      <c r="A283" s="45"/>
      <c r="B283" s="45"/>
      <c r="C283" s="45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47"/>
      <c r="BN283" s="47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</row>
    <row r="284" spans="1:206" s="34" customFormat="1">
      <c r="A284" s="45"/>
      <c r="B284" s="45"/>
      <c r="C284" s="45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47"/>
      <c r="BN284" s="47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  <c r="GA284" s="35"/>
      <c r="GB284" s="35"/>
      <c r="GC284" s="35"/>
      <c r="GD284" s="35"/>
      <c r="GE284" s="35"/>
      <c r="GF284" s="35"/>
      <c r="GG284" s="35"/>
      <c r="GH284" s="35"/>
      <c r="GI284" s="35"/>
      <c r="GJ284" s="35"/>
      <c r="GK284" s="35"/>
      <c r="GL284" s="35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</row>
    <row r="285" spans="1:206" s="2" customFormat="1">
      <c r="A285" s="48"/>
      <c r="B285" s="48"/>
      <c r="C285" s="48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BM285" s="1"/>
      <c r="BN285" s="1"/>
    </row>
    <row r="286" spans="1:206" s="2" customFormat="1">
      <c r="A286" s="48"/>
      <c r="B286" s="48"/>
      <c r="C286" s="48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BM286" s="1"/>
      <c r="BN286" s="1"/>
    </row>
    <row r="287" spans="1:206" s="2" customFormat="1">
      <c r="A287" s="48"/>
      <c r="B287" s="48"/>
      <c r="C287" s="48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BM287" s="1"/>
      <c r="BN287" s="1"/>
    </row>
    <row r="288" spans="1:206" s="2" customFormat="1">
      <c r="A288" s="48"/>
      <c r="B288" s="48"/>
      <c r="C288" s="48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BM288" s="1"/>
      <c r="BN288" s="1"/>
    </row>
    <row r="289" spans="1:66" s="2" customFormat="1">
      <c r="A289" s="48"/>
      <c r="B289" s="48"/>
      <c r="C289" s="48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BM289" s="1"/>
      <c r="BN289" s="1"/>
    </row>
    <row r="290" spans="1:66" s="2" customFormat="1">
      <c r="A290" s="48"/>
      <c r="B290" s="48"/>
      <c r="C290" s="48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BM290" s="1"/>
      <c r="BN290" s="1"/>
    </row>
    <row r="291" spans="1:66" s="2" customFormat="1">
      <c r="A291" s="48"/>
      <c r="B291" s="48"/>
      <c r="C291" s="48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BM291" s="1"/>
      <c r="BN291" s="1"/>
    </row>
    <row r="292" spans="1:66" s="2" customFormat="1">
      <c r="A292" s="48"/>
      <c r="B292" s="48"/>
      <c r="C292" s="48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BM292" s="1"/>
      <c r="BN292" s="1"/>
    </row>
    <row r="293" spans="1:66" s="2" customFormat="1">
      <c r="A293" s="48"/>
      <c r="B293" s="48"/>
      <c r="C293" s="48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BM293" s="1"/>
      <c r="BN293" s="1"/>
    </row>
    <row r="294" spans="1:66" s="2" customFormat="1">
      <c r="A294" s="48"/>
      <c r="B294" s="48"/>
      <c r="C294" s="48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BM294" s="1"/>
      <c r="BN294" s="1"/>
    </row>
    <row r="295" spans="1:66" s="2" customFormat="1">
      <c r="A295" s="48"/>
      <c r="B295" s="48"/>
      <c r="C295" s="48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BM295" s="1"/>
      <c r="BN295" s="1"/>
    </row>
    <row r="296" spans="1:66" s="2" customFormat="1">
      <c r="A296" s="48"/>
      <c r="B296" s="48"/>
      <c r="C296" s="48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BM296" s="1"/>
      <c r="BN296" s="1"/>
    </row>
    <row r="297" spans="1:66" s="2" customFormat="1">
      <c r="A297" s="48"/>
      <c r="B297" s="48"/>
      <c r="C297" s="48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BM297" s="1"/>
      <c r="BN297" s="1"/>
    </row>
    <row r="298" spans="1:66" s="2" customFormat="1">
      <c r="A298" s="48"/>
      <c r="B298" s="48"/>
      <c r="C298" s="48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BM298" s="1"/>
      <c r="BN298" s="1"/>
    </row>
    <row r="299" spans="1:66" s="2" customFormat="1">
      <c r="A299" s="48"/>
      <c r="B299" s="48"/>
      <c r="C299" s="48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BM299" s="1"/>
      <c r="BN299" s="1"/>
    </row>
    <row r="300" spans="1:66" s="2" customFormat="1">
      <c r="A300" s="48"/>
      <c r="B300" s="48"/>
      <c r="C300" s="48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BM300" s="1"/>
      <c r="BN300" s="1"/>
    </row>
    <row r="301" spans="1:66" s="2" customFormat="1">
      <c r="A301" s="48"/>
      <c r="B301" s="48"/>
      <c r="C301" s="48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BM301" s="1"/>
      <c r="BN301" s="1"/>
    </row>
    <row r="302" spans="1:66" s="2" customFormat="1">
      <c r="A302" s="48"/>
      <c r="B302" s="48"/>
      <c r="C302" s="48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BM302" s="1"/>
      <c r="BN302" s="1"/>
    </row>
    <row r="303" spans="1:66" s="2" customFormat="1">
      <c r="A303" s="48"/>
      <c r="B303" s="48"/>
      <c r="C303" s="48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BM303" s="1"/>
      <c r="BN303" s="1"/>
    </row>
    <row r="304" spans="1:66" s="2" customFormat="1">
      <c r="A304" s="48"/>
      <c r="B304" s="48"/>
      <c r="C304" s="48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BM304" s="1"/>
      <c r="BN304" s="1"/>
    </row>
    <row r="305" spans="1:66" s="2" customFormat="1">
      <c r="A305" s="48"/>
      <c r="B305" s="48"/>
      <c r="C305" s="48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BM305" s="1"/>
      <c r="BN305" s="1"/>
    </row>
    <row r="306" spans="1:66" s="2" customFormat="1">
      <c r="A306" s="48"/>
      <c r="B306" s="48"/>
      <c r="C306" s="48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BM306" s="1"/>
      <c r="BN306" s="1"/>
    </row>
    <row r="307" spans="1:66" s="2" customFormat="1">
      <c r="A307" s="48"/>
      <c r="B307" s="48"/>
      <c r="C307" s="48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BM307" s="1"/>
      <c r="BN307" s="1"/>
    </row>
    <row r="308" spans="1:66" s="2" customFormat="1">
      <c r="A308" s="48"/>
      <c r="B308" s="48"/>
      <c r="C308" s="48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BM308" s="1"/>
      <c r="BN308" s="1"/>
    </row>
    <row r="309" spans="1:66" s="2" customFormat="1">
      <c r="A309" s="48"/>
      <c r="B309" s="48"/>
      <c r="C309" s="48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BM309" s="1"/>
      <c r="BN309" s="1"/>
    </row>
    <row r="310" spans="1:66" s="2" customFormat="1">
      <c r="A310" s="48"/>
      <c r="B310" s="48"/>
      <c r="C310" s="48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BM310" s="1"/>
      <c r="BN310" s="1"/>
    </row>
    <row r="311" spans="1:66" s="2" customFormat="1">
      <c r="A311" s="48"/>
      <c r="B311" s="48"/>
      <c r="C311" s="48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BM311" s="1"/>
      <c r="BN311" s="1"/>
    </row>
    <row r="312" spans="1:66" s="2" customFormat="1">
      <c r="A312" s="48"/>
      <c r="B312" s="48"/>
      <c r="C312" s="48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BM312" s="1"/>
      <c r="BN312" s="1"/>
    </row>
    <row r="313" spans="1:66" s="2" customFormat="1">
      <c r="A313" s="48"/>
      <c r="B313" s="48"/>
      <c r="C313" s="48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BM313" s="1"/>
      <c r="BN313" s="1"/>
    </row>
    <row r="314" spans="1:66" s="2" customFormat="1">
      <c r="A314" s="48"/>
      <c r="B314" s="48"/>
      <c r="C314" s="48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BM314" s="1"/>
      <c r="BN314" s="1"/>
    </row>
    <row r="315" spans="1:66" s="2" customFormat="1">
      <c r="A315" s="48"/>
      <c r="B315" s="48"/>
      <c r="C315" s="48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BM315" s="1"/>
      <c r="BN315" s="1"/>
    </row>
    <row r="316" spans="1:66" s="2" customFormat="1">
      <c r="A316" s="48"/>
      <c r="B316" s="48"/>
      <c r="C316" s="48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BM316" s="1"/>
      <c r="BN316" s="1"/>
    </row>
    <row r="317" spans="1:66" s="2" customFormat="1">
      <c r="A317" s="48"/>
      <c r="B317" s="48"/>
      <c r="C317" s="48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BM317" s="1"/>
      <c r="BN317" s="1"/>
    </row>
    <row r="318" spans="1:66" s="2" customFormat="1">
      <c r="A318" s="48"/>
      <c r="B318" s="48"/>
      <c r="C318" s="48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BM318" s="1"/>
      <c r="BN318" s="1"/>
    </row>
    <row r="319" spans="1:66" s="2" customFormat="1">
      <c r="A319" s="48"/>
      <c r="B319" s="48"/>
      <c r="C319" s="48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BM319" s="1"/>
      <c r="BN319" s="1"/>
    </row>
    <row r="320" spans="1:66" s="2" customFormat="1">
      <c r="A320" s="48"/>
      <c r="B320" s="48"/>
      <c r="C320" s="48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BM320" s="1"/>
      <c r="BN320" s="1"/>
    </row>
    <row r="321" spans="1:66" s="2" customFormat="1">
      <c r="A321" s="48"/>
      <c r="B321" s="48"/>
      <c r="C321" s="48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BM321" s="1"/>
      <c r="BN321" s="1"/>
    </row>
    <row r="322" spans="1:66" s="2" customFormat="1">
      <c r="A322" s="48"/>
      <c r="B322" s="48"/>
      <c r="C322" s="48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BM322" s="1"/>
      <c r="BN322" s="1"/>
    </row>
    <row r="323" spans="1:66" s="2" customFormat="1">
      <c r="A323" s="48"/>
      <c r="B323" s="48"/>
      <c r="C323" s="48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BM323" s="1"/>
      <c r="BN323" s="1"/>
    </row>
    <row r="324" spans="1:66" s="2" customFormat="1">
      <c r="A324" s="48"/>
      <c r="B324" s="48"/>
      <c r="C324" s="48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BM324" s="1"/>
      <c r="BN324" s="1"/>
    </row>
    <row r="325" spans="1:66" s="2" customFormat="1">
      <c r="A325" s="48"/>
      <c r="B325" s="48"/>
      <c r="C325" s="48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BM325" s="1"/>
      <c r="BN325" s="1"/>
    </row>
  </sheetData>
  <sheetProtection password="CF36" sheet="1" objects="1" scenarios="1" formatColumns="0" formatRows="0"/>
  <mergeCells count="127">
    <mergeCell ref="A15:B15"/>
    <mergeCell ref="A16:B16"/>
    <mergeCell ref="A17:B17"/>
    <mergeCell ref="A18:B18"/>
    <mergeCell ref="A19:B19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  <mergeCell ref="A1:O1"/>
    <mergeCell ref="BJ6:BJ7"/>
    <mergeCell ref="BK6:BK7"/>
    <mergeCell ref="BL6:BL7"/>
    <mergeCell ref="C2:BL2"/>
    <mergeCell ref="C3:BL3"/>
    <mergeCell ref="AB6:AB7"/>
    <mergeCell ref="AC6:BI6"/>
    <mergeCell ref="A14:B14"/>
    <mergeCell ref="A9:B9"/>
    <mergeCell ref="A10:B10"/>
    <mergeCell ref="A11:B11"/>
    <mergeCell ref="A13:B13"/>
    <mergeCell ref="A5:B8"/>
    <mergeCell ref="D5:Z5"/>
    <mergeCell ref="AA5:BL5"/>
    <mergeCell ref="C6:C7"/>
    <mergeCell ref="D6:D7"/>
    <mergeCell ref="E6:Z6"/>
    <mergeCell ref="AA6:AA7"/>
    <mergeCell ref="A38:B38"/>
    <mergeCell ref="A39:B39"/>
    <mergeCell ref="A40:B40"/>
    <mergeCell ref="A30:B30"/>
    <mergeCell ref="A31:B31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8:B108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9:B109"/>
    <mergeCell ref="A110:B110"/>
    <mergeCell ref="A111:B111"/>
    <mergeCell ref="A114:B114"/>
    <mergeCell ref="A131:B131"/>
    <mergeCell ref="A125:B125"/>
    <mergeCell ref="A126:B126"/>
    <mergeCell ref="A127:B127"/>
    <mergeCell ref="A128:B128"/>
    <mergeCell ref="A129:B129"/>
    <mergeCell ref="A130:B130"/>
    <mergeCell ref="A118:B118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9:B119"/>
  </mergeCells>
  <printOptions horizontalCentered="1"/>
  <pageMargins left="0.15748031496062992" right="0.15748031496062992" top="0.27559055118110237" bottom="0.15748031496062992" header="0.15748031496062992" footer="0.15748031496062992"/>
  <pageSetup paperSize="9" scale="43" fitToWidth="3" fitToHeight="5" orientation="landscape" r:id="rId1"/>
  <headerFooter alignWithMargins="0"/>
  <rowBreaks count="1" manualBreakCount="1">
    <brk id="7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25"/>
  <sheetViews>
    <sheetView zoomScale="70" zoomScaleNormal="70" zoomScaleSheetLayoutView="75" workbookViewId="0">
      <pane xSplit="2" ySplit="8" topLeftCell="D9" activePane="bottomRight" state="frozen"/>
      <selection activeCell="BJ118" sqref="BJ118"/>
      <selection pane="topRight" activeCell="BJ118" sqref="BJ118"/>
      <selection pane="bottomLeft" activeCell="BJ118" sqref="BJ118"/>
      <selection pane="bottomRight" activeCell="C4" sqref="C1:C1048576"/>
    </sheetView>
  </sheetViews>
  <sheetFormatPr defaultColWidth="9.33203125" defaultRowHeight="15"/>
  <cols>
    <col min="1" max="1" width="60.6640625" style="50" customWidth="1"/>
    <col min="2" max="2" width="5.5" style="50" customWidth="1"/>
    <col min="3" max="3" width="16.6640625" style="50" hidden="1" customWidth="1"/>
    <col min="4" max="26" width="16.6640625" style="51" customWidth="1"/>
    <col min="27" max="64" width="16.6640625" style="3" customWidth="1"/>
    <col min="65" max="66" width="12.33203125" style="1" customWidth="1"/>
    <col min="67" max="87" width="12.33203125" style="2" customWidth="1"/>
    <col min="88" max="206" width="9.33203125" style="2"/>
    <col min="207" max="16384" width="9.33203125" style="3"/>
  </cols>
  <sheetData>
    <row r="1" spans="1:206" ht="42" customHeight="1">
      <c r="A1" s="334" t="s">
        <v>159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206" ht="21.75" customHeight="1">
      <c r="A2" s="3"/>
      <c r="C2" s="340" t="s">
        <v>173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</row>
    <row r="3" spans="1:206" ht="15.75" customHeight="1">
      <c r="C3" s="340">
        <f>'бюджет округа (района)'!C3:BL3</f>
        <v>0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</row>
    <row r="4" spans="1:206" ht="15" customHeigh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L4" s="7" t="s">
        <v>2</v>
      </c>
    </row>
    <row r="5" spans="1:206" ht="15.75" customHeight="1">
      <c r="A5" s="323" t="s">
        <v>3</v>
      </c>
      <c r="B5" s="324"/>
      <c r="C5" s="100" t="str">
        <f>'бюджет округа (района)'!C5:C5</f>
        <v>2014 год</v>
      </c>
      <c r="D5" s="331" t="str">
        <f>'бюджет округа (района)'!D5:Z5</f>
        <v>20___ год (отчетный финансовый год)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 t="str">
        <f>'бюджет округа (района)'!AA5:BL5</f>
        <v>20___ год (текущий финансовый год)</v>
      </c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9"/>
    </row>
    <row r="6" spans="1:206" s="120" customFormat="1" ht="16.5" customHeight="1">
      <c r="A6" s="325"/>
      <c r="B6" s="326"/>
      <c r="C6" s="332" t="s">
        <v>149</v>
      </c>
      <c r="D6" s="333" t="s">
        <v>149</v>
      </c>
      <c r="E6" s="332" t="s">
        <v>8</v>
      </c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 t="s">
        <v>150</v>
      </c>
      <c r="AB6" s="321" t="s">
        <v>96</v>
      </c>
      <c r="AC6" s="322" t="s">
        <v>10</v>
      </c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35" t="s">
        <v>125</v>
      </c>
      <c r="BK6" s="339" t="s">
        <v>126</v>
      </c>
      <c r="BL6" s="339" t="s">
        <v>96</v>
      </c>
      <c r="BM6" s="163"/>
      <c r="BN6" s="118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</row>
    <row r="7" spans="1:206" s="120" customFormat="1" ht="36.75" customHeight="1">
      <c r="A7" s="325"/>
      <c r="B7" s="326"/>
      <c r="C7" s="332"/>
      <c r="D7" s="333"/>
      <c r="E7" s="102" t="s">
        <v>11</v>
      </c>
      <c r="F7" s="102" t="s">
        <v>12</v>
      </c>
      <c r="G7" s="126" t="s">
        <v>70</v>
      </c>
      <c r="H7" s="102" t="s">
        <v>13</v>
      </c>
      <c r="I7" s="126" t="s">
        <v>14</v>
      </c>
      <c r="J7" s="102" t="s">
        <v>15</v>
      </c>
      <c r="K7" s="126" t="s">
        <v>81</v>
      </c>
      <c r="L7" s="102" t="s">
        <v>16</v>
      </c>
      <c r="M7" s="126" t="s">
        <v>82</v>
      </c>
      <c r="N7" s="102" t="s">
        <v>17</v>
      </c>
      <c r="O7" s="126" t="s">
        <v>83</v>
      </c>
      <c r="P7" s="102" t="s">
        <v>18</v>
      </c>
      <c r="Q7" s="126" t="s">
        <v>84</v>
      </c>
      <c r="R7" s="102" t="s">
        <v>19</v>
      </c>
      <c r="S7" s="126" t="s">
        <v>85</v>
      </c>
      <c r="T7" s="102" t="s">
        <v>20</v>
      </c>
      <c r="U7" s="126" t="s">
        <v>86</v>
      </c>
      <c r="V7" s="102" t="s">
        <v>21</v>
      </c>
      <c r="W7" s="126" t="s">
        <v>87</v>
      </c>
      <c r="X7" s="102" t="s">
        <v>22</v>
      </c>
      <c r="Y7" s="126" t="s">
        <v>88</v>
      </c>
      <c r="Z7" s="102" t="s">
        <v>23</v>
      </c>
      <c r="AA7" s="332"/>
      <c r="AB7" s="321"/>
      <c r="AC7" s="102" t="s">
        <v>11</v>
      </c>
      <c r="AD7" s="102" t="s">
        <v>12</v>
      </c>
      <c r="AE7" s="126" t="s">
        <v>70</v>
      </c>
      <c r="AF7" s="127" t="s">
        <v>96</v>
      </c>
      <c r="AG7" s="102" t="s">
        <v>13</v>
      </c>
      <c r="AH7" s="126" t="s">
        <v>14</v>
      </c>
      <c r="AI7" s="127" t="s">
        <v>96</v>
      </c>
      <c r="AJ7" s="102" t="s">
        <v>15</v>
      </c>
      <c r="AK7" s="126" t="s">
        <v>81</v>
      </c>
      <c r="AL7" s="127" t="s">
        <v>96</v>
      </c>
      <c r="AM7" s="102" t="s">
        <v>141</v>
      </c>
      <c r="AN7" s="126" t="s">
        <v>82</v>
      </c>
      <c r="AO7" s="127" t="s">
        <v>96</v>
      </c>
      <c r="AP7" s="102" t="s">
        <v>17</v>
      </c>
      <c r="AQ7" s="126" t="s">
        <v>83</v>
      </c>
      <c r="AR7" s="127" t="s">
        <v>96</v>
      </c>
      <c r="AS7" s="102" t="s">
        <v>18</v>
      </c>
      <c r="AT7" s="126" t="s">
        <v>84</v>
      </c>
      <c r="AU7" s="127" t="s">
        <v>96</v>
      </c>
      <c r="AV7" s="102" t="s">
        <v>19</v>
      </c>
      <c r="AW7" s="126" t="s">
        <v>85</v>
      </c>
      <c r="AX7" s="127" t="s">
        <v>96</v>
      </c>
      <c r="AY7" s="102" t="s">
        <v>20</v>
      </c>
      <c r="AZ7" s="126" t="s">
        <v>86</v>
      </c>
      <c r="BA7" s="127" t="s">
        <v>96</v>
      </c>
      <c r="BB7" s="102" t="s">
        <v>21</v>
      </c>
      <c r="BC7" s="126" t="s">
        <v>87</v>
      </c>
      <c r="BD7" s="127" t="s">
        <v>96</v>
      </c>
      <c r="BE7" s="102" t="s">
        <v>22</v>
      </c>
      <c r="BF7" s="126" t="s">
        <v>88</v>
      </c>
      <c r="BG7" s="127" t="s">
        <v>96</v>
      </c>
      <c r="BH7" s="102" t="s">
        <v>23</v>
      </c>
      <c r="BI7" s="112" t="str">
        <f>'бюджет округа (района)'!BI7:BI7</f>
        <v>Ожидаемая оценка на __________</v>
      </c>
      <c r="BJ7" s="337"/>
      <c r="BK7" s="339"/>
      <c r="BL7" s="339"/>
      <c r="BM7" s="164"/>
      <c r="BN7" s="118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</row>
    <row r="8" spans="1:206" s="12" customFormat="1" ht="52.5" hidden="1" customHeight="1">
      <c r="A8" s="327"/>
      <c r="B8" s="328"/>
      <c r="C8" s="95" t="s">
        <v>26</v>
      </c>
      <c r="D8" s="128" t="s">
        <v>26</v>
      </c>
      <c r="E8" s="95" t="str">
        <f t="shared" ref="E8:Z8" si="0">D8</f>
        <v>консолиди-                       рованный бюджет района</v>
      </c>
      <c r="F8" s="95" t="str">
        <f t="shared" si="0"/>
        <v>консолиди-                       рованный бюджет района</v>
      </c>
      <c r="G8" s="128" t="str">
        <f t="shared" si="0"/>
        <v>консолиди-                       рованный бюджет района</v>
      </c>
      <c r="H8" s="95" t="str">
        <f t="shared" si="0"/>
        <v>консолиди-                       рованный бюджет района</v>
      </c>
      <c r="I8" s="128" t="str">
        <f t="shared" si="0"/>
        <v>консолиди-                       рованный бюджет района</v>
      </c>
      <c r="J8" s="95" t="str">
        <f t="shared" si="0"/>
        <v>консолиди-                       рованный бюджет района</v>
      </c>
      <c r="K8" s="128" t="str">
        <f t="shared" si="0"/>
        <v>консолиди-                       рованный бюджет района</v>
      </c>
      <c r="L8" s="95" t="str">
        <f t="shared" si="0"/>
        <v>консолиди-                       рованный бюджет района</v>
      </c>
      <c r="M8" s="128" t="str">
        <f t="shared" si="0"/>
        <v>консолиди-                       рованный бюджет района</v>
      </c>
      <c r="N8" s="95" t="str">
        <f t="shared" si="0"/>
        <v>консолиди-                       рованный бюджет района</v>
      </c>
      <c r="O8" s="128" t="str">
        <f t="shared" si="0"/>
        <v>консолиди-                       рованный бюджет района</v>
      </c>
      <c r="P8" s="95" t="str">
        <f t="shared" si="0"/>
        <v>консолиди-                       рованный бюджет района</v>
      </c>
      <c r="Q8" s="128" t="str">
        <f t="shared" si="0"/>
        <v>консолиди-                       рованный бюджет района</v>
      </c>
      <c r="R8" s="95" t="str">
        <f t="shared" si="0"/>
        <v>консолиди-                       рованный бюджет района</v>
      </c>
      <c r="S8" s="128" t="str">
        <f t="shared" si="0"/>
        <v>консолиди-                       рованный бюджет района</v>
      </c>
      <c r="T8" s="95" t="str">
        <f t="shared" si="0"/>
        <v>консолиди-                       рованный бюджет района</v>
      </c>
      <c r="U8" s="128" t="str">
        <f t="shared" si="0"/>
        <v>консолиди-                       рованный бюджет района</v>
      </c>
      <c r="V8" s="95" t="str">
        <f t="shared" si="0"/>
        <v>консолиди-                       рованный бюджет района</v>
      </c>
      <c r="W8" s="128" t="str">
        <f t="shared" si="0"/>
        <v>консолиди-                       рованный бюджет района</v>
      </c>
      <c r="X8" s="95" t="str">
        <f t="shared" si="0"/>
        <v>консолиди-                       рованный бюджет района</v>
      </c>
      <c r="Y8" s="128" t="str">
        <f t="shared" si="0"/>
        <v>консолиди-                       рованный бюджет района</v>
      </c>
      <c r="Z8" s="95" t="str">
        <f t="shared" si="0"/>
        <v>консолиди-                       рованный бюджет района</v>
      </c>
      <c r="AA8" s="95" t="str">
        <f>D8</f>
        <v>консолиди-                       рованный бюджет района</v>
      </c>
      <c r="AB8" s="128" t="str">
        <f>AA8</f>
        <v>консолиди-                       рованный бюджет района</v>
      </c>
      <c r="AC8" s="95" t="s">
        <v>27</v>
      </c>
      <c r="AD8" s="95" t="s">
        <v>27</v>
      </c>
      <c r="AE8" s="128" t="str">
        <f>AD8</f>
        <v>консолидированный бюджет района</v>
      </c>
      <c r="AF8" s="128" t="str">
        <f>AE8</f>
        <v>консолидированный бюджет района</v>
      </c>
      <c r="AG8" s="95" t="s">
        <v>27</v>
      </c>
      <c r="AH8" s="128" t="str">
        <f>AG8</f>
        <v>консолидированный бюджет района</v>
      </c>
      <c r="AI8" s="128" t="str">
        <f>AH8</f>
        <v>консолидированный бюджет района</v>
      </c>
      <c r="AJ8" s="95" t="str">
        <f>AH8</f>
        <v>консолидированный бюджет района</v>
      </c>
      <c r="AK8" s="128" t="str">
        <f>AJ8</f>
        <v>консолидированный бюджет района</v>
      </c>
      <c r="AL8" s="128" t="str">
        <f>AK8</f>
        <v>консолидированный бюджет района</v>
      </c>
      <c r="AM8" s="95" t="str">
        <f>AK8</f>
        <v>консолидированный бюджет района</v>
      </c>
      <c r="AN8" s="128" t="str">
        <f>AM8</f>
        <v>консолидированный бюджет района</v>
      </c>
      <c r="AO8" s="128" t="str">
        <f>AN8</f>
        <v>консолидированный бюджет района</v>
      </c>
      <c r="AP8" s="95" t="str">
        <f>AN8</f>
        <v>консолидированный бюджет района</v>
      </c>
      <c r="AQ8" s="128" t="str">
        <f>AP8</f>
        <v>консолидированный бюджет района</v>
      </c>
      <c r="AR8" s="128" t="str">
        <f>AQ8</f>
        <v>консолидированный бюджет района</v>
      </c>
      <c r="AS8" s="95" t="str">
        <f>AQ8</f>
        <v>консолидированный бюджет района</v>
      </c>
      <c r="AT8" s="128" t="str">
        <f>AS8</f>
        <v>консолидированный бюджет района</v>
      </c>
      <c r="AU8" s="128" t="str">
        <f>AT8</f>
        <v>консолидированный бюджет района</v>
      </c>
      <c r="AV8" s="95" t="str">
        <f>AT8</f>
        <v>консолидированный бюджет района</v>
      </c>
      <c r="AW8" s="128" t="str">
        <f>AV8</f>
        <v>консолидированный бюджет района</v>
      </c>
      <c r="AX8" s="128" t="str">
        <f>AW8</f>
        <v>консолидированный бюджет района</v>
      </c>
      <c r="AY8" s="95" t="str">
        <f>AW8</f>
        <v>консолидированный бюджет района</v>
      </c>
      <c r="AZ8" s="128" t="str">
        <f>AY8</f>
        <v>консолидированный бюджет района</v>
      </c>
      <c r="BA8" s="128" t="str">
        <f>AZ8</f>
        <v>консолидированный бюджет района</v>
      </c>
      <c r="BB8" s="95" t="str">
        <f>AZ8</f>
        <v>консолидированный бюджет района</v>
      </c>
      <c r="BC8" s="128" t="str">
        <f>BB8</f>
        <v>консолидированный бюджет района</v>
      </c>
      <c r="BD8" s="128" t="str">
        <f>BC8</f>
        <v>консолидированный бюджет района</v>
      </c>
      <c r="BE8" s="95" t="str">
        <f>BC8</f>
        <v>консолидированный бюджет района</v>
      </c>
      <c r="BF8" s="128" t="str">
        <f>BE8</f>
        <v>консолидированный бюджет района</v>
      </c>
      <c r="BG8" s="128" t="str">
        <f>BF8</f>
        <v>консолидированный бюджет района</v>
      </c>
      <c r="BH8" s="95" t="str">
        <f>BF8</f>
        <v>консолидированный бюджет района</v>
      </c>
      <c r="BI8" s="95" t="s">
        <v>27</v>
      </c>
      <c r="BJ8" s="95" t="s">
        <v>27</v>
      </c>
      <c r="BK8" s="128" t="s">
        <v>28</v>
      </c>
      <c r="BL8" s="128" t="s">
        <v>28</v>
      </c>
      <c r="BM8" s="14"/>
      <c r="BN8" s="1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</row>
    <row r="9" spans="1:206" s="18" customFormat="1" ht="23.25" customHeight="1">
      <c r="A9" s="422" t="s">
        <v>29</v>
      </c>
      <c r="B9" s="422"/>
      <c r="C9" s="130">
        <f>C10+C27</f>
        <v>0</v>
      </c>
      <c r="D9" s="130">
        <f t="shared" ref="D9:Z9" si="1">D10+D27</f>
        <v>0</v>
      </c>
      <c r="E9" s="130">
        <f t="shared" si="1"/>
        <v>0</v>
      </c>
      <c r="F9" s="130">
        <f t="shared" si="1"/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 t="shared" si="1"/>
        <v>0</v>
      </c>
      <c r="L9" s="130">
        <f t="shared" si="1"/>
        <v>0</v>
      </c>
      <c r="M9" s="130">
        <f t="shared" si="1"/>
        <v>0</v>
      </c>
      <c r="N9" s="130">
        <f t="shared" si="1"/>
        <v>0</v>
      </c>
      <c r="O9" s="130">
        <f t="shared" si="1"/>
        <v>0</v>
      </c>
      <c r="P9" s="130">
        <f t="shared" si="1"/>
        <v>0</v>
      </c>
      <c r="Q9" s="130">
        <f t="shared" si="1"/>
        <v>0</v>
      </c>
      <c r="R9" s="130">
        <f t="shared" si="1"/>
        <v>0</v>
      </c>
      <c r="S9" s="130">
        <f t="shared" si="1"/>
        <v>0</v>
      </c>
      <c r="T9" s="130">
        <f t="shared" si="1"/>
        <v>0</v>
      </c>
      <c r="U9" s="130">
        <f t="shared" si="1"/>
        <v>0</v>
      </c>
      <c r="V9" s="130">
        <f t="shared" si="1"/>
        <v>0</v>
      </c>
      <c r="W9" s="130">
        <f t="shared" si="1"/>
        <v>0</v>
      </c>
      <c r="X9" s="130">
        <f t="shared" si="1"/>
        <v>0</v>
      </c>
      <c r="Y9" s="130">
        <f t="shared" si="1"/>
        <v>0</v>
      </c>
      <c r="Z9" s="130">
        <f t="shared" si="1"/>
        <v>0</v>
      </c>
      <c r="AA9" s="130">
        <f>AA10+AA27</f>
        <v>0</v>
      </c>
      <c r="AB9" s="131">
        <f t="shared" ref="AB9:AB40" si="2">IF(D9=0,1,AA9/D9-1)</f>
        <v>1</v>
      </c>
      <c r="AC9" s="130">
        <f t="shared" ref="AC9:AE9" si="3">AC10+AC27</f>
        <v>0</v>
      </c>
      <c r="AD9" s="130">
        <f t="shared" si="3"/>
        <v>0</v>
      </c>
      <c r="AE9" s="130">
        <f t="shared" si="3"/>
        <v>0</v>
      </c>
      <c r="AF9" s="131">
        <f t="shared" ref="AF9:AF40" si="4">IF(G9=0,1,AE9/G9-1)</f>
        <v>1</v>
      </c>
      <c r="AG9" s="130">
        <f t="shared" ref="AG9:BF9" si="5">AG10+AG27</f>
        <v>0</v>
      </c>
      <c r="AH9" s="130">
        <f t="shared" si="5"/>
        <v>0</v>
      </c>
      <c r="AI9" s="131">
        <f t="shared" ref="AI9:AI40" si="6">IF(I9=0,1,AH9/I9-1)</f>
        <v>1</v>
      </c>
      <c r="AJ9" s="130">
        <f t="shared" ref="AJ9" si="7">AJ10+AJ27</f>
        <v>0</v>
      </c>
      <c r="AK9" s="130">
        <f t="shared" si="5"/>
        <v>0</v>
      </c>
      <c r="AL9" s="131">
        <f t="shared" ref="AL9:AL40" si="8">IF(K9=0,1,AK9/K9-1)</f>
        <v>1</v>
      </c>
      <c r="AM9" s="130">
        <f t="shared" ref="AM9" si="9">AM10+AM27</f>
        <v>0</v>
      </c>
      <c r="AN9" s="130">
        <f t="shared" si="5"/>
        <v>0</v>
      </c>
      <c r="AO9" s="131">
        <f t="shared" ref="AO9:AO40" si="10">IF(M9=0,1,AN9/M9-1)</f>
        <v>1</v>
      </c>
      <c r="AP9" s="130">
        <f t="shared" ref="AP9" si="11">AP10+AP27</f>
        <v>0</v>
      </c>
      <c r="AQ9" s="130">
        <f t="shared" si="5"/>
        <v>0</v>
      </c>
      <c r="AR9" s="131">
        <f t="shared" ref="AR9:AR40" si="12">IF(O9=0,1,AQ9/O9-1)</f>
        <v>1</v>
      </c>
      <c r="AS9" s="130">
        <f t="shared" ref="AS9" si="13">AS10+AS27</f>
        <v>0</v>
      </c>
      <c r="AT9" s="130">
        <f t="shared" si="5"/>
        <v>0</v>
      </c>
      <c r="AU9" s="131">
        <f t="shared" ref="AU9:AU40" si="14">IF(Q9=0,1,AT9/Q9-1)</f>
        <v>1</v>
      </c>
      <c r="AV9" s="130">
        <f t="shared" ref="AV9" si="15">AV10+AV27</f>
        <v>0</v>
      </c>
      <c r="AW9" s="130">
        <f t="shared" si="5"/>
        <v>0</v>
      </c>
      <c r="AX9" s="131">
        <f t="shared" ref="AX9:AX40" si="16">IF(S9=0,1,AW9/S9-1)</f>
        <v>1</v>
      </c>
      <c r="AY9" s="130">
        <f t="shared" ref="AY9" si="17">AY10+AY27</f>
        <v>0</v>
      </c>
      <c r="AZ9" s="130">
        <f t="shared" si="5"/>
        <v>0</v>
      </c>
      <c r="BA9" s="131">
        <f t="shared" ref="BA9:BA40" si="18">IF(U9=0,1,AZ9/U9-1)</f>
        <v>1</v>
      </c>
      <c r="BB9" s="130">
        <f t="shared" ref="BB9" si="19">BB10+BB27</f>
        <v>0</v>
      </c>
      <c r="BC9" s="130">
        <f t="shared" si="5"/>
        <v>0</v>
      </c>
      <c r="BD9" s="131">
        <f t="shared" ref="BD9:BD40" si="20">IF(W9=0,1,BC9/W9-1)</f>
        <v>1</v>
      </c>
      <c r="BE9" s="130">
        <f t="shared" ref="BE9" si="21">BE10+BE27</f>
        <v>0</v>
      </c>
      <c r="BF9" s="130">
        <f t="shared" si="5"/>
        <v>0</v>
      </c>
      <c r="BG9" s="131">
        <f t="shared" ref="BG9:BG40" si="22">IF(Y9=0,1,BF9/Y9-1)</f>
        <v>1</v>
      </c>
      <c r="BH9" s="130">
        <f t="shared" ref="BH9" si="23">BH10+BH27</f>
        <v>0</v>
      </c>
      <c r="BI9" s="130">
        <f>BI10+BI27</f>
        <v>0</v>
      </c>
      <c r="BJ9" s="130">
        <f>BJ10+BJ27</f>
        <v>0</v>
      </c>
      <c r="BK9" s="131">
        <f>IF($AA$9=0,1,BJ9/$AA$9-1)</f>
        <v>1</v>
      </c>
      <c r="BL9" s="131">
        <f t="shared" ref="BL9:BL63" si="24">IF($D9=0,1,BJ9/$D9-1)</f>
        <v>1</v>
      </c>
      <c r="BM9" s="165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</row>
    <row r="10" spans="1:206" s="59" customFormat="1" ht="18" customHeight="1">
      <c r="A10" s="437" t="s">
        <v>30</v>
      </c>
      <c r="B10" s="437"/>
      <c r="C10" s="132">
        <f t="shared" ref="C10" si="25">C11+C13+C14+C15+C16+C17+C18+C19+C20+C21+C22+C23+C25+C26+C24</f>
        <v>0</v>
      </c>
      <c r="D10" s="132">
        <f t="shared" ref="D10" si="26">D11+D13+D14+D15+D16+D17+D18+D19+D20+D21+D22+D23+D25+D26+D24</f>
        <v>0</v>
      </c>
      <c r="E10" s="132">
        <f t="shared" ref="E10:F10" si="27">E11+E13+E14+E15+E16+E17+E18+E19+E20+E21+E22+E23+E25+E26+E24</f>
        <v>0</v>
      </c>
      <c r="F10" s="132">
        <f t="shared" si="27"/>
        <v>0</v>
      </c>
      <c r="G10" s="132">
        <f t="shared" ref="G10" si="28">G11+G13+G14+G15+G16+G17+G18+G19+G20+G21+G22+G23+G25+G26+G24</f>
        <v>0</v>
      </c>
      <c r="H10" s="132">
        <f t="shared" ref="H10" si="29">H11+H13+H14+H15+H16+H17+H18+H19+H20+H21+H22+H23+H25+H26+H24</f>
        <v>0</v>
      </c>
      <c r="I10" s="132">
        <f t="shared" ref="I10" si="30">I11+I13+I14+I15+I16+I17+I18+I19+I20+I21+I22+I23+I25+I26+I24</f>
        <v>0</v>
      </c>
      <c r="J10" s="132">
        <f t="shared" ref="J10" si="31">J11+J13+J14+J15+J16+J17+J18+J19+J20+J21+J22+J23+J25+J26+J24</f>
        <v>0</v>
      </c>
      <c r="K10" s="132">
        <f t="shared" ref="K10" si="32">K11+K13+K14+K15+K16+K17+K18+K19+K20+K21+K22+K23+K25+K26+K24</f>
        <v>0</v>
      </c>
      <c r="L10" s="132">
        <f t="shared" ref="L10" si="33">L11+L13+L14+L15+L16+L17+L18+L19+L20+L21+L22+L23+L25+L26+L24</f>
        <v>0</v>
      </c>
      <c r="M10" s="132">
        <f t="shared" ref="M10" si="34">M11+M13+M14+M15+M16+M17+M18+M19+M20+M21+M22+M23+M25+M26+M24</f>
        <v>0</v>
      </c>
      <c r="N10" s="132">
        <f t="shared" ref="N10" si="35">N11+N13+N14+N15+N16+N17+N18+N19+N20+N21+N22+N23+N25+N26+N24</f>
        <v>0</v>
      </c>
      <c r="O10" s="132">
        <f t="shared" ref="O10" si="36">O11+O13+O14+O15+O16+O17+O18+O19+O20+O21+O22+O23+O25+O26+O24</f>
        <v>0</v>
      </c>
      <c r="P10" s="132">
        <f t="shared" ref="P10" si="37">P11+P13+P14+P15+P16+P17+P18+P19+P20+P21+P22+P23+P25+P26+P24</f>
        <v>0</v>
      </c>
      <c r="Q10" s="132">
        <f t="shared" ref="Q10" si="38">Q11+Q13+Q14+Q15+Q16+Q17+Q18+Q19+Q20+Q21+Q22+Q23+Q25+Q26+Q24</f>
        <v>0</v>
      </c>
      <c r="R10" s="132">
        <f t="shared" ref="R10" si="39">R11+R13+R14+R15+R16+R17+R18+R19+R20+R21+R22+R23+R25+R26+R24</f>
        <v>0</v>
      </c>
      <c r="S10" s="132">
        <f t="shared" ref="S10" si="40">S11+S13+S14+S15+S16+S17+S18+S19+S20+S21+S22+S23+S25+S26+S24</f>
        <v>0</v>
      </c>
      <c r="T10" s="132">
        <f t="shared" ref="T10" si="41">T11+T13+T14+T15+T16+T17+T18+T19+T20+T21+T22+T23+T25+T26+T24</f>
        <v>0</v>
      </c>
      <c r="U10" s="132">
        <f t="shared" ref="U10" si="42">U11+U13+U14+U15+U16+U17+U18+U19+U20+U21+U22+U23+U25+U26+U24</f>
        <v>0</v>
      </c>
      <c r="V10" s="132">
        <f t="shared" ref="V10" si="43">V11+V13+V14+V15+V16+V17+V18+V19+V20+V21+V22+V23+V25+V26+V24</f>
        <v>0</v>
      </c>
      <c r="W10" s="132">
        <f t="shared" ref="W10" si="44">W11+W13+W14+W15+W16+W17+W18+W19+W20+W21+W22+W23+W25+W26+W24</f>
        <v>0</v>
      </c>
      <c r="X10" s="132">
        <f t="shared" ref="X10" si="45">X11+X13+X14+X15+X16+X17+X18+X19+X20+X21+X22+X23+X25+X26+X24</f>
        <v>0</v>
      </c>
      <c r="Y10" s="132">
        <f t="shared" ref="Y10" si="46">Y11+Y13+Y14+Y15+Y16+Y17+Y18+Y19+Y20+Y21+Y22+Y23+Y25+Y26+Y24</f>
        <v>0</v>
      </c>
      <c r="Z10" s="132">
        <f t="shared" ref="Z10" si="47">Z11+Z13+Z14+Z15+Z16+Z17+Z18+Z19+Z20+Z21+Z22+Z23+Z25+Z26+Z24</f>
        <v>0</v>
      </c>
      <c r="AA10" s="132">
        <f t="shared" ref="AA10" si="48">AA11+AA13+AA14+AA15+AA16+AA17+AA18+AA19+AA20+AA21+AA22+AA23+AA25+AA26+AA24</f>
        <v>0</v>
      </c>
      <c r="AB10" s="133">
        <f t="shared" si="2"/>
        <v>1</v>
      </c>
      <c r="AC10" s="132">
        <f t="shared" ref="AC10" si="49">AC11+AC13+AC14+AC15+AC16+AC17+AC18+AC19+AC20+AC21+AC22+AC23+AC25+AC26+AC24</f>
        <v>0</v>
      </c>
      <c r="AD10" s="132">
        <f t="shared" ref="AD10" si="50">AD11+AD13+AD14+AD15+AD16+AD17+AD18+AD19+AD20+AD21+AD22+AD23+AD25+AD26+AD24</f>
        <v>0</v>
      </c>
      <c r="AE10" s="132">
        <f t="shared" ref="AE10:BI10" si="51">AE11+AE13+AE14+AE15+AE16+AE17+AE18+AE19+AE20+AE21+AE22+AE23+AE25+AE26+AE24</f>
        <v>0</v>
      </c>
      <c r="AF10" s="133">
        <f t="shared" si="4"/>
        <v>1</v>
      </c>
      <c r="AG10" s="132">
        <f t="shared" ref="AG10" si="52">AG11+AG13+AG14+AG15+AG16+AG17+AG18+AG19+AG20+AG21+AG22+AG23+AG25+AG26+AG24</f>
        <v>0</v>
      </c>
      <c r="AH10" s="132">
        <f t="shared" si="51"/>
        <v>0</v>
      </c>
      <c r="AI10" s="133">
        <f t="shared" si="6"/>
        <v>1</v>
      </c>
      <c r="AJ10" s="132">
        <f t="shared" ref="AJ10" si="53">AJ11+AJ13+AJ14+AJ15+AJ16+AJ17+AJ18+AJ19+AJ20+AJ21+AJ22+AJ23+AJ25+AJ26+AJ24</f>
        <v>0</v>
      </c>
      <c r="AK10" s="132">
        <f t="shared" si="51"/>
        <v>0</v>
      </c>
      <c r="AL10" s="133">
        <f t="shared" si="8"/>
        <v>1</v>
      </c>
      <c r="AM10" s="132">
        <f t="shared" ref="AM10" si="54">AM11+AM13+AM14+AM15+AM16+AM17+AM18+AM19+AM20+AM21+AM22+AM23+AM25+AM26+AM24</f>
        <v>0</v>
      </c>
      <c r="AN10" s="132">
        <f t="shared" si="51"/>
        <v>0</v>
      </c>
      <c r="AO10" s="133">
        <f t="shared" si="10"/>
        <v>1</v>
      </c>
      <c r="AP10" s="132">
        <f t="shared" ref="AP10" si="55">AP11+AP13+AP14+AP15+AP16+AP17+AP18+AP19+AP20+AP21+AP22+AP23+AP25+AP26+AP24</f>
        <v>0</v>
      </c>
      <c r="AQ10" s="132">
        <f t="shared" si="51"/>
        <v>0</v>
      </c>
      <c r="AR10" s="133">
        <f t="shared" si="12"/>
        <v>1</v>
      </c>
      <c r="AS10" s="132">
        <f t="shared" ref="AS10" si="56">AS11+AS13+AS14+AS15+AS16+AS17+AS18+AS19+AS20+AS21+AS22+AS23+AS25+AS26+AS24</f>
        <v>0</v>
      </c>
      <c r="AT10" s="132">
        <f t="shared" si="51"/>
        <v>0</v>
      </c>
      <c r="AU10" s="133">
        <f t="shared" si="14"/>
        <v>1</v>
      </c>
      <c r="AV10" s="132">
        <f t="shared" ref="AV10" si="57">AV11+AV13+AV14+AV15+AV16+AV17+AV18+AV19+AV20+AV21+AV22+AV23+AV25+AV26+AV24</f>
        <v>0</v>
      </c>
      <c r="AW10" s="132">
        <f t="shared" si="51"/>
        <v>0</v>
      </c>
      <c r="AX10" s="133">
        <f t="shared" si="16"/>
        <v>1</v>
      </c>
      <c r="AY10" s="132">
        <f t="shared" ref="AY10" si="58">AY11+AY13+AY14+AY15+AY16+AY17+AY18+AY19+AY20+AY21+AY22+AY23+AY25+AY26+AY24</f>
        <v>0</v>
      </c>
      <c r="AZ10" s="132">
        <f t="shared" si="51"/>
        <v>0</v>
      </c>
      <c r="BA10" s="133">
        <f t="shared" si="18"/>
        <v>1</v>
      </c>
      <c r="BB10" s="132">
        <f t="shared" ref="BB10" si="59">BB11+BB13+BB14+BB15+BB16+BB17+BB18+BB19+BB20+BB21+BB22+BB23+BB25+BB26+BB24</f>
        <v>0</v>
      </c>
      <c r="BC10" s="132">
        <f t="shared" si="51"/>
        <v>0</v>
      </c>
      <c r="BD10" s="133">
        <f t="shared" si="20"/>
        <v>1</v>
      </c>
      <c r="BE10" s="132">
        <f t="shared" ref="BE10" si="60">BE11+BE13+BE14+BE15+BE16+BE17+BE18+BE19+BE20+BE21+BE22+BE23+BE25+BE26+BE24</f>
        <v>0</v>
      </c>
      <c r="BF10" s="132">
        <f t="shared" si="51"/>
        <v>0</v>
      </c>
      <c r="BG10" s="133">
        <f t="shared" si="22"/>
        <v>1</v>
      </c>
      <c r="BH10" s="132">
        <f t="shared" ref="BH10" si="61">BH11+BH13+BH14+BH15+BH16+BH17+BH18+BH19+BH20+BH21+BH22+BH23+BH25+BH26+BH24</f>
        <v>0</v>
      </c>
      <c r="BI10" s="132">
        <f t="shared" si="51"/>
        <v>0</v>
      </c>
      <c r="BJ10" s="132">
        <f t="shared" ref="BJ10" si="62">BJ11+BJ13+BJ14+BJ15+BJ16+BJ17+BJ18+BJ19+BJ20+BJ21+BJ22+BJ23+BJ25+BJ26+BJ24</f>
        <v>0</v>
      </c>
      <c r="BK10" s="133">
        <f>IF($AA$10=0,1,BJ10/$AA$10-1)</f>
        <v>1</v>
      </c>
      <c r="BL10" s="133">
        <f t="shared" si="24"/>
        <v>1</v>
      </c>
      <c r="BM10" s="166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</row>
    <row r="11" spans="1:206" s="62" customFormat="1" ht="18" customHeight="1">
      <c r="A11" s="436" t="s">
        <v>31</v>
      </c>
      <c r="B11" s="436"/>
      <c r="C11" s="26"/>
      <c r="D11" s="134">
        <f t="shared" ref="D11:D26" si="63">E11+F11+H11+J11+L11+N11+P11+R11+T11+V11+X11+Z11</f>
        <v>0</v>
      </c>
      <c r="E11" s="26"/>
      <c r="F11" s="26"/>
      <c r="G11" s="134">
        <f t="shared" ref="G11:G26" si="64">E11+F11</f>
        <v>0</v>
      </c>
      <c r="H11" s="26"/>
      <c r="I11" s="134">
        <f t="shared" ref="I11:I26" si="65">G11+H11</f>
        <v>0</v>
      </c>
      <c r="J11" s="26"/>
      <c r="K11" s="134">
        <f t="shared" ref="K11:K26" si="66">I11+J11</f>
        <v>0</v>
      </c>
      <c r="L11" s="26"/>
      <c r="M11" s="134">
        <f t="shared" ref="M11:M26" si="67">K11+L11</f>
        <v>0</v>
      </c>
      <c r="N11" s="26"/>
      <c r="O11" s="134">
        <f t="shared" ref="O11:O26" si="68">M11+N11</f>
        <v>0</v>
      </c>
      <c r="P11" s="26"/>
      <c r="Q11" s="134">
        <f t="shared" ref="Q11:Q26" si="69">O11+P11</f>
        <v>0</v>
      </c>
      <c r="R11" s="26"/>
      <c r="S11" s="134">
        <f t="shared" ref="S11:S26" si="70">Q11+R11</f>
        <v>0</v>
      </c>
      <c r="T11" s="26"/>
      <c r="U11" s="134">
        <f t="shared" ref="U11:U26" si="71">S11+T11</f>
        <v>0</v>
      </c>
      <c r="V11" s="26"/>
      <c r="W11" s="134">
        <f t="shared" ref="W11:W26" si="72">U11+V11</f>
        <v>0</v>
      </c>
      <c r="X11" s="26"/>
      <c r="Y11" s="134">
        <f t="shared" ref="Y11:Y26" si="73">W11+X11</f>
        <v>0</v>
      </c>
      <c r="Z11" s="26"/>
      <c r="AA11" s="26"/>
      <c r="AB11" s="135">
        <f t="shared" si="2"/>
        <v>1</v>
      </c>
      <c r="AC11" s="26"/>
      <c r="AD11" s="26"/>
      <c r="AE11" s="134">
        <f t="shared" ref="AE11:AE26" si="74">AC11+AD11</f>
        <v>0</v>
      </c>
      <c r="AF11" s="135">
        <f t="shared" si="4"/>
        <v>1</v>
      </c>
      <c r="AG11" s="26"/>
      <c r="AH11" s="134">
        <f t="shared" ref="AH11:AH26" si="75">AE11+AG11</f>
        <v>0</v>
      </c>
      <c r="AI11" s="135">
        <f t="shared" si="6"/>
        <v>1</v>
      </c>
      <c r="AJ11" s="26"/>
      <c r="AK11" s="134">
        <f t="shared" ref="AK11:AK26" si="76">AH11+AJ11</f>
        <v>0</v>
      </c>
      <c r="AL11" s="135">
        <f t="shared" si="8"/>
        <v>1</v>
      </c>
      <c r="AM11" s="26"/>
      <c r="AN11" s="134">
        <f t="shared" ref="AN11:AN26" si="77">AK11+AM11</f>
        <v>0</v>
      </c>
      <c r="AO11" s="135">
        <f t="shared" si="10"/>
        <v>1</v>
      </c>
      <c r="AP11" s="26"/>
      <c r="AQ11" s="134">
        <f t="shared" ref="AQ11:AQ26" si="78">AN11+AP11</f>
        <v>0</v>
      </c>
      <c r="AR11" s="135">
        <f t="shared" si="12"/>
        <v>1</v>
      </c>
      <c r="AS11" s="26"/>
      <c r="AT11" s="134">
        <f t="shared" ref="AT11:AT26" si="79">AQ11+AS11</f>
        <v>0</v>
      </c>
      <c r="AU11" s="135">
        <f t="shared" si="14"/>
        <v>1</v>
      </c>
      <c r="AV11" s="26"/>
      <c r="AW11" s="134">
        <f t="shared" ref="AW11:AW26" si="80">AT11+AV11</f>
        <v>0</v>
      </c>
      <c r="AX11" s="135">
        <f t="shared" si="16"/>
        <v>1</v>
      </c>
      <c r="AY11" s="26"/>
      <c r="AZ11" s="134">
        <f t="shared" ref="AZ11:AZ26" si="81">AW11+AY11</f>
        <v>0</v>
      </c>
      <c r="BA11" s="135">
        <f t="shared" si="18"/>
        <v>1</v>
      </c>
      <c r="BB11" s="26"/>
      <c r="BC11" s="134">
        <f t="shared" ref="BC11:BC26" si="82">AZ11+BB11</f>
        <v>0</v>
      </c>
      <c r="BD11" s="135">
        <f t="shared" si="20"/>
        <v>1</v>
      </c>
      <c r="BE11" s="26"/>
      <c r="BF11" s="134">
        <f t="shared" ref="BF11:BF26" si="83">BC11+BE11</f>
        <v>0</v>
      </c>
      <c r="BG11" s="135">
        <f t="shared" si="22"/>
        <v>1</v>
      </c>
      <c r="BH11" s="134"/>
      <c r="BI11" s="26"/>
      <c r="BJ11" s="134"/>
      <c r="BK11" s="135">
        <f>IF($AA$11=0,1,BJ11/$AA$11-1)</f>
        <v>1</v>
      </c>
      <c r="BL11" s="135">
        <f t="shared" si="24"/>
        <v>1</v>
      </c>
      <c r="BM11" s="167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</row>
    <row r="12" spans="1:206" s="62" customFormat="1" ht="18" hidden="1" customHeight="1">
      <c r="A12" s="186" t="s">
        <v>130</v>
      </c>
      <c r="B12" s="187" t="s">
        <v>128</v>
      </c>
      <c r="C12" s="26"/>
      <c r="D12" s="134">
        <f t="shared" si="63"/>
        <v>0</v>
      </c>
      <c r="E12" s="26"/>
      <c r="F12" s="26"/>
      <c r="G12" s="134">
        <f t="shared" si="64"/>
        <v>0</v>
      </c>
      <c r="H12" s="26"/>
      <c r="I12" s="134">
        <f t="shared" si="65"/>
        <v>0</v>
      </c>
      <c r="J12" s="26"/>
      <c r="K12" s="134">
        <f t="shared" si="66"/>
        <v>0</v>
      </c>
      <c r="L12" s="26"/>
      <c r="M12" s="134">
        <f t="shared" si="67"/>
        <v>0</v>
      </c>
      <c r="N12" s="26"/>
      <c r="O12" s="134">
        <f t="shared" si="68"/>
        <v>0</v>
      </c>
      <c r="P12" s="26"/>
      <c r="Q12" s="134">
        <f t="shared" si="69"/>
        <v>0</v>
      </c>
      <c r="R12" s="26"/>
      <c r="S12" s="134">
        <f t="shared" si="70"/>
        <v>0</v>
      </c>
      <c r="T12" s="26"/>
      <c r="U12" s="134">
        <f t="shared" si="71"/>
        <v>0</v>
      </c>
      <c r="V12" s="26"/>
      <c r="W12" s="134">
        <f t="shared" si="72"/>
        <v>0</v>
      </c>
      <c r="X12" s="26"/>
      <c r="Y12" s="134">
        <f t="shared" si="73"/>
        <v>0</v>
      </c>
      <c r="Z12" s="26"/>
      <c r="AA12" s="26">
        <f>AA11*$B$12/(43+$B$12)</f>
        <v>0</v>
      </c>
      <c r="AB12" s="135">
        <f t="shared" si="2"/>
        <v>1</v>
      </c>
      <c r="AC12" s="26">
        <f>AC11*$B$12/(43+$B$12)</f>
        <v>0</v>
      </c>
      <c r="AD12" s="26">
        <f>AD11*$B$12/(43+$B$12)</f>
        <v>0</v>
      </c>
      <c r="AE12" s="134">
        <f t="shared" si="74"/>
        <v>0</v>
      </c>
      <c r="AF12" s="135">
        <f t="shared" si="4"/>
        <v>1</v>
      </c>
      <c r="AG12" s="26">
        <f>AG11*$B$12/(43+$B$12)</f>
        <v>0</v>
      </c>
      <c r="AH12" s="134">
        <f t="shared" si="75"/>
        <v>0</v>
      </c>
      <c r="AI12" s="135">
        <f t="shared" si="6"/>
        <v>1</v>
      </c>
      <c r="AJ12" s="26">
        <f>AJ11*$B$12/(43+$B$12)</f>
        <v>0</v>
      </c>
      <c r="AK12" s="134">
        <f t="shared" si="76"/>
        <v>0</v>
      </c>
      <c r="AL12" s="135">
        <f t="shared" si="8"/>
        <v>1</v>
      </c>
      <c r="AM12" s="26">
        <f>AM11*$B$12/(43+$B$12)</f>
        <v>0</v>
      </c>
      <c r="AN12" s="134">
        <f t="shared" si="77"/>
        <v>0</v>
      </c>
      <c r="AO12" s="135">
        <f t="shared" si="10"/>
        <v>1</v>
      </c>
      <c r="AP12" s="26">
        <f>AP11*$B$12/(43+$B$12)</f>
        <v>0</v>
      </c>
      <c r="AQ12" s="134">
        <f t="shared" si="78"/>
        <v>0</v>
      </c>
      <c r="AR12" s="135">
        <f t="shared" si="12"/>
        <v>1</v>
      </c>
      <c r="AS12" s="26">
        <f>AS11*$B$12/(43+$B$12)</f>
        <v>0</v>
      </c>
      <c r="AT12" s="134">
        <f t="shared" si="79"/>
        <v>0</v>
      </c>
      <c r="AU12" s="135">
        <f t="shared" si="14"/>
        <v>1</v>
      </c>
      <c r="AV12" s="26">
        <f>AV11*$B$12/(43+$B$12)</f>
        <v>0</v>
      </c>
      <c r="AW12" s="134">
        <f t="shared" si="80"/>
        <v>0</v>
      </c>
      <c r="AX12" s="135">
        <f t="shared" si="16"/>
        <v>1</v>
      </c>
      <c r="AY12" s="26">
        <f>AY11*$B$12/(43+$B$12)</f>
        <v>0</v>
      </c>
      <c r="AZ12" s="134">
        <f t="shared" si="81"/>
        <v>0</v>
      </c>
      <c r="BA12" s="135">
        <f t="shared" si="18"/>
        <v>1</v>
      </c>
      <c r="BB12" s="26">
        <f>BB11*$B$12/(43+$B$12)</f>
        <v>0</v>
      </c>
      <c r="BC12" s="134">
        <f t="shared" si="82"/>
        <v>0</v>
      </c>
      <c r="BD12" s="135">
        <f t="shared" si="20"/>
        <v>1</v>
      </c>
      <c r="BE12" s="26">
        <f>BE11*$B$12/(43+$B$12)</f>
        <v>0</v>
      </c>
      <c r="BF12" s="134">
        <f t="shared" si="83"/>
        <v>0</v>
      </c>
      <c r="BG12" s="135">
        <f t="shared" si="22"/>
        <v>1</v>
      </c>
      <c r="BH12" s="134">
        <f>BH11*$B$12/(43+$B$12)</f>
        <v>0</v>
      </c>
      <c r="BI12" s="134">
        <f>BI11*$B$12/(43+$B$12)</f>
        <v>0</v>
      </c>
      <c r="BJ12" s="134">
        <f>BJ11*$B$12/(43+$B$12)</f>
        <v>0</v>
      </c>
      <c r="BK12" s="135">
        <f>IF($AA$12=0,1,BJ12/$AA$12-1)</f>
        <v>1</v>
      </c>
      <c r="BL12" s="135">
        <f t="shared" si="24"/>
        <v>1</v>
      </c>
      <c r="BM12" s="167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</row>
    <row r="13" spans="1:206" s="62" customFormat="1" ht="18" customHeight="1">
      <c r="A13" s="436" t="s">
        <v>32</v>
      </c>
      <c r="B13" s="436"/>
      <c r="C13" s="26"/>
      <c r="D13" s="134">
        <f t="shared" si="63"/>
        <v>0</v>
      </c>
      <c r="E13" s="26"/>
      <c r="F13" s="26"/>
      <c r="G13" s="134">
        <f t="shared" si="64"/>
        <v>0</v>
      </c>
      <c r="H13" s="26"/>
      <c r="I13" s="134">
        <f t="shared" si="65"/>
        <v>0</v>
      </c>
      <c r="J13" s="26"/>
      <c r="K13" s="134">
        <f t="shared" si="66"/>
        <v>0</v>
      </c>
      <c r="L13" s="26"/>
      <c r="M13" s="134">
        <f t="shared" si="67"/>
        <v>0</v>
      </c>
      <c r="N13" s="26"/>
      <c r="O13" s="134">
        <f t="shared" si="68"/>
        <v>0</v>
      </c>
      <c r="P13" s="26"/>
      <c r="Q13" s="134">
        <f t="shared" si="69"/>
        <v>0</v>
      </c>
      <c r="R13" s="26"/>
      <c r="S13" s="134">
        <f t="shared" si="70"/>
        <v>0</v>
      </c>
      <c r="T13" s="26"/>
      <c r="U13" s="134">
        <f t="shared" si="71"/>
        <v>0</v>
      </c>
      <c r="V13" s="26"/>
      <c r="W13" s="134">
        <f t="shared" si="72"/>
        <v>0</v>
      </c>
      <c r="X13" s="26"/>
      <c r="Y13" s="134">
        <f t="shared" si="73"/>
        <v>0</v>
      </c>
      <c r="Z13" s="26"/>
      <c r="AA13" s="26"/>
      <c r="AB13" s="135">
        <f t="shared" si="2"/>
        <v>1</v>
      </c>
      <c r="AC13" s="26"/>
      <c r="AD13" s="26"/>
      <c r="AE13" s="134">
        <f t="shared" si="74"/>
        <v>0</v>
      </c>
      <c r="AF13" s="135">
        <f t="shared" si="4"/>
        <v>1</v>
      </c>
      <c r="AG13" s="26"/>
      <c r="AH13" s="134">
        <f t="shared" si="75"/>
        <v>0</v>
      </c>
      <c r="AI13" s="135">
        <f t="shared" si="6"/>
        <v>1</v>
      </c>
      <c r="AJ13" s="26"/>
      <c r="AK13" s="134">
        <f t="shared" si="76"/>
        <v>0</v>
      </c>
      <c r="AL13" s="135">
        <f t="shared" si="8"/>
        <v>1</v>
      </c>
      <c r="AM13" s="26"/>
      <c r="AN13" s="134">
        <f t="shared" si="77"/>
        <v>0</v>
      </c>
      <c r="AO13" s="135">
        <f t="shared" si="10"/>
        <v>1</v>
      </c>
      <c r="AP13" s="26"/>
      <c r="AQ13" s="134">
        <f t="shared" si="78"/>
        <v>0</v>
      </c>
      <c r="AR13" s="135">
        <f t="shared" si="12"/>
        <v>1</v>
      </c>
      <c r="AS13" s="26"/>
      <c r="AT13" s="134">
        <f t="shared" si="79"/>
        <v>0</v>
      </c>
      <c r="AU13" s="135">
        <f t="shared" si="14"/>
        <v>1</v>
      </c>
      <c r="AV13" s="26"/>
      <c r="AW13" s="134">
        <f t="shared" si="80"/>
        <v>0</v>
      </c>
      <c r="AX13" s="135">
        <f t="shared" si="16"/>
        <v>1</v>
      </c>
      <c r="AY13" s="26"/>
      <c r="AZ13" s="134">
        <f t="shared" si="81"/>
        <v>0</v>
      </c>
      <c r="BA13" s="135">
        <f t="shared" si="18"/>
        <v>1</v>
      </c>
      <c r="BB13" s="26"/>
      <c r="BC13" s="134">
        <f t="shared" si="82"/>
        <v>0</v>
      </c>
      <c r="BD13" s="135">
        <f t="shared" si="20"/>
        <v>1</v>
      </c>
      <c r="BE13" s="26"/>
      <c r="BF13" s="134">
        <f t="shared" si="83"/>
        <v>0</v>
      </c>
      <c r="BG13" s="135">
        <f t="shared" si="22"/>
        <v>1</v>
      </c>
      <c r="BH13" s="134"/>
      <c r="BI13" s="26"/>
      <c r="BJ13" s="26"/>
      <c r="BK13" s="135">
        <f>IF($AA$13=0,1,BJ13/$AA$13-1)</f>
        <v>1</v>
      </c>
      <c r="BL13" s="135">
        <f t="shared" si="24"/>
        <v>1</v>
      </c>
      <c r="BM13" s="167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</row>
    <row r="14" spans="1:206" s="62" customFormat="1" ht="18" customHeight="1">
      <c r="A14" s="436" t="s">
        <v>80</v>
      </c>
      <c r="B14" s="436"/>
      <c r="C14" s="26"/>
      <c r="D14" s="134">
        <f t="shared" si="63"/>
        <v>0</v>
      </c>
      <c r="E14" s="26"/>
      <c r="F14" s="26"/>
      <c r="G14" s="134">
        <f t="shared" si="64"/>
        <v>0</v>
      </c>
      <c r="H14" s="26"/>
      <c r="I14" s="134">
        <f t="shared" si="65"/>
        <v>0</v>
      </c>
      <c r="J14" s="26"/>
      <c r="K14" s="134">
        <f t="shared" si="66"/>
        <v>0</v>
      </c>
      <c r="L14" s="26"/>
      <c r="M14" s="134">
        <f t="shared" si="67"/>
        <v>0</v>
      </c>
      <c r="N14" s="26"/>
      <c r="O14" s="134">
        <f t="shared" si="68"/>
        <v>0</v>
      </c>
      <c r="P14" s="26"/>
      <c r="Q14" s="134">
        <f t="shared" si="69"/>
        <v>0</v>
      </c>
      <c r="R14" s="26"/>
      <c r="S14" s="134">
        <f t="shared" si="70"/>
        <v>0</v>
      </c>
      <c r="T14" s="26"/>
      <c r="U14" s="134">
        <f t="shared" si="71"/>
        <v>0</v>
      </c>
      <c r="V14" s="26"/>
      <c r="W14" s="134">
        <f t="shared" si="72"/>
        <v>0</v>
      </c>
      <c r="X14" s="26"/>
      <c r="Y14" s="134">
        <f t="shared" si="73"/>
        <v>0</v>
      </c>
      <c r="Z14" s="26"/>
      <c r="AA14" s="26"/>
      <c r="AB14" s="135">
        <f t="shared" si="2"/>
        <v>1</v>
      </c>
      <c r="AC14" s="26"/>
      <c r="AD14" s="26"/>
      <c r="AE14" s="134">
        <f t="shared" si="74"/>
        <v>0</v>
      </c>
      <c r="AF14" s="135">
        <f t="shared" si="4"/>
        <v>1</v>
      </c>
      <c r="AG14" s="26"/>
      <c r="AH14" s="134">
        <f t="shared" si="75"/>
        <v>0</v>
      </c>
      <c r="AI14" s="135">
        <f t="shared" si="6"/>
        <v>1</v>
      </c>
      <c r="AJ14" s="26"/>
      <c r="AK14" s="134">
        <f t="shared" si="76"/>
        <v>0</v>
      </c>
      <c r="AL14" s="135">
        <f t="shared" si="8"/>
        <v>1</v>
      </c>
      <c r="AM14" s="26"/>
      <c r="AN14" s="134">
        <f t="shared" si="77"/>
        <v>0</v>
      </c>
      <c r="AO14" s="135">
        <f t="shared" si="10"/>
        <v>1</v>
      </c>
      <c r="AP14" s="26"/>
      <c r="AQ14" s="134">
        <f t="shared" si="78"/>
        <v>0</v>
      </c>
      <c r="AR14" s="135">
        <f t="shared" si="12"/>
        <v>1</v>
      </c>
      <c r="AS14" s="26"/>
      <c r="AT14" s="134">
        <f t="shared" si="79"/>
        <v>0</v>
      </c>
      <c r="AU14" s="135">
        <f t="shared" si="14"/>
        <v>1</v>
      </c>
      <c r="AV14" s="26"/>
      <c r="AW14" s="134">
        <f t="shared" si="80"/>
        <v>0</v>
      </c>
      <c r="AX14" s="135">
        <f t="shared" si="16"/>
        <v>1</v>
      </c>
      <c r="AY14" s="26"/>
      <c r="AZ14" s="134">
        <f t="shared" si="81"/>
        <v>0</v>
      </c>
      <c r="BA14" s="135">
        <f t="shared" si="18"/>
        <v>1</v>
      </c>
      <c r="BB14" s="26"/>
      <c r="BC14" s="134">
        <f t="shared" si="82"/>
        <v>0</v>
      </c>
      <c r="BD14" s="135">
        <f t="shared" si="20"/>
        <v>1</v>
      </c>
      <c r="BE14" s="26"/>
      <c r="BF14" s="134">
        <f t="shared" si="83"/>
        <v>0</v>
      </c>
      <c r="BG14" s="135">
        <f t="shared" si="22"/>
        <v>1</v>
      </c>
      <c r="BH14" s="134"/>
      <c r="BI14" s="26"/>
      <c r="BJ14" s="26"/>
      <c r="BK14" s="135">
        <f>IF($AA$14=0,1,BJ14/$AA$14-1)</f>
        <v>1</v>
      </c>
      <c r="BL14" s="135">
        <f t="shared" si="24"/>
        <v>1</v>
      </c>
      <c r="BM14" s="167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</row>
    <row r="15" spans="1:206" s="62" customFormat="1" ht="18" customHeight="1">
      <c r="A15" s="436" t="s">
        <v>33</v>
      </c>
      <c r="B15" s="436"/>
      <c r="C15" s="26"/>
      <c r="D15" s="134">
        <f t="shared" si="63"/>
        <v>0</v>
      </c>
      <c r="E15" s="26"/>
      <c r="F15" s="26"/>
      <c r="G15" s="134">
        <f t="shared" si="64"/>
        <v>0</v>
      </c>
      <c r="H15" s="26"/>
      <c r="I15" s="134">
        <f t="shared" si="65"/>
        <v>0</v>
      </c>
      <c r="J15" s="26"/>
      <c r="K15" s="134">
        <f t="shared" si="66"/>
        <v>0</v>
      </c>
      <c r="L15" s="26"/>
      <c r="M15" s="134">
        <f t="shared" si="67"/>
        <v>0</v>
      </c>
      <c r="N15" s="26"/>
      <c r="O15" s="134">
        <f t="shared" si="68"/>
        <v>0</v>
      </c>
      <c r="P15" s="26"/>
      <c r="Q15" s="134">
        <f t="shared" si="69"/>
        <v>0</v>
      </c>
      <c r="R15" s="26"/>
      <c r="S15" s="134">
        <f t="shared" si="70"/>
        <v>0</v>
      </c>
      <c r="T15" s="26"/>
      <c r="U15" s="134">
        <f t="shared" si="71"/>
        <v>0</v>
      </c>
      <c r="V15" s="26"/>
      <c r="W15" s="134">
        <f t="shared" si="72"/>
        <v>0</v>
      </c>
      <c r="X15" s="26"/>
      <c r="Y15" s="134">
        <f t="shared" si="73"/>
        <v>0</v>
      </c>
      <c r="Z15" s="26"/>
      <c r="AA15" s="26"/>
      <c r="AB15" s="135">
        <f t="shared" si="2"/>
        <v>1</v>
      </c>
      <c r="AC15" s="26"/>
      <c r="AD15" s="26"/>
      <c r="AE15" s="134">
        <f t="shared" si="74"/>
        <v>0</v>
      </c>
      <c r="AF15" s="135">
        <f t="shared" si="4"/>
        <v>1</v>
      </c>
      <c r="AG15" s="26"/>
      <c r="AH15" s="134">
        <f t="shared" si="75"/>
        <v>0</v>
      </c>
      <c r="AI15" s="135">
        <f t="shared" si="6"/>
        <v>1</v>
      </c>
      <c r="AJ15" s="26"/>
      <c r="AK15" s="134">
        <f t="shared" si="76"/>
        <v>0</v>
      </c>
      <c r="AL15" s="135">
        <f t="shared" si="8"/>
        <v>1</v>
      </c>
      <c r="AM15" s="26"/>
      <c r="AN15" s="134">
        <f t="shared" si="77"/>
        <v>0</v>
      </c>
      <c r="AO15" s="135">
        <f t="shared" si="10"/>
        <v>1</v>
      </c>
      <c r="AP15" s="26"/>
      <c r="AQ15" s="134">
        <f t="shared" si="78"/>
        <v>0</v>
      </c>
      <c r="AR15" s="135">
        <f t="shared" si="12"/>
        <v>1</v>
      </c>
      <c r="AS15" s="26"/>
      <c r="AT15" s="134">
        <f t="shared" si="79"/>
        <v>0</v>
      </c>
      <c r="AU15" s="135">
        <f t="shared" si="14"/>
        <v>1</v>
      </c>
      <c r="AV15" s="26"/>
      <c r="AW15" s="134">
        <f t="shared" si="80"/>
        <v>0</v>
      </c>
      <c r="AX15" s="135">
        <f t="shared" si="16"/>
        <v>1</v>
      </c>
      <c r="AY15" s="26"/>
      <c r="AZ15" s="134">
        <f t="shared" si="81"/>
        <v>0</v>
      </c>
      <c r="BA15" s="135">
        <f t="shared" si="18"/>
        <v>1</v>
      </c>
      <c r="BB15" s="26"/>
      <c r="BC15" s="134">
        <f t="shared" si="82"/>
        <v>0</v>
      </c>
      <c r="BD15" s="135">
        <f t="shared" si="20"/>
        <v>1</v>
      </c>
      <c r="BE15" s="26"/>
      <c r="BF15" s="134">
        <f t="shared" si="83"/>
        <v>0</v>
      </c>
      <c r="BG15" s="135">
        <f t="shared" si="22"/>
        <v>1</v>
      </c>
      <c r="BH15" s="134"/>
      <c r="BI15" s="26"/>
      <c r="BJ15" s="26"/>
      <c r="BK15" s="135">
        <f>IF($AA$15=0,1,BJ15/$AA$15-1)</f>
        <v>1</v>
      </c>
      <c r="BL15" s="135">
        <f t="shared" si="24"/>
        <v>1</v>
      </c>
      <c r="BM15" s="167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</row>
    <row r="16" spans="1:206" s="62" customFormat="1" ht="18" customHeight="1">
      <c r="A16" s="436" t="s">
        <v>35</v>
      </c>
      <c r="B16" s="436"/>
      <c r="C16" s="26"/>
      <c r="D16" s="134">
        <f t="shared" si="63"/>
        <v>0</v>
      </c>
      <c r="E16" s="26"/>
      <c r="F16" s="26"/>
      <c r="G16" s="134">
        <f t="shared" si="64"/>
        <v>0</v>
      </c>
      <c r="H16" s="26"/>
      <c r="I16" s="134">
        <f t="shared" si="65"/>
        <v>0</v>
      </c>
      <c r="J16" s="26"/>
      <c r="K16" s="134">
        <f t="shared" si="66"/>
        <v>0</v>
      </c>
      <c r="L16" s="26"/>
      <c r="M16" s="134">
        <f t="shared" si="67"/>
        <v>0</v>
      </c>
      <c r="N16" s="26"/>
      <c r="O16" s="134">
        <f t="shared" si="68"/>
        <v>0</v>
      </c>
      <c r="P16" s="26"/>
      <c r="Q16" s="134">
        <f t="shared" si="69"/>
        <v>0</v>
      </c>
      <c r="R16" s="26"/>
      <c r="S16" s="134">
        <f t="shared" si="70"/>
        <v>0</v>
      </c>
      <c r="T16" s="26"/>
      <c r="U16" s="134">
        <f t="shared" si="71"/>
        <v>0</v>
      </c>
      <c r="V16" s="26"/>
      <c r="W16" s="134">
        <f t="shared" si="72"/>
        <v>0</v>
      </c>
      <c r="X16" s="26"/>
      <c r="Y16" s="134">
        <f t="shared" si="73"/>
        <v>0</v>
      </c>
      <c r="Z16" s="26"/>
      <c r="AA16" s="26"/>
      <c r="AB16" s="135">
        <f t="shared" si="2"/>
        <v>1</v>
      </c>
      <c r="AC16" s="26"/>
      <c r="AD16" s="26"/>
      <c r="AE16" s="134">
        <f t="shared" si="74"/>
        <v>0</v>
      </c>
      <c r="AF16" s="135">
        <f t="shared" si="4"/>
        <v>1</v>
      </c>
      <c r="AG16" s="26"/>
      <c r="AH16" s="134">
        <f t="shared" si="75"/>
        <v>0</v>
      </c>
      <c r="AI16" s="135">
        <f t="shared" si="6"/>
        <v>1</v>
      </c>
      <c r="AJ16" s="26"/>
      <c r="AK16" s="134">
        <f t="shared" si="76"/>
        <v>0</v>
      </c>
      <c r="AL16" s="135">
        <f t="shared" si="8"/>
        <v>1</v>
      </c>
      <c r="AM16" s="26"/>
      <c r="AN16" s="134">
        <f t="shared" si="77"/>
        <v>0</v>
      </c>
      <c r="AO16" s="135">
        <f t="shared" si="10"/>
        <v>1</v>
      </c>
      <c r="AP16" s="26"/>
      <c r="AQ16" s="134">
        <f t="shared" si="78"/>
        <v>0</v>
      </c>
      <c r="AR16" s="135">
        <f t="shared" si="12"/>
        <v>1</v>
      </c>
      <c r="AS16" s="26"/>
      <c r="AT16" s="134">
        <f t="shared" si="79"/>
        <v>0</v>
      </c>
      <c r="AU16" s="135">
        <f t="shared" si="14"/>
        <v>1</v>
      </c>
      <c r="AV16" s="26"/>
      <c r="AW16" s="134">
        <f t="shared" si="80"/>
        <v>0</v>
      </c>
      <c r="AX16" s="135">
        <f t="shared" si="16"/>
        <v>1</v>
      </c>
      <c r="AY16" s="26"/>
      <c r="AZ16" s="134">
        <f t="shared" si="81"/>
        <v>0</v>
      </c>
      <c r="BA16" s="135">
        <f t="shared" si="18"/>
        <v>1</v>
      </c>
      <c r="BB16" s="26"/>
      <c r="BC16" s="134">
        <f t="shared" si="82"/>
        <v>0</v>
      </c>
      <c r="BD16" s="135">
        <f t="shared" si="20"/>
        <v>1</v>
      </c>
      <c r="BE16" s="26"/>
      <c r="BF16" s="134">
        <f t="shared" si="83"/>
        <v>0</v>
      </c>
      <c r="BG16" s="135">
        <f t="shared" si="22"/>
        <v>1</v>
      </c>
      <c r="BH16" s="134"/>
      <c r="BI16" s="26"/>
      <c r="BJ16" s="26"/>
      <c r="BK16" s="135">
        <f>IF($AA$16=0,1,BJ16/$AA$16-1)</f>
        <v>1</v>
      </c>
      <c r="BL16" s="135">
        <f t="shared" si="24"/>
        <v>1</v>
      </c>
      <c r="BM16" s="167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</row>
    <row r="17" spans="1:206" s="62" customFormat="1" ht="18" customHeight="1">
      <c r="A17" s="436" t="s">
        <v>36</v>
      </c>
      <c r="B17" s="436"/>
      <c r="C17" s="26"/>
      <c r="D17" s="134">
        <f t="shared" si="63"/>
        <v>0</v>
      </c>
      <c r="E17" s="26"/>
      <c r="F17" s="26"/>
      <c r="G17" s="134">
        <f t="shared" si="64"/>
        <v>0</v>
      </c>
      <c r="H17" s="26"/>
      <c r="I17" s="134">
        <f t="shared" si="65"/>
        <v>0</v>
      </c>
      <c r="J17" s="26"/>
      <c r="K17" s="134">
        <f t="shared" si="66"/>
        <v>0</v>
      </c>
      <c r="L17" s="26"/>
      <c r="M17" s="134">
        <f t="shared" si="67"/>
        <v>0</v>
      </c>
      <c r="N17" s="26"/>
      <c r="O17" s="134">
        <f t="shared" si="68"/>
        <v>0</v>
      </c>
      <c r="P17" s="26"/>
      <c r="Q17" s="134">
        <f t="shared" si="69"/>
        <v>0</v>
      </c>
      <c r="R17" s="26"/>
      <c r="S17" s="134">
        <f t="shared" si="70"/>
        <v>0</v>
      </c>
      <c r="T17" s="26"/>
      <c r="U17" s="134">
        <f t="shared" si="71"/>
        <v>0</v>
      </c>
      <c r="V17" s="26"/>
      <c r="W17" s="134">
        <f t="shared" si="72"/>
        <v>0</v>
      </c>
      <c r="X17" s="26"/>
      <c r="Y17" s="134">
        <f t="shared" si="73"/>
        <v>0</v>
      </c>
      <c r="Z17" s="26"/>
      <c r="AA17" s="26"/>
      <c r="AB17" s="135">
        <f t="shared" si="2"/>
        <v>1</v>
      </c>
      <c r="AC17" s="26"/>
      <c r="AD17" s="26"/>
      <c r="AE17" s="134">
        <f t="shared" si="74"/>
        <v>0</v>
      </c>
      <c r="AF17" s="135">
        <f t="shared" si="4"/>
        <v>1</v>
      </c>
      <c r="AG17" s="26"/>
      <c r="AH17" s="134">
        <f t="shared" si="75"/>
        <v>0</v>
      </c>
      <c r="AI17" s="135">
        <f t="shared" si="6"/>
        <v>1</v>
      </c>
      <c r="AJ17" s="26"/>
      <c r="AK17" s="134">
        <f t="shared" si="76"/>
        <v>0</v>
      </c>
      <c r="AL17" s="135">
        <f t="shared" si="8"/>
        <v>1</v>
      </c>
      <c r="AM17" s="26"/>
      <c r="AN17" s="134">
        <f t="shared" si="77"/>
        <v>0</v>
      </c>
      <c r="AO17" s="135">
        <f t="shared" si="10"/>
        <v>1</v>
      </c>
      <c r="AP17" s="26"/>
      <c r="AQ17" s="134">
        <f t="shared" si="78"/>
        <v>0</v>
      </c>
      <c r="AR17" s="135">
        <f t="shared" si="12"/>
        <v>1</v>
      </c>
      <c r="AS17" s="26"/>
      <c r="AT17" s="134">
        <f t="shared" si="79"/>
        <v>0</v>
      </c>
      <c r="AU17" s="135">
        <f t="shared" si="14"/>
        <v>1</v>
      </c>
      <c r="AV17" s="26"/>
      <c r="AW17" s="134">
        <f t="shared" si="80"/>
        <v>0</v>
      </c>
      <c r="AX17" s="135">
        <f t="shared" si="16"/>
        <v>1</v>
      </c>
      <c r="AY17" s="26"/>
      <c r="AZ17" s="134">
        <f t="shared" si="81"/>
        <v>0</v>
      </c>
      <c r="BA17" s="135">
        <f t="shared" si="18"/>
        <v>1</v>
      </c>
      <c r="BB17" s="26"/>
      <c r="BC17" s="134">
        <f t="shared" si="82"/>
        <v>0</v>
      </c>
      <c r="BD17" s="135">
        <f t="shared" si="20"/>
        <v>1</v>
      </c>
      <c r="BE17" s="26"/>
      <c r="BF17" s="134">
        <f t="shared" si="83"/>
        <v>0</v>
      </c>
      <c r="BG17" s="135">
        <f t="shared" si="22"/>
        <v>1</v>
      </c>
      <c r="BH17" s="134"/>
      <c r="BI17" s="26"/>
      <c r="BJ17" s="26"/>
      <c r="BK17" s="135">
        <f>IF($AA$17=0,1,BJ17/$AA$17-1)</f>
        <v>1</v>
      </c>
      <c r="BL17" s="135">
        <f t="shared" si="24"/>
        <v>1</v>
      </c>
      <c r="BM17" s="167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</row>
    <row r="18" spans="1:206" s="62" customFormat="1" ht="18" customHeight="1">
      <c r="A18" s="436" t="s">
        <v>37</v>
      </c>
      <c r="B18" s="436"/>
      <c r="C18" s="26"/>
      <c r="D18" s="134">
        <f t="shared" si="63"/>
        <v>0</v>
      </c>
      <c r="E18" s="26"/>
      <c r="F18" s="26"/>
      <c r="G18" s="134">
        <f t="shared" si="64"/>
        <v>0</v>
      </c>
      <c r="H18" s="26"/>
      <c r="I18" s="134">
        <f t="shared" si="65"/>
        <v>0</v>
      </c>
      <c r="J18" s="26"/>
      <c r="K18" s="134">
        <f t="shared" si="66"/>
        <v>0</v>
      </c>
      <c r="L18" s="26"/>
      <c r="M18" s="134">
        <f t="shared" si="67"/>
        <v>0</v>
      </c>
      <c r="N18" s="26"/>
      <c r="O18" s="134">
        <f t="shared" si="68"/>
        <v>0</v>
      </c>
      <c r="P18" s="26"/>
      <c r="Q18" s="134">
        <f t="shared" si="69"/>
        <v>0</v>
      </c>
      <c r="R18" s="26"/>
      <c r="S18" s="134">
        <f t="shared" si="70"/>
        <v>0</v>
      </c>
      <c r="T18" s="26"/>
      <c r="U18" s="134">
        <f t="shared" si="71"/>
        <v>0</v>
      </c>
      <c r="V18" s="26"/>
      <c r="W18" s="134">
        <f t="shared" si="72"/>
        <v>0</v>
      </c>
      <c r="X18" s="26"/>
      <c r="Y18" s="134">
        <f t="shared" si="73"/>
        <v>0</v>
      </c>
      <c r="Z18" s="26"/>
      <c r="AA18" s="26"/>
      <c r="AB18" s="135">
        <f t="shared" si="2"/>
        <v>1</v>
      </c>
      <c r="AC18" s="26"/>
      <c r="AD18" s="26"/>
      <c r="AE18" s="134">
        <f t="shared" si="74"/>
        <v>0</v>
      </c>
      <c r="AF18" s="135">
        <f t="shared" si="4"/>
        <v>1</v>
      </c>
      <c r="AG18" s="26"/>
      <c r="AH18" s="134">
        <f t="shared" si="75"/>
        <v>0</v>
      </c>
      <c r="AI18" s="135">
        <f t="shared" si="6"/>
        <v>1</v>
      </c>
      <c r="AJ18" s="26"/>
      <c r="AK18" s="134">
        <f t="shared" si="76"/>
        <v>0</v>
      </c>
      <c r="AL18" s="135">
        <f t="shared" si="8"/>
        <v>1</v>
      </c>
      <c r="AM18" s="26"/>
      <c r="AN18" s="134">
        <f t="shared" si="77"/>
        <v>0</v>
      </c>
      <c r="AO18" s="135">
        <f t="shared" si="10"/>
        <v>1</v>
      </c>
      <c r="AP18" s="26"/>
      <c r="AQ18" s="134">
        <f t="shared" si="78"/>
        <v>0</v>
      </c>
      <c r="AR18" s="135">
        <f t="shared" si="12"/>
        <v>1</v>
      </c>
      <c r="AS18" s="26"/>
      <c r="AT18" s="134">
        <f t="shared" si="79"/>
        <v>0</v>
      </c>
      <c r="AU18" s="135">
        <f t="shared" si="14"/>
        <v>1</v>
      </c>
      <c r="AV18" s="26"/>
      <c r="AW18" s="134">
        <f t="shared" si="80"/>
        <v>0</v>
      </c>
      <c r="AX18" s="135">
        <f t="shared" si="16"/>
        <v>1</v>
      </c>
      <c r="AY18" s="26"/>
      <c r="AZ18" s="134">
        <f t="shared" si="81"/>
        <v>0</v>
      </c>
      <c r="BA18" s="135">
        <f t="shared" si="18"/>
        <v>1</v>
      </c>
      <c r="BB18" s="26"/>
      <c r="BC18" s="134">
        <f t="shared" si="82"/>
        <v>0</v>
      </c>
      <c r="BD18" s="135">
        <f t="shared" si="20"/>
        <v>1</v>
      </c>
      <c r="BE18" s="26"/>
      <c r="BF18" s="134">
        <f t="shared" si="83"/>
        <v>0</v>
      </c>
      <c r="BG18" s="135">
        <f t="shared" si="22"/>
        <v>1</v>
      </c>
      <c r="BH18" s="134"/>
      <c r="BI18" s="26"/>
      <c r="BJ18" s="26"/>
      <c r="BK18" s="135">
        <f>IF($AA$18=0,1,BJ18/$AA$18-1)</f>
        <v>1</v>
      </c>
      <c r="BL18" s="135">
        <f t="shared" si="24"/>
        <v>1</v>
      </c>
      <c r="BM18" s="167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</row>
    <row r="19" spans="1:206" s="62" customFormat="1" ht="18" customHeight="1">
      <c r="A19" s="436" t="s">
        <v>38</v>
      </c>
      <c r="B19" s="436"/>
      <c r="C19" s="26"/>
      <c r="D19" s="134">
        <f t="shared" si="63"/>
        <v>0</v>
      </c>
      <c r="E19" s="26"/>
      <c r="F19" s="26"/>
      <c r="G19" s="134">
        <f t="shared" si="64"/>
        <v>0</v>
      </c>
      <c r="H19" s="26"/>
      <c r="I19" s="134">
        <f t="shared" si="65"/>
        <v>0</v>
      </c>
      <c r="J19" s="26"/>
      <c r="K19" s="134">
        <f t="shared" si="66"/>
        <v>0</v>
      </c>
      <c r="L19" s="26"/>
      <c r="M19" s="134">
        <f t="shared" si="67"/>
        <v>0</v>
      </c>
      <c r="N19" s="26"/>
      <c r="O19" s="134">
        <f t="shared" si="68"/>
        <v>0</v>
      </c>
      <c r="P19" s="26"/>
      <c r="Q19" s="134">
        <f t="shared" si="69"/>
        <v>0</v>
      </c>
      <c r="R19" s="26"/>
      <c r="S19" s="134">
        <f t="shared" si="70"/>
        <v>0</v>
      </c>
      <c r="T19" s="26"/>
      <c r="U19" s="134">
        <f t="shared" si="71"/>
        <v>0</v>
      </c>
      <c r="V19" s="26"/>
      <c r="W19" s="134">
        <f t="shared" si="72"/>
        <v>0</v>
      </c>
      <c r="X19" s="26"/>
      <c r="Y19" s="134">
        <f t="shared" si="73"/>
        <v>0</v>
      </c>
      <c r="Z19" s="26"/>
      <c r="AA19" s="26"/>
      <c r="AB19" s="135">
        <f t="shared" si="2"/>
        <v>1</v>
      </c>
      <c r="AC19" s="26"/>
      <c r="AD19" s="26"/>
      <c r="AE19" s="134">
        <f t="shared" si="74"/>
        <v>0</v>
      </c>
      <c r="AF19" s="135">
        <f t="shared" si="4"/>
        <v>1</v>
      </c>
      <c r="AG19" s="26"/>
      <c r="AH19" s="134">
        <f t="shared" si="75"/>
        <v>0</v>
      </c>
      <c r="AI19" s="135">
        <f t="shared" si="6"/>
        <v>1</v>
      </c>
      <c r="AJ19" s="26"/>
      <c r="AK19" s="134">
        <f t="shared" si="76"/>
        <v>0</v>
      </c>
      <c r="AL19" s="135">
        <f t="shared" si="8"/>
        <v>1</v>
      </c>
      <c r="AM19" s="26"/>
      <c r="AN19" s="134">
        <f t="shared" si="77"/>
        <v>0</v>
      </c>
      <c r="AO19" s="135">
        <f t="shared" si="10"/>
        <v>1</v>
      </c>
      <c r="AP19" s="26"/>
      <c r="AQ19" s="134">
        <f t="shared" si="78"/>
        <v>0</v>
      </c>
      <c r="AR19" s="135">
        <f t="shared" si="12"/>
        <v>1</v>
      </c>
      <c r="AS19" s="26"/>
      <c r="AT19" s="134">
        <f t="shared" si="79"/>
        <v>0</v>
      </c>
      <c r="AU19" s="135">
        <f t="shared" si="14"/>
        <v>1</v>
      </c>
      <c r="AV19" s="26"/>
      <c r="AW19" s="134">
        <f t="shared" si="80"/>
        <v>0</v>
      </c>
      <c r="AX19" s="135">
        <f t="shared" si="16"/>
        <v>1</v>
      </c>
      <c r="AY19" s="26"/>
      <c r="AZ19" s="134">
        <f t="shared" si="81"/>
        <v>0</v>
      </c>
      <c r="BA19" s="135">
        <f t="shared" si="18"/>
        <v>1</v>
      </c>
      <c r="BB19" s="26"/>
      <c r="BC19" s="134">
        <f t="shared" si="82"/>
        <v>0</v>
      </c>
      <c r="BD19" s="135">
        <f t="shared" si="20"/>
        <v>1</v>
      </c>
      <c r="BE19" s="26"/>
      <c r="BF19" s="134">
        <f t="shared" si="83"/>
        <v>0</v>
      </c>
      <c r="BG19" s="135">
        <f t="shared" si="22"/>
        <v>1</v>
      </c>
      <c r="BH19" s="134"/>
      <c r="BI19" s="26"/>
      <c r="BJ19" s="26"/>
      <c r="BK19" s="135">
        <f>IF($AA$19=0,1,BJ19/$AA$19-1)</f>
        <v>1</v>
      </c>
      <c r="BL19" s="135">
        <f t="shared" si="24"/>
        <v>1</v>
      </c>
      <c r="BM19" s="167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</row>
    <row r="20" spans="1:206" s="62" customFormat="1" ht="18" customHeight="1">
      <c r="A20" s="436" t="s">
        <v>39</v>
      </c>
      <c r="B20" s="436"/>
      <c r="C20" s="26"/>
      <c r="D20" s="134">
        <f t="shared" si="63"/>
        <v>0</v>
      </c>
      <c r="E20" s="26"/>
      <c r="F20" s="26"/>
      <c r="G20" s="134">
        <f t="shared" si="64"/>
        <v>0</v>
      </c>
      <c r="H20" s="26"/>
      <c r="I20" s="134">
        <f t="shared" si="65"/>
        <v>0</v>
      </c>
      <c r="J20" s="26"/>
      <c r="K20" s="134">
        <f t="shared" si="66"/>
        <v>0</v>
      </c>
      <c r="L20" s="26"/>
      <c r="M20" s="134">
        <f t="shared" si="67"/>
        <v>0</v>
      </c>
      <c r="N20" s="26"/>
      <c r="O20" s="134">
        <f t="shared" si="68"/>
        <v>0</v>
      </c>
      <c r="P20" s="26"/>
      <c r="Q20" s="134">
        <f t="shared" si="69"/>
        <v>0</v>
      </c>
      <c r="R20" s="26"/>
      <c r="S20" s="134">
        <f t="shared" si="70"/>
        <v>0</v>
      </c>
      <c r="T20" s="26"/>
      <c r="U20" s="134">
        <f t="shared" si="71"/>
        <v>0</v>
      </c>
      <c r="V20" s="26"/>
      <c r="W20" s="134">
        <f t="shared" si="72"/>
        <v>0</v>
      </c>
      <c r="X20" s="26"/>
      <c r="Y20" s="134">
        <f t="shared" si="73"/>
        <v>0</v>
      </c>
      <c r="Z20" s="26"/>
      <c r="AA20" s="26"/>
      <c r="AB20" s="135">
        <f t="shared" si="2"/>
        <v>1</v>
      </c>
      <c r="AC20" s="26"/>
      <c r="AD20" s="26"/>
      <c r="AE20" s="134">
        <f t="shared" si="74"/>
        <v>0</v>
      </c>
      <c r="AF20" s="135">
        <f t="shared" si="4"/>
        <v>1</v>
      </c>
      <c r="AG20" s="26"/>
      <c r="AH20" s="134">
        <f t="shared" si="75"/>
        <v>0</v>
      </c>
      <c r="AI20" s="135">
        <f t="shared" si="6"/>
        <v>1</v>
      </c>
      <c r="AJ20" s="26"/>
      <c r="AK20" s="134">
        <f t="shared" si="76"/>
        <v>0</v>
      </c>
      <c r="AL20" s="135">
        <f t="shared" si="8"/>
        <v>1</v>
      </c>
      <c r="AM20" s="26"/>
      <c r="AN20" s="134">
        <f t="shared" si="77"/>
        <v>0</v>
      </c>
      <c r="AO20" s="135">
        <f t="shared" si="10"/>
        <v>1</v>
      </c>
      <c r="AP20" s="26"/>
      <c r="AQ20" s="134">
        <f t="shared" si="78"/>
        <v>0</v>
      </c>
      <c r="AR20" s="135">
        <f t="shared" si="12"/>
        <v>1</v>
      </c>
      <c r="AS20" s="26"/>
      <c r="AT20" s="134">
        <f t="shared" si="79"/>
        <v>0</v>
      </c>
      <c r="AU20" s="135">
        <f t="shared" si="14"/>
        <v>1</v>
      </c>
      <c r="AV20" s="26"/>
      <c r="AW20" s="134">
        <f t="shared" si="80"/>
        <v>0</v>
      </c>
      <c r="AX20" s="135">
        <f t="shared" si="16"/>
        <v>1</v>
      </c>
      <c r="AY20" s="26"/>
      <c r="AZ20" s="134">
        <f t="shared" si="81"/>
        <v>0</v>
      </c>
      <c r="BA20" s="135">
        <f t="shared" si="18"/>
        <v>1</v>
      </c>
      <c r="BB20" s="26"/>
      <c r="BC20" s="134">
        <f t="shared" si="82"/>
        <v>0</v>
      </c>
      <c r="BD20" s="135">
        <f t="shared" si="20"/>
        <v>1</v>
      </c>
      <c r="BE20" s="26"/>
      <c r="BF20" s="134">
        <f t="shared" si="83"/>
        <v>0</v>
      </c>
      <c r="BG20" s="135">
        <f t="shared" si="22"/>
        <v>1</v>
      </c>
      <c r="BH20" s="134"/>
      <c r="BI20" s="26"/>
      <c r="BJ20" s="26"/>
      <c r="BK20" s="135">
        <f>IF($AA$20=0,1,BJ20/$AA$20-1)</f>
        <v>1</v>
      </c>
      <c r="BL20" s="135">
        <f t="shared" si="24"/>
        <v>1</v>
      </c>
      <c r="BM20" s="167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</row>
    <row r="21" spans="1:206" s="62" customFormat="1" ht="18" customHeight="1">
      <c r="A21" s="436" t="s">
        <v>40</v>
      </c>
      <c r="B21" s="436"/>
      <c r="C21" s="26"/>
      <c r="D21" s="134">
        <f t="shared" si="63"/>
        <v>0</v>
      </c>
      <c r="E21" s="26"/>
      <c r="F21" s="26"/>
      <c r="G21" s="134">
        <f t="shared" si="64"/>
        <v>0</v>
      </c>
      <c r="H21" s="26"/>
      <c r="I21" s="134">
        <f t="shared" si="65"/>
        <v>0</v>
      </c>
      <c r="J21" s="26"/>
      <c r="K21" s="134">
        <f t="shared" si="66"/>
        <v>0</v>
      </c>
      <c r="L21" s="26"/>
      <c r="M21" s="134">
        <f t="shared" si="67"/>
        <v>0</v>
      </c>
      <c r="N21" s="26"/>
      <c r="O21" s="134">
        <f t="shared" si="68"/>
        <v>0</v>
      </c>
      <c r="P21" s="26"/>
      <c r="Q21" s="134">
        <f t="shared" si="69"/>
        <v>0</v>
      </c>
      <c r="R21" s="26"/>
      <c r="S21" s="134">
        <f t="shared" si="70"/>
        <v>0</v>
      </c>
      <c r="T21" s="26"/>
      <c r="U21" s="134">
        <f t="shared" si="71"/>
        <v>0</v>
      </c>
      <c r="V21" s="26"/>
      <c r="W21" s="134">
        <f t="shared" si="72"/>
        <v>0</v>
      </c>
      <c r="X21" s="26"/>
      <c r="Y21" s="134">
        <f t="shared" si="73"/>
        <v>0</v>
      </c>
      <c r="Z21" s="26"/>
      <c r="AA21" s="26"/>
      <c r="AB21" s="135">
        <f t="shared" si="2"/>
        <v>1</v>
      </c>
      <c r="AC21" s="26"/>
      <c r="AD21" s="26"/>
      <c r="AE21" s="134">
        <f t="shared" si="74"/>
        <v>0</v>
      </c>
      <c r="AF21" s="135">
        <f t="shared" si="4"/>
        <v>1</v>
      </c>
      <c r="AG21" s="26"/>
      <c r="AH21" s="134">
        <f t="shared" si="75"/>
        <v>0</v>
      </c>
      <c r="AI21" s="135">
        <f t="shared" si="6"/>
        <v>1</v>
      </c>
      <c r="AJ21" s="26"/>
      <c r="AK21" s="134">
        <f t="shared" si="76"/>
        <v>0</v>
      </c>
      <c r="AL21" s="135">
        <f t="shared" si="8"/>
        <v>1</v>
      </c>
      <c r="AM21" s="26"/>
      <c r="AN21" s="134">
        <f t="shared" si="77"/>
        <v>0</v>
      </c>
      <c r="AO21" s="135">
        <f t="shared" si="10"/>
        <v>1</v>
      </c>
      <c r="AP21" s="26"/>
      <c r="AQ21" s="134">
        <f t="shared" si="78"/>
        <v>0</v>
      </c>
      <c r="AR21" s="135">
        <f t="shared" si="12"/>
        <v>1</v>
      </c>
      <c r="AS21" s="26"/>
      <c r="AT21" s="134">
        <f t="shared" si="79"/>
        <v>0</v>
      </c>
      <c r="AU21" s="135">
        <f t="shared" si="14"/>
        <v>1</v>
      </c>
      <c r="AV21" s="26"/>
      <c r="AW21" s="134">
        <f t="shared" si="80"/>
        <v>0</v>
      </c>
      <c r="AX21" s="135">
        <f t="shared" si="16"/>
        <v>1</v>
      </c>
      <c r="AY21" s="26"/>
      <c r="AZ21" s="134">
        <f t="shared" si="81"/>
        <v>0</v>
      </c>
      <c r="BA21" s="135">
        <f t="shared" si="18"/>
        <v>1</v>
      </c>
      <c r="BB21" s="26"/>
      <c r="BC21" s="134">
        <f t="shared" si="82"/>
        <v>0</v>
      </c>
      <c r="BD21" s="135">
        <f t="shared" si="20"/>
        <v>1</v>
      </c>
      <c r="BE21" s="26"/>
      <c r="BF21" s="134">
        <f t="shared" si="83"/>
        <v>0</v>
      </c>
      <c r="BG21" s="135">
        <f t="shared" si="22"/>
        <v>1</v>
      </c>
      <c r="BH21" s="134"/>
      <c r="BI21" s="26"/>
      <c r="BJ21" s="26"/>
      <c r="BK21" s="135">
        <f>IF($AA$21=0,1,BJ21/$AA$21-1)</f>
        <v>1</v>
      </c>
      <c r="BL21" s="135">
        <f t="shared" si="24"/>
        <v>1</v>
      </c>
      <c r="BM21" s="167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</row>
    <row r="22" spans="1:206" s="62" customFormat="1" ht="18" customHeight="1">
      <c r="A22" s="436" t="s">
        <v>41</v>
      </c>
      <c r="B22" s="436"/>
      <c r="C22" s="26"/>
      <c r="D22" s="134">
        <f t="shared" si="63"/>
        <v>0</v>
      </c>
      <c r="E22" s="26"/>
      <c r="F22" s="26"/>
      <c r="G22" s="134">
        <f t="shared" si="64"/>
        <v>0</v>
      </c>
      <c r="H22" s="26"/>
      <c r="I22" s="134">
        <f t="shared" si="65"/>
        <v>0</v>
      </c>
      <c r="J22" s="26"/>
      <c r="K22" s="134">
        <f t="shared" si="66"/>
        <v>0</v>
      </c>
      <c r="L22" s="26"/>
      <c r="M22" s="134">
        <f t="shared" si="67"/>
        <v>0</v>
      </c>
      <c r="N22" s="26"/>
      <c r="O22" s="134">
        <f t="shared" si="68"/>
        <v>0</v>
      </c>
      <c r="P22" s="26"/>
      <c r="Q22" s="134">
        <f t="shared" si="69"/>
        <v>0</v>
      </c>
      <c r="R22" s="26"/>
      <c r="S22" s="134">
        <f t="shared" si="70"/>
        <v>0</v>
      </c>
      <c r="T22" s="26"/>
      <c r="U22" s="134">
        <f t="shared" si="71"/>
        <v>0</v>
      </c>
      <c r="V22" s="26"/>
      <c r="W22" s="134">
        <f t="shared" si="72"/>
        <v>0</v>
      </c>
      <c r="X22" s="26"/>
      <c r="Y22" s="134">
        <f t="shared" si="73"/>
        <v>0</v>
      </c>
      <c r="Z22" s="26"/>
      <c r="AA22" s="26"/>
      <c r="AB22" s="135">
        <f t="shared" si="2"/>
        <v>1</v>
      </c>
      <c r="AC22" s="26"/>
      <c r="AD22" s="26"/>
      <c r="AE22" s="134">
        <f t="shared" si="74"/>
        <v>0</v>
      </c>
      <c r="AF22" s="135">
        <f t="shared" si="4"/>
        <v>1</v>
      </c>
      <c r="AG22" s="26"/>
      <c r="AH22" s="134">
        <f t="shared" si="75"/>
        <v>0</v>
      </c>
      <c r="AI22" s="135">
        <f t="shared" si="6"/>
        <v>1</v>
      </c>
      <c r="AJ22" s="26"/>
      <c r="AK22" s="134">
        <f t="shared" si="76"/>
        <v>0</v>
      </c>
      <c r="AL22" s="135">
        <f t="shared" si="8"/>
        <v>1</v>
      </c>
      <c r="AM22" s="26"/>
      <c r="AN22" s="134">
        <f t="shared" si="77"/>
        <v>0</v>
      </c>
      <c r="AO22" s="135">
        <f t="shared" si="10"/>
        <v>1</v>
      </c>
      <c r="AP22" s="26"/>
      <c r="AQ22" s="134">
        <f t="shared" si="78"/>
        <v>0</v>
      </c>
      <c r="AR22" s="135">
        <f t="shared" si="12"/>
        <v>1</v>
      </c>
      <c r="AS22" s="26"/>
      <c r="AT22" s="134">
        <f t="shared" si="79"/>
        <v>0</v>
      </c>
      <c r="AU22" s="135">
        <f t="shared" si="14"/>
        <v>1</v>
      </c>
      <c r="AV22" s="26"/>
      <c r="AW22" s="134">
        <f t="shared" si="80"/>
        <v>0</v>
      </c>
      <c r="AX22" s="135">
        <f t="shared" si="16"/>
        <v>1</v>
      </c>
      <c r="AY22" s="26"/>
      <c r="AZ22" s="134">
        <f t="shared" si="81"/>
        <v>0</v>
      </c>
      <c r="BA22" s="135">
        <f t="shared" si="18"/>
        <v>1</v>
      </c>
      <c r="BB22" s="26"/>
      <c r="BC22" s="134">
        <f t="shared" si="82"/>
        <v>0</v>
      </c>
      <c r="BD22" s="135">
        <f t="shared" si="20"/>
        <v>1</v>
      </c>
      <c r="BE22" s="26"/>
      <c r="BF22" s="134">
        <f t="shared" si="83"/>
        <v>0</v>
      </c>
      <c r="BG22" s="135">
        <f t="shared" si="22"/>
        <v>1</v>
      </c>
      <c r="BH22" s="134"/>
      <c r="BI22" s="26"/>
      <c r="BJ22" s="26"/>
      <c r="BK22" s="135">
        <f>IF($AA$22=0,1,BJ22/$AA$22-1)</f>
        <v>1</v>
      </c>
      <c r="BL22" s="135">
        <f t="shared" si="24"/>
        <v>1</v>
      </c>
      <c r="BM22" s="167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</row>
    <row r="23" spans="1:206" s="62" customFormat="1" ht="18" customHeight="1">
      <c r="A23" s="436" t="s">
        <v>89</v>
      </c>
      <c r="B23" s="436"/>
      <c r="C23" s="26"/>
      <c r="D23" s="134">
        <f t="shared" si="63"/>
        <v>0</v>
      </c>
      <c r="E23" s="26"/>
      <c r="F23" s="26"/>
      <c r="G23" s="134">
        <f t="shared" si="64"/>
        <v>0</v>
      </c>
      <c r="H23" s="26"/>
      <c r="I23" s="134">
        <f t="shared" si="65"/>
        <v>0</v>
      </c>
      <c r="J23" s="26"/>
      <c r="K23" s="134">
        <f t="shared" si="66"/>
        <v>0</v>
      </c>
      <c r="L23" s="26"/>
      <c r="M23" s="134">
        <f t="shared" si="67"/>
        <v>0</v>
      </c>
      <c r="N23" s="26"/>
      <c r="O23" s="134">
        <f t="shared" si="68"/>
        <v>0</v>
      </c>
      <c r="P23" s="26"/>
      <c r="Q23" s="134">
        <f t="shared" si="69"/>
        <v>0</v>
      </c>
      <c r="R23" s="26"/>
      <c r="S23" s="134">
        <f t="shared" si="70"/>
        <v>0</v>
      </c>
      <c r="T23" s="26"/>
      <c r="U23" s="134">
        <f t="shared" si="71"/>
        <v>0</v>
      </c>
      <c r="V23" s="26"/>
      <c r="W23" s="134">
        <f t="shared" si="72"/>
        <v>0</v>
      </c>
      <c r="X23" s="26"/>
      <c r="Y23" s="134">
        <f t="shared" si="73"/>
        <v>0</v>
      </c>
      <c r="Z23" s="26"/>
      <c r="AA23" s="26"/>
      <c r="AB23" s="135">
        <f t="shared" si="2"/>
        <v>1</v>
      </c>
      <c r="AC23" s="26"/>
      <c r="AD23" s="26"/>
      <c r="AE23" s="134">
        <f t="shared" si="74"/>
        <v>0</v>
      </c>
      <c r="AF23" s="135">
        <f t="shared" si="4"/>
        <v>1</v>
      </c>
      <c r="AG23" s="26"/>
      <c r="AH23" s="134">
        <f t="shared" si="75"/>
        <v>0</v>
      </c>
      <c r="AI23" s="135">
        <f t="shared" si="6"/>
        <v>1</v>
      </c>
      <c r="AJ23" s="26"/>
      <c r="AK23" s="134">
        <f t="shared" si="76"/>
        <v>0</v>
      </c>
      <c r="AL23" s="135">
        <f t="shared" si="8"/>
        <v>1</v>
      </c>
      <c r="AM23" s="26"/>
      <c r="AN23" s="134">
        <f t="shared" si="77"/>
        <v>0</v>
      </c>
      <c r="AO23" s="135">
        <f t="shared" si="10"/>
        <v>1</v>
      </c>
      <c r="AP23" s="26"/>
      <c r="AQ23" s="134">
        <f t="shared" si="78"/>
        <v>0</v>
      </c>
      <c r="AR23" s="135">
        <f t="shared" si="12"/>
        <v>1</v>
      </c>
      <c r="AS23" s="26"/>
      <c r="AT23" s="134">
        <f t="shared" si="79"/>
        <v>0</v>
      </c>
      <c r="AU23" s="135">
        <f t="shared" si="14"/>
        <v>1</v>
      </c>
      <c r="AV23" s="26"/>
      <c r="AW23" s="134">
        <f t="shared" si="80"/>
        <v>0</v>
      </c>
      <c r="AX23" s="135">
        <f t="shared" si="16"/>
        <v>1</v>
      </c>
      <c r="AY23" s="26"/>
      <c r="AZ23" s="134">
        <f t="shared" si="81"/>
        <v>0</v>
      </c>
      <c r="BA23" s="135">
        <f t="shared" si="18"/>
        <v>1</v>
      </c>
      <c r="BB23" s="26"/>
      <c r="BC23" s="134">
        <f t="shared" si="82"/>
        <v>0</v>
      </c>
      <c r="BD23" s="135">
        <f t="shared" si="20"/>
        <v>1</v>
      </c>
      <c r="BE23" s="26"/>
      <c r="BF23" s="134">
        <f t="shared" si="83"/>
        <v>0</v>
      </c>
      <c r="BG23" s="135">
        <f t="shared" si="22"/>
        <v>1</v>
      </c>
      <c r="BH23" s="134"/>
      <c r="BI23" s="26"/>
      <c r="BJ23" s="26"/>
      <c r="BK23" s="135">
        <f>IF($AA$23=0,1,BJ23/$AA$23-1)</f>
        <v>1</v>
      </c>
      <c r="BL23" s="135">
        <f t="shared" si="24"/>
        <v>1</v>
      </c>
      <c r="BM23" s="167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</row>
    <row r="24" spans="1:206" s="62" customFormat="1" ht="18" customHeight="1">
      <c r="A24" s="436" t="s">
        <v>90</v>
      </c>
      <c r="B24" s="436"/>
      <c r="C24" s="26"/>
      <c r="D24" s="134">
        <f t="shared" si="63"/>
        <v>0</v>
      </c>
      <c r="E24" s="26"/>
      <c r="F24" s="26"/>
      <c r="G24" s="134">
        <f t="shared" si="64"/>
        <v>0</v>
      </c>
      <c r="H24" s="26"/>
      <c r="I24" s="134">
        <f t="shared" si="65"/>
        <v>0</v>
      </c>
      <c r="J24" s="26"/>
      <c r="K24" s="134">
        <f t="shared" si="66"/>
        <v>0</v>
      </c>
      <c r="L24" s="26"/>
      <c r="M24" s="134">
        <f t="shared" si="67"/>
        <v>0</v>
      </c>
      <c r="N24" s="26"/>
      <c r="O24" s="134">
        <f t="shared" si="68"/>
        <v>0</v>
      </c>
      <c r="P24" s="26"/>
      <c r="Q24" s="134">
        <f t="shared" si="69"/>
        <v>0</v>
      </c>
      <c r="R24" s="26"/>
      <c r="S24" s="134">
        <f t="shared" si="70"/>
        <v>0</v>
      </c>
      <c r="T24" s="26"/>
      <c r="U24" s="134">
        <f t="shared" si="71"/>
        <v>0</v>
      </c>
      <c r="V24" s="26"/>
      <c r="W24" s="134">
        <f t="shared" si="72"/>
        <v>0</v>
      </c>
      <c r="X24" s="26"/>
      <c r="Y24" s="134">
        <f t="shared" si="73"/>
        <v>0</v>
      </c>
      <c r="Z24" s="26"/>
      <c r="AA24" s="26"/>
      <c r="AB24" s="135">
        <f t="shared" si="2"/>
        <v>1</v>
      </c>
      <c r="AC24" s="26"/>
      <c r="AD24" s="26"/>
      <c r="AE24" s="134">
        <f t="shared" si="74"/>
        <v>0</v>
      </c>
      <c r="AF24" s="135">
        <f t="shared" si="4"/>
        <v>1</v>
      </c>
      <c r="AG24" s="26"/>
      <c r="AH24" s="134">
        <f t="shared" si="75"/>
        <v>0</v>
      </c>
      <c r="AI24" s="135">
        <f t="shared" si="6"/>
        <v>1</v>
      </c>
      <c r="AJ24" s="26"/>
      <c r="AK24" s="134">
        <f t="shared" si="76"/>
        <v>0</v>
      </c>
      <c r="AL24" s="135">
        <f t="shared" si="8"/>
        <v>1</v>
      </c>
      <c r="AM24" s="26"/>
      <c r="AN24" s="134">
        <f t="shared" si="77"/>
        <v>0</v>
      </c>
      <c r="AO24" s="135">
        <f t="shared" si="10"/>
        <v>1</v>
      </c>
      <c r="AP24" s="26"/>
      <c r="AQ24" s="134">
        <f t="shared" si="78"/>
        <v>0</v>
      </c>
      <c r="AR24" s="135">
        <f t="shared" si="12"/>
        <v>1</v>
      </c>
      <c r="AS24" s="26"/>
      <c r="AT24" s="134">
        <f t="shared" si="79"/>
        <v>0</v>
      </c>
      <c r="AU24" s="135">
        <f t="shared" si="14"/>
        <v>1</v>
      </c>
      <c r="AV24" s="26"/>
      <c r="AW24" s="134">
        <f t="shared" si="80"/>
        <v>0</v>
      </c>
      <c r="AX24" s="135">
        <f t="shared" si="16"/>
        <v>1</v>
      </c>
      <c r="AY24" s="26"/>
      <c r="AZ24" s="134">
        <f t="shared" si="81"/>
        <v>0</v>
      </c>
      <c r="BA24" s="135">
        <f t="shared" si="18"/>
        <v>1</v>
      </c>
      <c r="BB24" s="26"/>
      <c r="BC24" s="134">
        <f t="shared" si="82"/>
        <v>0</v>
      </c>
      <c r="BD24" s="135">
        <f t="shared" si="20"/>
        <v>1</v>
      </c>
      <c r="BE24" s="26"/>
      <c r="BF24" s="134">
        <f t="shared" si="83"/>
        <v>0</v>
      </c>
      <c r="BG24" s="135">
        <f t="shared" si="22"/>
        <v>1</v>
      </c>
      <c r="BH24" s="134"/>
      <c r="BI24" s="26"/>
      <c r="BJ24" s="26"/>
      <c r="BK24" s="135">
        <f>IF($AA$24=0,1,BJ24/$AA$24-1)</f>
        <v>1</v>
      </c>
      <c r="BL24" s="135">
        <f t="shared" si="24"/>
        <v>1</v>
      </c>
      <c r="BM24" s="167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</row>
    <row r="25" spans="1:206" s="62" customFormat="1" ht="18" customHeight="1">
      <c r="A25" s="436" t="s">
        <v>42</v>
      </c>
      <c r="B25" s="436"/>
      <c r="C25" s="26"/>
      <c r="D25" s="134">
        <f t="shared" si="63"/>
        <v>0</v>
      </c>
      <c r="E25" s="26"/>
      <c r="F25" s="26"/>
      <c r="G25" s="134">
        <f t="shared" si="64"/>
        <v>0</v>
      </c>
      <c r="H25" s="26"/>
      <c r="I25" s="134">
        <f t="shared" si="65"/>
        <v>0</v>
      </c>
      <c r="J25" s="26"/>
      <c r="K25" s="134">
        <f t="shared" si="66"/>
        <v>0</v>
      </c>
      <c r="L25" s="26"/>
      <c r="M25" s="134">
        <f t="shared" si="67"/>
        <v>0</v>
      </c>
      <c r="N25" s="26"/>
      <c r="O25" s="134">
        <f t="shared" si="68"/>
        <v>0</v>
      </c>
      <c r="P25" s="26"/>
      <c r="Q25" s="134">
        <f t="shared" si="69"/>
        <v>0</v>
      </c>
      <c r="R25" s="26"/>
      <c r="S25" s="134">
        <f t="shared" si="70"/>
        <v>0</v>
      </c>
      <c r="T25" s="26"/>
      <c r="U25" s="134">
        <f t="shared" si="71"/>
        <v>0</v>
      </c>
      <c r="V25" s="26"/>
      <c r="W25" s="134">
        <f t="shared" si="72"/>
        <v>0</v>
      </c>
      <c r="X25" s="26"/>
      <c r="Y25" s="134">
        <f t="shared" si="73"/>
        <v>0</v>
      </c>
      <c r="Z25" s="26"/>
      <c r="AA25" s="26"/>
      <c r="AB25" s="135">
        <f t="shared" si="2"/>
        <v>1</v>
      </c>
      <c r="AC25" s="26"/>
      <c r="AD25" s="26"/>
      <c r="AE25" s="134">
        <f t="shared" si="74"/>
        <v>0</v>
      </c>
      <c r="AF25" s="135">
        <f t="shared" si="4"/>
        <v>1</v>
      </c>
      <c r="AG25" s="26"/>
      <c r="AH25" s="134">
        <f t="shared" si="75"/>
        <v>0</v>
      </c>
      <c r="AI25" s="135">
        <f t="shared" si="6"/>
        <v>1</v>
      </c>
      <c r="AJ25" s="26"/>
      <c r="AK25" s="134">
        <f t="shared" si="76"/>
        <v>0</v>
      </c>
      <c r="AL25" s="135">
        <f t="shared" si="8"/>
        <v>1</v>
      </c>
      <c r="AM25" s="26"/>
      <c r="AN25" s="134">
        <f t="shared" si="77"/>
        <v>0</v>
      </c>
      <c r="AO25" s="135">
        <f t="shared" si="10"/>
        <v>1</v>
      </c>
      <c r="AP25" s="26"/>
      <c r="AQ25" s="134">
        <f t="shared" si="78"/>
        <v>0</v>
      </c>
      <c r="AR25" s="135">
        <f t="shared" si="12"/>
        <v>1</v>
      </c>
      <c r="AS25" s="26"/>
      <c r="AT25" s="134">
        <f t="shared" si="79"/>
        <v>0</v>
      </c>
      <c r="AU25" s="135">
        <f t="shared" si="14"/>
        <v>1</v>
      </c>
      <c r="AV25" s="26"/>
      <c r="AW25" s="134">
        <f t="shared" si="80"/>
        <v>0</v>
      </c>
      <c r="AX25" s="135">
        <f t="shared" si="16"/>
        <v>1</v>
      </c>
      <c r="AY25" s="26"/>
      <c r="AZ25" s="134">
        <f t="shared" si="81"/>
        <v>0</v>
      </c>
      <c r="BA25" s="135">
        <f t="shared" si="18"/>
        <v>1</v>
      </c>
      <c r="BB25" s="26"/>
      <c r="BC25" s="134">
        <f t="shared" si="82"/>
        <v>0</v>
      </c>
      <c r="BD25" s="135">
        <f t="shared" si="20"/>
        <v>1</v>
      </c>
      <c r="BE25" s="26"/>
      <c r="BF25" s="134">
        <f t="shared" si="83"/>
        <v>0</v>
      </c>
      <c r="BG25" s="135">
        <f t="shared" si="22"/>
        <v>1</v>
      </c>
      <c r="BH25" s="134"/>
      <c r="BI25" s="26"/>
      <c r="BJ25" s="26"/>
      <c r="BK25" s="135">
        <f>IF($AA$25=0,1,BJ25/$AA$25-1)</f>
        <v>1</v>
      </c>
      <c r="BL25" s="135">
        <f t="shared" si="24"/>
        <v>1</v>
      </c>
      <c r="BM25" s="167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</row>
    <row r="26" spans="1:206" s="62" customFormat="1" ht="18" customHeight="1">
      <c r="A26" s="436" t="s">
        <v>43</v>
      </c>
      <c r="B26" s="436"/>
      <c r="C26" s="26"/>
      <c r="D26" s="134">
        <f t="shared" si="63"/>
        <v>0</v>
      </c>
      <c r="E26" s="26"/>
      <c r="F26" s="26"/>
      <c r="G26" s="134">
        <f t="shared" si="64"/>
        <v>0</v>
      </c>
      <c r="H26" s="26"/>
      <c r="I26" s="134">
        <f t="shared" si="65"/>
        <v>0</v>
      </c>
      <c r="J26" s="26"/>
      <c r="K26" s="134">
        <f t="shared" si="66"/>
        <v>0</v>
      </c>
      <c r="L26" s="26"/>
      <c r="M26" s="134">
        <f t="shared" si="67"/>
        <v>0</v>
      </c>
      <c r="N26" s="26"/>
      <c r="O26" s="134">
        <f t="shared" si="68"/>
        <v>0</v>
      </c>
      <c r="P26" s="26"/>
      <c r="Q26" s="134">
        <f t="shared" si="69"/>
        <v>0</v>
      </c>
      <c r="R26" s="26"/>
      <c r="S26" s="134">
        <f t="shared" si="70"/>
        <v>0</v>
      </c>
      <c r="T26" s="26"/>
      <c r="U26" s="134">
        <f t="shared" si="71"/>
        <v>0</v>
      </c>
      <c r="V26" s="26"/>
      <c r="W26" s="134">
        <f t="shared" si="72"/>
        <v>0</v>
      </c>
      <c r="X26" s="26"/>
      <c r="Y26" s="134">
        <f t="shared" si="73"/>
        <v>0</v>
      </c>
      <c r="Z26" s="26"/>
      <c r="AA26" s="26"/>
      <c r="AB26" s="135">
        <f t="shared" si="2"/>
        <v>1</v>
      </c>
      <c r="AC26" s="26"/>
      <c r="AD26" s="26"/>
      <c r="AE26" s="134">
        <f t="shared" si="74"/>
        <v>0</v>
      </c>
      <c r="AF26" s="135">
        <f t="shared" si="4"/>
        <v>1</v>
      </c>
      <c r="AG26" s="26"/>
      <c r="AH26" s="134">
        <f t="shared" si="75"/>
        <v>0</v>
      </c>
      <c r="AI26" s="135">
        <f t="shared" si="6"/>
        <v>1</v>
      </c>
      <c r="AJ26" s="26"/>
      <c r="AK26" s="134">
        <f t="shared" si="76"/>
        <v>0</v>
      </c>
      <c r="AL26" s="135">
        <f t="shared" si="8"/>
        <v>1</v>
      </c>
      <c r="AM26" s="26"/>
      <c r="AN26" s="134">
        <f t="shared" si="77"/>
        <v>0</v>
      </c>
      <c r="AO26" s="135">
        <f t="shared" si="10"/>
        <v>1</v>
      </c>
      <c r="AP26" s="26"/>
      <c r="AQ26" s="134">
        <f t="shared" si="78"/>
        <v>0</v>
      </c>
      <c r="AR26" s="135">
        <f t="shared" si="12"/>
        <v>1</v>
      </c>
      <c r="AS26" s="26"/>
      <c r="AT26" s="134">
        <f t="shared" si="79"/>
        <v>0</v>
      </c>
      <c r="AU26" s="135">
        <f t="shared" si="14"/>
        <v>1</v>
      </c>
      <c r="AV26" s="26"/>
      <c r="AW26" s="134">
        <f t="shared" si="80"/>
        <v>0</v>
      </c>
      <c r="AX26" s="135">
        <f t="shared" si="16"/>
        <v>1</v>
      </c>
      <c r="AY26" s="26"/>
      <c r="AZ26" s="134">
        <f t="shared" si="81"/>
        <v>0</v>
      </c>
      <c r="BA26" s="135">
        <f t="shared" si="18"/>
        <v>1</v>
      </c>
      <c r="BB26" s="26"/>
      <c r="BC26" s="134">
        <f t="shared" si="82"/>
        <v>0</v>
      </c>
      <c r="BD26" s="135">
        <f t="shared" si="20"/>
        <v>1</v>
      </c>
      <c r="BE26" s="26"/>
      <c r="BF26" s="134">
        <f t="shared" si="83"/>
        <v>0</v>
      </c>
      <c r="BG26" s="135">
        <f t="shared" si="22"/>
        <v>1</v>
      </c>
      <c r="BH26" s="134"/>
      <c r="BI26" s="26"/>
      <c r="BJ26" s="26"/>
      <c r="BK26" s="135">
        <f>IF($AA$26=0,1,BJ26/$AA$26-1)</f>
        <v>1</v>
      </c>
      <c r="BL26" s="135">
        <f t="shared" si="24"/>
        <v>1</v>
      </c>
      <c r="BM26" s="167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</row>
    <row r="27" spans="1:206" s="59" customFormat="1" ht="18" customHeight="1">
      <c r="A27" s="437" t="s">
        <v>44</v>
      </c>
      <c r="B27" s="437"/>
      <c r="C27" s="132">
        <f t="shared" ref="C27" si="84">C28+C29+C31+C33+C35+C36</f>
        <v>0</v>
      </c>
      <c r="D27" s="132">
        <f>D28+D29+D31+D33+D35+D36</f>
        <v>0</v>
      </c>
      <c r="E27" s="132">
        <f t="shared" ref="E27:AA27" si="85">E28+E29+E31+E33+E35+E36</f>
        <v>0</v>
      </c>
      <c r="F27" s="132">
        <f t="shared" si="85"/>
        <v>0</v>
      </c>
      <c r="G27" s="132">
        <f t="shared" si="85"/>
        <v>0</v>
      </c>
      <c r="H27" s="132">
        <f t="shared" si="85"/>
        <v>0</v>
      </c>
      <c r="I27" s="132">
        <f t="shared" si="85"/>
        <v>0</v>
      </c>
      <c r="J27" s="132">
        <f t="shared" si="85"/>
        <v>0</v>
      </c>
      <c r="K27" s="132">
        <f t="shared" si="85"/>
        <v>0</v>
      </c>
      <c r="L27" s="132">
        <f t="shared" si="85"/>
        <v>0</v>
      </c>
      <c r="M27" s="132">
        <f t="shared" si="85"/>
        <v>0</v>
      </c>
      <c r="N27" s="132">
        <f t="shared" si="85"/>
        <v>0</v>
      </c>
      <c r="O27" s="132">
        <f t="shared" si="85"/>
        <v>0</v>
      </c>
      <c r="P27" s="132">
        <f t="shared" si="85"/>
        <v>0</v>
      </c>
      <c r="Q27" s="132">
        <f t="shared" si="85"/>
        <v>0</v>
      </c>
      <c r="R27" s="132">
        <f t="shared" si="85"/>
        <v>0</v>
      </c>
      <c r="S27" s="132">
        <f t="shared" si="85"/>
        <v>0</v>
      </c>
      <c r="T27" s="132">
        <f t="shared" si="85"/>
        <v>0</v>
      </c>
      <c r="U27" s="132">
        <f t="shared" si="85"/>
        <v>0</v>
      </c>
      <c r="V27" s="132">
        <f t="shared" si="85"/>
        <v>0</v>
      </c>
      <c r="W27" s="132">
        <f t="shared" si="85"/>
        <v>0</v>
      </c>
      <c r="X27" s="132">
        <f t="shared" si="85"/>
        <v>0</v>
      </c>
      <c r="Y27" s="132">
        <f t="shared" si="85"/>
        <v>0</v>
      </c>
      <c r="Z27" s="132">
        <f t="shared" si="85"/>
        <v>0</v>
      </c>
      <c r="AA27" s="132">
        <f t="shared" si="85"/>
        <v>0</v>
      </c>
      <c r="AB27" s="133">
        <f t="shared" si="2"/>
        <v>1</v>
      </c>
      <c r="AC27" s="132">
        <f t="shared" ref="AC27:BF27" si="86">AC28+AC29+AC31+AC33+AC35+AC36</f>
        <v>0</v>
      </c>
      <c r="AD27" s="132">
        <f t="shared" si="86"/>
        <v>0</v>
      </c>
      <c r="AE27" s="132">
        <f t="shared" si="86"/>
        <v>0</v>
      </c>
      <c r="AF27" s="133">
        <f t="shared" si="4"/>
        <v>1</v>
      </c>
      <c r="AG27" s="132">
        <f t="shared" ref="AG27" si="87">AG28+AG29+AG31+AG33+AG35+AG36</f>
        <v>0</v>
      </c>
      <c r="AH27" s="132">
        <f t="shared" si="86"/>
        <v>0</v>
      </c>
      <c r="AI27" s="133">
        <f t="shared" si="6"/>
        <v>1</v>
      </c>
      <c r="AJ27" s="132">
        <f t="shared" ref="AJ27" si="88">AJ28+AJ29+AJ31+AJ33+AJ35+AJ36</f>
        <v>0</v>
      </c>
      <c r="AK27" s="132">
        <f t="shared" si="86"/>
        <v>0</v>
      </c>
      <c r="AL27" s="133">
        <f t="shared" si="8"/>
        <v>1</v>
      </c>
      <c r="AM27" s="132">
        <f t="shared" ref="AM27" si="89">AM28+AM29+AM31+AM33+AM35+AM36</f>
        <v>0</v>
      </c>
      <c r="AN27" s="132">
        <f t="shared" si="86"/>
        <v>0</v>
      </c>
      <c r="AO27" s="133">
        <f t="shared" si="10"/>
        <v>1</v>
      </c>
      <c r="AP27" s="132">
        <f t="shared" ref="AP27" si="90">AP28+AP29+AP31+AP33+AP35+AP36</f>
        <v>0</v>
      </c>
      <c r="AQ27" s="132">
        <f t="shared" si="86"/>
        <v>0</v>
      </c>
      <c r="AR27" s="133">
        <f t="shared" si="12"/>
        <v>1</v>
      </c>
      <c r="AS27" s="132">
        <f t="shared" ref="AS27" si="91">AS28+AS29+AS31+AS33+AS35+AS36</f>
        <v>0</v>
      </c>
      <c r="AT27" s="132">
        <f t="shared" si="86"/>
        <v>0</v>
      </c>
      <c r="AU27" s="133">
        <f t="shared" si="14"/>
        <v>1</v>
      </c>
      <c r="AV27" s="132">
        <f t="shared" ref="AV27" si="92">AV28+AV29+AV31+AV33+AV35+AV36</f>
        <v>0</v>
      </c>
      <c r="AW27" s="132">
        <f t="shared" si="86"/>
        <v>0</v>
      </c>
      <c r="AX27" s="133">
        <f t="shared" si="16"/>
        <v>1</v>
      </c>
      <c r="AY27" s="132">
        <f t="shared" ref="AY27" si="93">AY28+AY29+AY31+AY33+AY35+AY36</f>
        <v>0</v>
      </c>
      <c r="AZ27" s="132">
        <f t="shared" si="86"/>
        <v>0</v>
      </c>
      <c r="BA27" s="133">
        <f t="shared" si="18"/>
        <v>1</v>
      </c>
      <c r="BB27" s="132">
        <f t="shared" ref="BB27" si="94">BB28+BB29+BB31+BB33+BB35+BB36</f>
        <v>0</v>
      </c>
      <c r="BC27" s="132">
        <f t="shared" si="86"/>
        <v>0</v>
      </c>
      <c r="BD27" s="133">
        <f t="shared" si="20"/>
        <v>1</v>
      </c>
      <c r="BE27" s="132">
        <f t="shared" ref="BE27" si="95">BE28+BE29+BE31+BE33+BE35+BE36</f>
        <v>0</v>
      </c>
      <c r="BF27" s="132">
        <f t="shared" si="86"/>
        <v>0</v>
      </c>
      <c r="BG27" s="133">
        <f t="shared" si="22"/>
        <v>1</v>
      </c>
      <c r="BH27" s="132">
        <f t="shared" ref="BH27:BJ27" si="96">BH28+BH29+BH31+BH33+BH35+BH36</f>
        <v>0</v>
      </c>
      <c r="BI27" s="132">
        <f t="shared" si="96"/>
        <v>0</v>
      </c>
      <c r="BJ27" s="132">
        <f t="shared" si="96"/>
        <v>0</v>
      </c>
      <c r="BK27" s="133">
        <f>IF($AA$27=0,1,BJ27/$AA$27-1)</f>
        <v>1</v>
      </c>
      <c r="BL27" s="133">
        <f t="shared" si="24"/>
        <v>1</v>
      </c>
      <c r="BM27" s="166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</row>
    <row r="28" spans="1:206" s="64" customFormat="1" ht="18" customHeight="1">
      <c r="A28" s="429" t="s">
        <v>94</v>
      </c>
      <c r="B28" s="429"/>
      <c r="C28" s="29"/>
      <c r="D28" s="134">
        <f t="shared" ref="D28:D36" si="97">E28+F28+H28+J28+L28+N28+P28+R28+T28+V28+X28+Z28</f>
        <v>0</v>
      </c>
      <c r="E28" s="29"/>
      <c r="F28" s="29"/>
      <c r="G28" s="134">
        <f t="shared" ref="G28:G36" si="98">E28+F28</f>
        <v>0</v>
      </c>
      <c r="H28" s="29"/>
      <c r="I28" s="134">
        <f t="shared" ref="I28:I36" si="99">G28+H28</f>
        <v>0</v>
      </c>
      <c r="J28" s="29"/>
      <c r="K28" s="134">
        <f t="shared" ref="K28:K36" si="100">I28+J28</f>
        <v>0</v>
      </c>
      <c r="L28" s="29"/>
      <c r="M28" s="134">
        <f t="shared" ref="M28:M36" si="101">K28+L28</f>
        <v>0</v>
      </c>
      <c r="N28" s="29"/>
      <c r="O28" s="134">
        <f t="shared" ref="O28:O36" si="102">M28+N28</f>
        <v>0</v>
      </c>
      <c r="P28" s="29"/>
      <c r="Q28" s="134">
        <f t="shared" ref="Q28:Q36" si="103">O28+P28</f>
        <v>0</v>
      </c>
      <c r="R28" s="29"/>
      <c r="S28" s="134">
        <f t="shared" ref="S28:S36" si="104">Q28+R28</f>
        <v>0</v>
      </c>
      <c r="T28" s="29"/>
      <c r="U28" s="134">
        <f t="shared" ref="U28:U36" si="105">S28+T28</f>
        <v>0</v>
      </c>
      <c r="V28" s="29"/>
      <c r="W28" s="134">
        <f t="shared" ref="W28:W36" si="106">U28+V28</f>
        <v>0</v>
      </c>
      <c r="X28" s="29"/>
      <c r="Y28" s="134">
        <f t="shared" ref="Y28:Y36" si="107">W28+X28</f>
        <v>0</v>
      </c>
      <c r="Z28" s="29"/>
      <c r="AA28" s="29"/>
      <c r="AB28" s="135">
        <f t="shared" si="2"/>
        <v>1</v>
      </c>
      <c r="AC28" s="29"/>
      <c r="AD28" s="29"/>
      <c r="AE28" s="134">
        <f t="shared" ref="AE28:AE36" si="108">AC28+AD28</f>
        <v>0</v>
      </c>
      <c r="AF28" s="135">
        <f t="shared" si="4"/>
        <v>1</v>
      </c>
      <c r="AG28" s="29"/>
      <c r="AH28" s="134">
        <f t="shared" ref="AH28:AH36" si="109">AE28+AG28</f>
        <v>0</v>
      </c>
      <c r="AI28" s="135">
        <f t="shared" si="6"/>
        <v>1</v>
      </c>
      <c r="AJ28" s="29"/>
      <c r="AK28" s="134">
        <f t="shared" ref="AK28:AK36" si="110">AH28+AJ28</f>
        <v>0</v>
      </c>
      <c r="AL28" s="135">
        <f t="shared" si="8"/>
        <v>1</v>
      </c>
      <c r="AM28" s="29"/>
      <c r="AN28" s="134">
        <f t="shared" ref="AN28:AN36" si="111">AK28+AM28</f>
        <v>0</v>
      </c>
      <c r="AO28" s="135">
        <f t="shared" si="10"/>
        <v>1</v>
      </c>
      <c r="AP28" s="29"/>
      <c r="AQ28" s="134">
        <f t="shared" ref="AQ28:AQ36" si="112">AN28+AP28</f>
        <v>0</v>
      </c>
      <c r="AR28" s="135">
        <f t="shared" si="12"/>
        <v>1</v>
      </c>
      <c r="AS28" s="29"/>
      <c r="AT28" s="134">
        <f t="shared" ref="AT28:AT36" si="113">AQ28+AS28</f>
        <v>0</v>
      </c>
      <c r="AU28" s="135">
        <f t="shared" si="14"/>
        <v>1</v>
      </c>
      <c r="AV28" s="29"/>
      <c r="AW28" s="134">
        <f t="shared" ref="AW28:AW36" si="114">AT28+AV28</f>
        <v>0</v>
      </c>
      <c r="AX28" s="135">
        <f t="shared" si="16"/>
        <v>1</v>
      </c>
      <c r="AY28" s="29"/>
      <c r="AZ28" s="134">
        <f t="shared" ref="AZ28:AZ36" si="115">AW28+AY28</f>
        <v>0</v>
      </c>
      <c r="BA28" s="135">
        <f t="shared" si="18"/>
        <v>1</v>
      </c>
      <c r="BB28" s="29"/>
      <c r="BC28" s="134">
        <f t="shared" ref="BC28:BC36" si="116">AZ28+BB28</f>
        <v>0</v>
      </c>
      <c r="BD28" s="135">
        <f t="shared" si="20"/>
        <v>1</v>
      </c>
      <c r="BE28" s="29"/>
      <c r="BF28" s="134">
        <f t="shared" ref="BF28:BF36" si="117">BC28+BE28</f>
        <v>0</v>
      </c>
      <c r="BG28" s="135">
        <f t="shared" si="22"/>
        <v>1</v>
      </c>
      <c r="BH28" s="134"/>
      <c r="BI28" s="26"/>
      <c r="BJ28" s="26"/>
      <c r="BK28" s="135">
        <f>IF($AA$28=0,1,BJ28/$AA$28-1)</f>
        <v>1</v>
      </c>
      <c r="BL28" s="135">
        <f t="shared" si="24"/>
        <v>1</v>
      </c>
      <c r="BM28" s="167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</row>
    <row r="29" spans="1:206" s="64" customFormat="1" ht="18" customHeight="1">
      <c r="A29" s="429" t="s">
        <v>45</v>
      </c>
      <c r="B29" s="429"/>
      <c r="C29" s="29"/>
      <c r="D29" s="134">
        <f t="shared" si="97"/>
        <v>0</v>
      </c>
      <c r="E29" s="29"/>
      <c r="F29" s="29"/>
      <c r="G29" s="134">
        <f t="shared" si="98"/>
        <v>0</v>
      </c>
      <c r="H29" s="29"/>
      <c r="I29" s="134">
        <f t="shared" si="99"/>
        <v>0</v>
      </c>
      <c r="J29" s="29"/>
      <c r="K29" s="134">
        <f t="shared" si="100"/>
        <v>0</v>
      </c>
      <c r="L29" s="29"/>
      <c r="M29" s="134">
        <f t="shared" si="101"/>
        <v>0</v>
      </c>
      <c r="N29" s="29"/>
      <c r="O29" s="134">
        <f t="shared" si="102"/>
        <v>0</v>
      </c>
      <c r="P29" s="29"/>
      <c r="Q29" s="134">
        <f t="shared" si="103"/>
        <v>0</v>
      </c>
      <c r="R29" s="29"/>
      <c r="S29" s="134">
        <f t="shared" si="104"/>
        <v>0</v>
      </c>
      <c r="T29" s="29"/>
      <c r="U29" s="134">
        <f t="shared" si="105"/>
        <v>0</v>
      </c>
      <c r="V29" s="29"/>
      <c r="W29" s="134">
        <f t="shared" si="106"/>
        <v>0</v>
      </c>
      <c r="X29" s="29"/>
      <c r="Y29" s="134">
        <f t="shared" si="107"/>
        <v>0</v>
      </c>
      <c r="Z29" s="29"/>
      <c r="AA29" s="29"/>
      <c r="AB29" s="135">
        <f t="shared" si="2"/>
        <v>1</v>
      </c>
      <c r="AC29" s="29"/>
      <c r="AD29" s="29"/>
      <c r="AE29" s="134">
        <f t="shared" si="108"/>
        <v>0</v>
      </c>
      <c r="AF29" s="135">
        <f t="shared" si="4"/>
        <v>1</v>
      </c>
      <c r="AG29" s="29"/>
      <c r="AH29" s="134">
        <f t="shared" si="109"/>
        <v>0</v>
      </c>
      <c r="AI29" s="135">
        <f t="shared" si="6"/>
        <v>1</v>
      </c>
      <c r="AJ29" s="29"/>
      <c r="AK29" s="134">
        <f t="shared" si="110"/>
        <v>0</v>
      </c>
      <c r="AL29" s="135">
        <f t="shared" si="8"/>
        <v>1</v>
      </c>
      <c r="AM29" s="29"/>
      <c r="AN29" s="134">
        <f t="shared" si="111"/>
        <v>0</v>
      </c>
      <c r="AO29" s="135">
        <f t="shared" si="10"/>
        <v>1</v>
      </c>
      <c r="AP29" s="29"/>
      <c r="AQ29" s="134">
        <f t="shared" si="112"/>
        <v>0</v>
      </c>
      <c r="AR29" s="135">
        <f t="shared" si="12"/>
        <v>1</v>
      </c>
      <c r="AS29" s="29"/>
      <c r="AT29" s="134">
        <f t="shared" si="113"/>
        <v>0</v>
      </c>
      <c r="AU29" s="135">
        <f t="shared" si="14"/>
        <v>1</v>
      </c>
      <c r="AV29" s="29"/>
      <c r="AW29" s="134">
        <f t="shared" si="114"/>
        <v>0</v>
      </c>
      <c r="AX29" s="135">
        <f t="shared" si="16"/>
        <v>1</v>
      </c>
      <c r="AY29" s="29"/>
      <c r="AZ29" s="134">
        <f t="shared" si="115"/>
        <v>0</v>
      </c>
      <c r="BA29" s="135">
        <f t="shared" si="18"/>
        <v>1</v>
      </c>
      <c r="BB29" s="29"/>
      <c r="BC29" s="134">
        <f t="shared" si="116"/>
        <v>0</v>
      </c>
      <c r="BD29" s="135">
        <f t="shared" si="20"/>
        <v>1</v>
      </c>
      <c r="BE29" s="29"/>
      <c r="BF29" s="134">
        <f t="shared" si="117"/>
        <v>0</v>
      </c>
      <c r="BG29" s="135">
        <f t="shared" si="22"/>
        <v>1</v>
      </c>
      <c r="BH29" s="134"/>
      <c r="BI29" s="26"/>
      <c r="BJ29" s="26"/>
      <c r="BK29" s="135">
        <f>IF($AA$29=0,1,BJ29/$AA$29-1)</f>
        <v>1</v>
      </c>
      <c r="BL29" s="135">
        <f t="shared" si="24"/>
        <v>1</v>
      </c>
      <c r="BM29" s="167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</row>
    <row r="30" spans="1:206" s="64" customFormat="1" ht="18" customHeight="1">
      <c r="A30" s="429" t="s">
        <v>91</v>
      </c>
      <c r="B30" s="429"/>
      <c r="C30" s="29"/>
      <c r="D30" s="134">
        <f t="shared" si="97"/>
        <v>0</v>
      </c>
      <c r="E30" s="30"/>
      <c r="F30" s="30"/>
      <c r="G30" s="134">
        <f t="shared" si="98"/>
        <v>0</v>
      </c>
      <c r="H30" s="30"/>
      <c r="I30" s="134">
        <f t="shared" si="99"/>
        <v>0</v>
      </c>
      <c r="J30" s="30"/>
      <c r="K30" s="134">
        <f t="shared" si="100"/>
        <v>0</v>
      </c>
      <c r="L30" s="30"/>
      <c r="M30" s="134">
        <f t="shared" si="101"/>
        <v>0</v>
      </c>
      <c r="N30" s="30"/>
      <c r="O30" s="134">
        <f t="shared" si="102"/>
        <v>0</v>
      </c>
      <c r="P30" s="30"/>
      <c r="Q30" s="134">
        <f t="shared" si="103"/>
        <v>0</v>
      </c>
      <c r="R30" s="30"/>
      <c r="S30" s="134">
        <f t="shared" si="104"/>
        <v>0</v>
      </c>
      <c r="T30" s="30"/>
      <c r="U30" s="134">
        <f t="shared" si="105"/>
        <v>0</v>
      </c>
      <c r="V30" s="30"/>
      <c r="W30" s="134">
        <f t="shared" si="106"/>
        <v>0</v>
      </c>
      <c r="X30" s="30"/>
      <c r="Y30" s="134">
        <f t="shared" si="107"/>
        <v>0</v>
      </c>
      <c r="Z30" s="30"/>
      <c r="AA30" s="30"/>
      <c r="AB30" s="135">
        <f t="shared" si="2"/>
        <v>1</v>
      </c>
      <c r="AC30" s="30"/>
      <c r="AD30" s="30"/>
      <c r="AE30" s="134">
        <f t="shared" si="108"/>
        <v>0</v>
      </c>
      <c r="AF30" s="135">
        <f t="shared" si="4"/>
        <v>1</v>
      </c>
      <c r="AG30" s="30"/>
      <c r="AH30" s="134">
        <f t="shared" si="109"/>
        <v>0</v>
      </c>
      <c r="AI30" s="135">
        <f t="shared" si="6"/>
        <v>1</v>
      </c>
      <c r="AJ30" s="30"/>
      <c r="AK30" s="134">
        <f t="shared" si="110"/>
        <v>0</v>
      </c>
      <c r="AL30" s="135">
        <f t="shared" si="8"/>
        <v>1</v>
      </c>
      <c r="AM30" s="30"/>
      <c r="AN30" s="134">
        <f t="shared" si="111"/>
        <v>0</v>
      </c>
      <c r="AO30" s="135">
        <f t="shared" si="10"/>
        <v>1</v>
      </c>
      <c r="AP30" s="30"/>
      <c r="AQ30" s="134">
        <f t="shared" si="112"/>
        <v>0</v>
      </c>
      <c r="AR30" s="135">
        <f t="shared" si="12"/>
        <v>1</v>
      </c>
      <c r="AS30" s="30"/>
      <c r="AT30" s="134">
        <f t="shared" si="113"/>
        <v>0</v>
      </c>
      <c r="AU30" s="135">
        <f t="shared" si="14"/>
        <v>1</v>
      </c>
      <c r="AV30" s="30"/>
      <c r="AW30" s="134">
        <f t="shared" si="114"/>
        <v>0</v>
      </c>
      <c r="AX30" s="135">
        <f t="shared" si="16"/>
        <v>1</v>
      </c>
      <c r="AY30" s="30"/>
      <c r="AZ30" s="134">
        <f t="shared" si="115"/>
        <v>0</v>
      </c>
      <c r="BA30" s="135">
        <f t="shared" si="18"/>
        <v>1</v>
      </c>
      <c r="BB30" s="30"/>
      <c r="BC30" s="134">
        <f t="shared" si="116"/>
        <v>0</v>
      </c>
      <c r="BD30" s="135">
        <f t="shared" si="20"/>
        <v>1</v>
      </c>
      <c r="BE30" s="30"/>
      <c r="BF30" s="134">
        <f t="shared" si="117"/>
        <v>0</v>
      </c>
      <c r="BG30" s="135">
        <f t="shared" si="22"/>
        <v>1</v>
      </c>
      <c r="BH30" s="134"/>
      <c r="BI30" s="26"/>
      <c r="BJ30" s="26"/>
      <c r="BK30" s="135">
        <f>IF($AA$30=0,1,BJ30/$AA$30-1)</f>
        <v>1</v>
      </c>
      <c r="BL30" s="135">
        <f t="shared" si="24"/>
        <v>1</v>
      </c>
      <c r="BM30" s="167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</row>
    <row r="31" spans="1:206" s="64" customFormat="1" ht="18" customHeight="1">
      <c r="A31" s="429" t="s">
        <v>46</v>
      </c>
      <c r="B31" s="429"/>
      <c r="C31" s="29"/>
      <c r="D31" s="134">
        <f t="shared" si="97"/>
        <v>0</v>
      </c>
      <c r="E31" s="30"/>
      <c r="F31" s="30"/>
      <c r="G31" s="134">
        <f t="shared" si="98"/>
        <v>0</v>
      </c>
      <c r="H31" s="30"/>
      <c r="I31" s="134">
        <f t="shared" si="99"/>
        <v>0</v>
      </c>
      <c r="J31" s="30"/>
      <c r="K31" s="134">
        <f t="shared" si="100"/>
        <v>0</v>
      </c>
      <c r="L31" s="30"/>
      <c r="M31" s="134">
        <f t="shared" si="101"/>
        <v>0</v>
      </c>
      <c r="N31" s="30"/>
      <c r="O31" s="134">
        <f t="shared" si="102"/>
        <v>0</v>
      </c>
      <c r="P31" s="30"/>
      <c r="Q31" s="134">
        <f t="shared" si="103"/>
        <v>0</v>
      </c>
      <c r="R31" s="30"/>
      <c r="S31" s="134">
        <f t="shared" si="104"/>
        <v>0</v>
      </c>
      <c r="T31" s="30"/>
      <c r="U31" s="134">
        <f t="shared" si="105"/>
        <v>0</v>
      </c>
      <c r="V31" s="30"/>
      <c r="W31" s="134">
        <f t="shared" si="106"/>
        <v>0</v>
      </c>
      <c r="X31" s="30"/>
      <c r="Y31" s="134">
        <f t="shared" si="107"/>
        <v>0</v>
      </c>
      <c r="Z31" s="30"/>
      <c r="AA31" s="30"/>
      <c r="AB31" s="135">
        <f t="shared" si="2"/>
        <v>1</v>
      </c>
      <c r="AC31" s="30"/>
      <c r="AD31" s="30"/>
      <c r="AE31" s="134">
        <f t="shared" si="108"/>
        <v>0</v>
      </c>
      <c r="AF31" s="135">
        <f t="shared" si="4"/>
        <v>1</v>
      </c>
      <c r="AG31" s="30"/>
      <c r="AH31" s="134">
        <f t="shared" si="109"/>
        <v>0</v>
      </c>
      <c r="AI31" s="135">
        <f t="shared" si="6"/>
        <v>1</v>
      </c>
      <c r="AJ31" s="30"/>
      <c r="AK31" s="134">
        <f t="shared" si="110"/>
        <v>0</v>
      </c>
      <c r="AL31" s="135">
        <f t="shared" si="8"/>
        <v>1</v>
      </c>
      <c r="AM31" s="30"/>
      <c r="AN31" s="134">
        <f t="shared" si="111"/>
        <v>0</v>
      </c>
      <c r="AO31" s="135">
        <f t="shared" si="10"/>
        <v>1</v>
      </c>
      <c r="AP31" s="30"/>
      <c r="AQ31" s="134">
        <f t="shared" si="112"/>
        <v>0</v>
      </c>
      <c r="AR31" s="135">
        <f t="shared" si="12"/>
        <v>1</v>
      </c>
      <c r="AS31" s="30"/>
      <c r="AT31" s="134">
        <f t="shared" si="113"/>
        <v>0</v>
      </c>
      <c r="AU31" s="135">
        <f t="shared" si="14"/>
        <v>1</v>
      </c>
      <c r="AV31" s="30"/>
      <c r="AW31" s="134">
        <f t="shared" si="114"/>
        <v>0</v>
      </c>
      <c r="AX31" s="135">
        <f t="shared" si="16"/>
        <v>1</v>
      </c>
      <c r="AY31" s="30"/>
      <c r="AZ31" s="134">
        <f t="shared" si="115"/>
        <v>0</v>
      </c>
      <c r="BA31" s="135">
        <f t="shared" si="18"/>
        <v>1</v>
      </c>
      <c r="BB31" s="30"/>
      <c r="BC31" s="134">
        <f t="shared" si="116"/>
        <v>0</v>
      </c>
      <c r="BD31" s="135">
        <f t="shared" si="20"/>
        <v>1</v>
      </c>
      <c r="BE31" s="30"/>
      <c r="BF31" s="134">
        <f t="shared" si="117"/>
        <v>0</v>
      </c>
      <c r="BG31" s="135">
        <f t="shared" si="22"/>
        <v>1</v>
      </c>
      <c r="BH31" s="134"/>
      <c r="BI31" s="26"/>
      <c r="BJ31" s="26"/>
      <c r="BK31" s="135">
        <f>IF($AA$31=0,1,BJ31/$AA$31-1)</f>
        <v>1</v>
      </c>
      <c r="BL31" s="135">
        <f t="shared" si="24"/>
        <v>1</v>
      </c>
      <c r="BM31" s="167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</row>
    <row r="32" spans="1:206" s="64" customFormat="1" ht="18" customHeight="1">
      <c r="A32" s="429" t="s">
        <v>92</v>
      </c>
      <c r="B32" s="429"/>
      <c r="C32" s="29"/>
      <c r="D32" s="134">
        <f t="shared" si="97"/>
        <v>0</v>
      </c>
      <c r="E32" s="30"/>
      <c r="F32" s="30"/>
      <c r="G32" s="134">
        <f t="shared" si="98"/>
        <v>0</v>
      </c>
      <c r="H32" s="30"/>
      <c r="I32" s="134">
        <f t="shared" si="99"/>
        <v>0</v>
      </c>
      <c r="J32" s="30"/>
      <c r="K32" s="134">
        <f t="shared" si="100"/>
        <v>0</v>
      </c>
      <c r="L32" s="30"/>
      <c r="M32" s="134">
        <f t="shared" si="101"/>
        <v>0</v>
      </c>
      <c r="N32" s="30"/>
      <c r="O32" s="134">
        <f t="shared" si="102"/>
        <v>0</v>
      </c>
      <c r="P32" s="30"/>
      <c r="Q32" s="134">
        <f t="shared" si="103"/>
        <v>0</v>
      </c>
      <c r="R32" s="30"/>
      <c r="S32" s="134">
        <f t="shared" si="104"/>
        <v>0</v>
      </c>
      <c r="T32" s="30"/>
      <c r="U32" s="134">
        <f t="shared" si="105"/>
        <v>0</v>
      </c>
      <c r="V32" s="30"/>
      <c r="W32" s="134">
        <f t="shared" si="106"/>
        <v>0</v>
      </c>
      <c r="X32" s="30"/>
      <c r="Y32" s="134">
        <f t="shared" si="107"/>
        <v>0</v>
      </c>
      <c r="Z32" s="30"/>
      <c r="AA32" s="30"/>
      <c r="AB32" s="135">
        <f t="shared" si="2"/>
        <v>1</v>
      </c>
      <c r="AC32" s="30"/>
      <c r="AD32" s="30"/>
      <c r="AE32" s="134">
        <f t="shared" si="108"/>
        <v>0</v>
      </c>
      <c r="AF32" s="135">
        <f t="shared" si="4"/>
        <v>1</v>
      </c>
      <c r="AG32" s="30"/>
      <c r="AH32" s="134">
        <f t="shared" si="109"/>
        <v>0</v>
      </c>
      <c r="AI32" s="135">
        <f t="shared" si="6"/>
        <v>1</v>
      </c>
      <c r="AJ32" s="30"/>
      <c r="AK32" s="134">
        <f t="shared" si="110"/>
        <v>0</v>
      </c>
      <c r="AL32" s="135">
        <f t="shared" si="8"/>
        <v>1</v>
      </c>
      <c r="AM32" s="30"/>
      <c r="AN32" s="134">
        <f t="shared" si="111"/>
        <v>0</v>
      </c>
      <c r="AO32" s="135">
        <f t="shared" si="10"/>
        <v>1</v>
      </c>
      <c r="AP32" s="30"/>
      <c r="AQ32" s="134">
        <f t="shared" si="112"/>
        <v>0</v>
      </c>
      <c r="AR32" s="135">
        <f t="shared" si="12"/>
        <v>1</v>
      </c>
      <c r="AS32" s="30"/>
      <c r="AT32" s="134">
        <f t="shared" si="113"/>
        <v>0</v>
      </c>
      <c r="AU32" s="135">
        <f t="shared" si="14"/>
        <v>1</v>
      </c>
      <c r="AV32" s="30"/>
      <c r="AW32" s="134">
        <f t="shared" si="114"/>
        <v>0</v>
      </c>
      <c r="AX32" s="135">
        <f t="shared" si="16"/>
        <v>1</v>
      </c>
      <c r="AY32" s="30"/>
      <c r="AZ32" s="134">
        <f t="shared" si="115"/>
        <v>0</v>
      </c>
      <c r="BA32" s="135">
        <f t="shared" si="18"/>
        <v>1</v>
      </c>
      <c r="BB32" s="30"/>
      <c r="BC32" s="134">
        <f t="shared" si="116"/>
        <v>0</v>
      </c>
      <c r="BD32" s="135">
        <f t="shared" si="20"/>
        <v>1</v>
      </c>
      <c r="BE32" s="30"/>
      <c r="BF32" s="134">
        <f t="shared" si="117"/>
        <v>0</v>
      </c>
      <c r="BG32" s="135">
        <f t="shared" si="22"/>
        <v>1</v>
      </c>
      <c r="BH32" s="134"/>
      <c r="BI32" s="26"/>
      <c r="BJ32" s="26"/>
      <c r="BK32" s="135">
        <f>IF($AA$32=0,1,BJ32/$AA$32-1)</f>
        <v>1</v>
      </c>
      <c r="BL32" s="135">
        <f t="shared" si="24"/>
        <v>1</v>
      </c>
      <c r="BM32" s="167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</row>
    <row r="33" spans="1:206" s="66" customFormat="1" ht="18" customHeight="1">
      <c r="A33" s="429" t="s">
        <v>142</v>
      </c>
      <c r="B33" s="429"/>
      <c r="C33" s="29"/>
      <c r="D33" s="134">
        <f t="shared" si="97"/>
        <v>0</v>
      </c>
      <c r="E33" s="29"/>
      <c r="F33" s="29"/>
      <c r="G33" s="134">
        <f t="shared" si="98"/>
        <v>0</v>
      </c>
      <c r="H33" s="29"/>
      <c r="I33" s="134">
        <f t="shared" si="99"/>
        <v>0</v>
      </c>
      <c r="J33" s="29"/>
      <c r="K33" s="134">
        <f t="shared" si="100"/>
        <v>0</v>
      </c>
      <c r="L33" s="29"/>
      <c r="M33" s="134">
        <f t="shared" si="101"/>
        <v>0</v>
      </c>
      <c r="N33" s="29"/>
      <c r="O33" s="134">
        <f t="shared" si="102"/>
        <v>0</v>
      </c>
      <c r="P33" s="29"/>
      <c r="Q33" s="134">
        <f t="shared" si="103"/>
        <v>0</v>
      </c>
      <c r="R33" s="29"/>
      <c r="S33" s="134">
        <f t="shared" si="104"/>
        <v>0</v>
      </c>
      <c r="T33" s="29"/>
      <c r="U33" s="134">
        <f t="shared" si="105"/>
        <v>0</v>
      </c>
      <c r="V33" s="29"/>
      <c r="W33" s="134">
        <f t="shared" si="106"/>
        <v>0</v>
      </c>
      <c r="X33" s="29"/>
      <c r="Y33" s="134">
        <f t="shared" si="107"/>
        <v>0</v>
      </c>
      <c r="Z33" s="29"/>
      <c r="AA33" s="29"/>
      <c r="AB33" s="135">
        <f t="shared" si="2"/>
        <v>1</v>
      </c>
      <c r="AC33" s="29"/>
      <c r="AD33" s="29"/>
      <c r="AE33" s="134">
        <f t="shared" si="108"/>
        <v>0</v>
      </c>
      <c r="AF33" s="135">
        <f t="shared" si="4"/>
        <v>1</v>
      </c>
      <c r="AG33" s="29"/>
      <c r="AH33" s="134">
        <f t="shared" si="109"/>
        <v>0</v>
      </c>
      <c r="AI33" s="135">
        <f t="shared" si="6"/>
        <v>1</v>
      </c>
      <c r="AJ33" s="29"/>
      <c r="AK33" s="134">
        <f t="shared" si="110"/>
        <v>0</v>
      </c>
      <c r="AL33" s="135">
        <f t="shared" si="8"/>
        <v>1</v>
      </c>
      <c r="AM33" s="29"/>
      <c r="AN33" s="134">
        <f t="shared" si="111"/>
        <v>0</v>
      </c>
      <c r="AO33" s="135">
        <f t="shared" si="10"/>
        <v>1</v>
      </c>
      <c r="AP33" s="29"/>
      <c r="AQ33" s="134">
        <f t="shared" si="112"/>
        <v>0</v>
      </c>
      <c r="AR33" s="135">
        <f t="shared" si="12"/>
        <v>1</v>
      </c>
      <c r="AS33" s="29"/>
      <c r="AT33" s="134">
        <f t="shared" si="113"/>
        <v>0</v>
      </c>
      <c r="AU33" s="135">
        <f t="shared" si="14"/>
        <v>1</v>
      </c>
      <c r="AV33" s="29"/>
      <c r="AW33" s="134">
        <f t="shared" si="114"/>
        <v>0</v>
      </c>
      <c r="AX33" s="135">
        <f t="shared" si="16"/>
        <v>1</v>
      </c>
      <c r="AY33" s="29"/>
      <c r="AZ33" s="134">
        <f t="shared" si="115"/>
        <v>0</v>
      </c>
      <c r="BA33" s="135">
        <f t="shared" si="18"/>
        <v>1</v>
      </c>
      <c r="BB33" s="29"/>
      <c r="BC33" s="134">
        <f t="shared" si="116"/>
        <v>0</v>
      </c>
      <c r="BD33" s="135">
        <f t="shared" si="20"/>
        <v>1</v>
      </c>
      <c r="BE33" s="29"/>
      <c r="BF33" s="134">
        <f t="shared" si="117"/>
        <v>0</v>
      </c>
      <c r="BG33" s="135">
        <f t="shared" si="22"/>
        <v>1</v>
      </c>
      <c r="BH33" s="134"/>
      <c r="BI33" s="26"/>
      <c r="BJ33" s="26"/>
      <c r="BK33" s="135">
        <f>IF($AA$33=0,1,BJ33/$AA$33-1)</f>
        <v>1</v>
      </c>
      <c r="BL33" s="135">
        <f t="shared" si="24"/>
        <v>1</v>
      </c>
      <c r="BM33" s="167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</row>
    <row r="34" spans="1:206" s="66" customFormat="1" ht="33" customHeight="1">
      <c r="A34" s="429" t="s">
        <v>118</v>
      </c>
      <c r="B34" s="429"/>
      <c r="C34" s="29"/>
      <c r="D34" s="134">
        <f t="shared" si="97"/>
        <v>0</v>
      </c>
      <c r="E34" s="29"/>
      <c r="F34" s="29"/>
      <c r="G34" s="134">
        <f t="shared" si="98"/>
        <v>0</v>
      </c>
      <c r="H34" s="29"/>
      <c r="I34" s="134">
        <f t="shared" si="99"/>
        <v>0</v>
      </c>
      <c r="J34" s="29"/>
      <c r="K34" s="134">
        <f t="shared" si="100"/>
        <v>0</v>
      </c>
      <c r="L34" s="29"/>
      <c r="M34" s="134">
        <f t="shared" si="101"/>
        <v>0</v>
      </c>
      <c r="N34" s="29"/>
      <c r="O34" s="134">
        <f t="shared" si="102"/>
        <v>0</v>
      </c>
      <c r="P34" s="29"/>
      <c r="Q34" s="134">
        <f t="shared" si="103"/>
        <v>0</v>
      </c>
      <c r="R34" s="29"/>
      <c r="S34" s="134">
        <f t="shared" si="104"/>
        <v>0</v>
      </c>
      <c r="T34" s="29"/>
      <c r="U34" s="134">
        <f t="shared" si="105"/>
        <v>0</v>
      </c>
      <c r="V34" s="29"/>
      <c r="W34" s="134">
        <f t="shared" si="106"/>
        <v>0</v>
      </c>
      <c r="X34" s="29"/>
      <c r="Y34" s="134">
        <f t="shared" si="107"/>
        <v>0</v>
      </c>
      <c r="Z34" s="29"/>
      <c r="AA34" s="29"/>
      <c r="AB34" s="135">
        <f t="shared" si="2"/>
        <v>1</v>
      </c>
      <c r="AC34" s="29"/>
      <c r="AD34" s="29"/>
      <c r="AE34" s="134">
        <f t="shared" si="108"/>
        <v>0</v>
      </c>
      <c r="AF34" s="135">
        <f t="shared" si="4"/>
        <v>1</v>
      </c>
      <c r="AG34" s="29"/>
      <c r="AH34" s="134">
        <f t="shared" si="109"/>
        <v>0</v>
      </c>
      <c r="AI34" s="135">
        <f t="shared" si="6"/>
        <v>1</v>
      </c>
      <c r="AJ34" s="29"/>
      <c r="AK34" s="134">
        <f t="shared" si="110"/>
        <v>0</v>
      </c>
      <c r="AL34" s="135">
        <f t="shared" si="8"/>
        <v>1</v>
      </c>
      <c r="AM34" s="29"/>
      <c r="AN34" s="134">
        <f t="shared" si="111"/>
        <v>0</v>
      </c>
      <c r="AO34" s="135">
        <f t="shared" si="10"/>
        <v>1</v>
      </c>
      <c r="AP34" s="29"/>
      <c r="AQ34" s="134">
        <f t="shared" si="112"/>
        <v>0</v>
      </c>
      <c r="AR34" s="135">
        <f t="shared" si="12"/>
        <v>1</v>
      </c>
      <c r="AS34" s="29"/>
      <c r="AT34" s="134">
        <f t="shared" si="113"/>
        <v>0</v>
      </c>
      <c r="AU34" s="135">
        <f t="shared" si="14"/>
        <v>1</v>
      </c>
      <c r="AV34" s="29"/>
      <c r="AW34" s="134">
        <f t="shared" si="114"/>
        <v>0</v>
      </c>
      <c r="AX34" s="135">
        <f t="shared" si="16"/>
        <v>1</v>
      </c>
      <c r="AY34" s="29"/>
      <c r="AZ34" s="134">
        <f t="shared" si="115"/>
        <v>0</v>
      </c>
      <c r="BA34" s="135">
        <f t="shared" si="18"/>
        <v>1</v>
      </c>
      <c r="BB34" s="29"/>
      <c r="BC34" s="134">
        <f t="shared" si="116"/>
        <v>0</v>
      </c>
      <c r="BD34" s="135">
        <f t="shared" si="20"/>
        <v>1</v>
      </c>
      <c r="BE34" s="29"/>
      <c r="BF34" s="134">
        <f t="shared" si="117"/>
        <v>0</v>
      </c>
      <c r="BG34" s="135">
        <f t="shared" si="22"/>
        <v>1</v>
      </c>
      <c r="BH34" s="134"/>
      <c r="BI34" s="26"/>
      <c r="BJ34" s="26"/>
      <c r="BK34" s="135">
        <f>IF($AA$34=0,1,BJ34/$AA$34-1)</f>
        <v>1</v>
      </c>
      <c r="BL34" s="135">
        <f t="shared" si="24"/>
        <v>1</v>
      </c>
      <c r="BM34" s="167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</row>
    <row r="35" spans="1:206" s="66" customFormat="1" ht="18" customHeight="1">
      <c r="A35" s="429" t="s">
        <v>48</v>
      </c>
      <c r="B35" s="429"/>
      <c r="C35" s="29"/>
      <c r="D35" s="134">
        <f t="shared" si="97"/>
        <v>0</v>
      </c>
      <c r="E35" s="29"/>
      <c r="F35" s="29"/>
      <c r="G35" s="134">
        <f t="shared" si="98"/>
        <v>0</v>
      </c>
      <c r="H35" s="29"/>
      <c r="I35" s="134">
        <f t="shared" si="99"/>
        <v>0</v>
      </c>
      <c r="J35" s="29"/>
      <c r="K35" s="134">
        <f t="shared" si="100"/>
        <v>0</v>
      </c>
      <c r="L35" s="29"/>
      <c r="M35" s="134">
        <f t="shared" si="101"/>
        <v>0</v>
      </c>
      <c r="N35" s="29"/>
      <c r="O35" s="134">
        <f t="shared" si="102"/>
        <v>0</v>
      </c>
      <c r="P35" s="29"/>
      <c r="Q35" s="134">
        <f t="shared" si="103"/>
        <v>0</v>
      </c>
      <c r="R35" s="29"/>
      <c r="S35" s="134">
        <f t="shared" si="104"/>
        <v>0</v>
      </c>
      <c r="T35" s="29"/>
      <c r="U35" s="134">
        <f t="shared" si="105"/>
        <v>0</v>
      </c>
      <c r="V35" s="29"/>
      <c r="W35" s="134">
        <f t="shared" si="106"/>
        <v>0</v>
      </c>
      <c r="X35" s="29"/>
      <c r="Y35" s="134">
        <f t="shared" si="107"/>
        <v>0</v>
      </c>
      <c r="Z35" s="29"/>
      <c r="AA35" s="29"/>
      <c r="AB35" s="135">
        <f t="shared" si="2"/>
        <v>1</v>
      </c>
      <c r="AC35" s="29"/>
      <c r="AD35" s="29"/>
      <c r="AE35" s="134">
        <f t="shared" si="108"/>
        <v>0</v>
      </c>
      <c r="AF35" s="135">
        <f t="shared" si="4"/>
        <v>1</v>
      </c>
      <c r="AG35" s="29"/>
      <c r="AH35" s="134">
        <f t="shared" si="109"/>
        <v>0</v>
      </c>
      <c r="AI35" s="135">
        <f t="shared" si="6"/>
        <v>1</v>
      </c>
      <c r="AJ35" s="29"/>
      <c r="AK35" s="134">
        <f t="shared" si="110"/>
        <v>0</v>
      </c>
      <c r="AL35" s="135">
        <f t="shared" si="8"/>
        <v>1</v>
      </c>
      <c r="AM35" s="29"/>
      <c r="AN35" s="134">
        <f t="shared" si="111"/>
        <v>0</v>
      </c>
      <c r="AO35" s="135">
        <f t="shared" si="10"/>
        <v>1</v>
      </c>
      <c r="AP35" s="29"/>
      <c r="AQ35" s="134">
        <f t="shared" si="112"/>
        <v>0</v>
      </c>
      <c r="AR35" s="135">
        <f t="shared" si="12"/>
        <v>1</v>
      </c>
      <c r="AS35" s="29"/>
      <c r="AT35" s="134">
        <f t="shared" si="113"/>
        <v>0</v>
      </c>
      <c r="AU35" s="135">
        <f t="shared" si="14"/>
        <v>1</v>
      </c>
      <c r="AV35" s="29"/>
      <c r="AW35" s="134">
        <f t="shared" si="114"/>
        <v>0</v>
      </c>
      <c r="AX35" s="135">
        <f t="shared" si="16"/>
        <v>1</v>
      </c>
      <c r="AY35" s="29"/>
      <c r="AZ35" s="134">
        <f t="shared" si="115"/>
        <v>0</v>
      </c>
      <c r="BA35" s="135">
        <f t="shared" si="18"/>
        <v>1</v>
      </c>
      <c r="BB35" s="29"/>
      <c r="BC35" s="134">
        <f t="shared" si="116"/>
        <v>0</v>
      </c>
      <c r="BD35" s="135">
        <f t="shared" si="20"/>
        <v>1</v>
      </c>
      <c r="BE35" s="29"/>
      <c r="BF35" s="134">
        <f t="shared" si="117"/>
        <v>0</v>
      </c>
      <c r="BG35" s="135">
        <f t="shared" si="22"/>
        <v>1</v>
      </c>
      <c r="BH35" s="134"/>
      <c r="BI35" s="26"/>
      <c r="BJ35" s="26"/>
      <c r="BK35" s="135">
        <f>IF($AA$35=0,1,BJ35/$AA$35-1)</f>
        <v>1</v>
      </c>
      <c r="BL35" s="135">
        <f t="shared" si="24"/>
        <v>1</v>
      </c>
      <c r="BM35" s="167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</row>
    <row r="36" spans="1:206" s="66" customFormat="1" ht="18" customHeight="1">
      <c r="A36" s="429" t="s">
        <v>93</v>
      </c>
      <c r="B36" s="429"/>
      <c r="C36" s="29"/>
      <c r="D36" s="134">
        <f t="shared" si="97"/>
        <v>0</v>
      </c>
      <c r="E36" s="29"/>
      <c r="F36" s="29"/>
      <c r="G36" s="134">
        <f t="shared" si="98"/>
        <v>0</v>
      </c>
      <c r="H36" s="29"/>
      <c r="I36" s="134">
        <f t="shared" si="99"/>
        <v>0</v>
      </c>
      <c r="J36" s="29"/>
      <c r="K36" s="134">
        <f t="shared" si="100"/>
        <v>0</v>
      </c>
      <c r="L36" s="29"/>
      <c r="M36" s="134">
        <f t="shared" si="101"/>
        <v>0</v>
      </c>
      <c r="N36" s="29"/>
      <c r="O36" s="134">
        <f t="shared" si="102"/>
        <v>0</v>
      </c>
      <c r="P36" s="29"/>
      <c r="Q36" s="134">
        <f t="shared" si="103"/>
        <v>0</v>
      </c>
      <c r="R36" s="29"/>
      <c r="S36" s="134">
        <f t="shared" si="104"/>
        <v>0</v>
      </c>
      <c r="T36" s="29"/>
      <c r="U36" s="134">
        <f t="shared" si="105"/>
        <v>0</v>
      </c>
      <c r="V36" s="29"/>
      <c r="W36" s="134">
        <f t="shared" si="106"/>
        <v>0</v>
      </c>
      <c r="X36" s="29"/>
      <c r="Y36" s="134">
        <f t="shared" si="107"/>
        <v>0</v>
      </c>
      <c r="Z36" s="29"/>
      <c r="AA36" s="29"/>
      <c r="AB36" s="135">
        <f t="shared" si="2"/>
        <v>1</v>
      </c>
      <c r="AC36" s="29"/>
      <c r="AD36" s="29"/>
      <c r="AE36" s="134">
        <f t="shared" si="108"/>
        <v>0</v>
      </c>
      <c r="AF36" s="135">
        <f t="shared" si="4"/>
        <v>1</v>
      </c>
      <c r="AG36" s="29"/>
      <c r="AH36" s="134">
        <f t="shared" si="109"/>
        <v>0</v>
      </c>
      <c r="AI36" s="135">
        <f t="shared" si="6"/>
        <v>1</v>
      </c>
      <c r="AJ36" s="29"/>
      <c r="AK36" s="134">
        <f t="shared" si="110"/>
        <v>0</v>
      </c>
      <c r="AL36" s="135">
        <f t="shared" si="8"/>
        <v>1</v>
      </c>
      <c r="AM36" s="29"/>
      <c r="AN36" s="134">
        <f t="shared" si="111"/>
        <v>0</v>
      </c>
      <c r="AO36" s="135">
        <f t="shared" si="10"/>
        <v>1</v>
      </c>
      <c r="AP36" s="29"/>
      <c r="AQ36" s="134">
        <f t="shared" si="112"/>
        <v>0</v>
      </c>
      <c r="AR36" s="135">
        <f t="shared" si="12"/>
        <v>1</v>
      </c>
      <c r="AS36" s="29"/>
      <c r="AT36" s="134">
        <f t="shared" si="113"/>
        <v>0</v>
      </c>
      <c r="AU36" s="135">
        <f t="shared" si="14"/>
        <v>1</v>
      </c>
      <c r="AV36" s="29"/>
      <c r="AW36" s="134">
        <f t="shared" si="114"/>
        <v>0</v>
      </c>
      <c r="AX36" s="135">
        <f t="shared" si="16"/>
        <v>1</v>
      </c>
      <c r="AY36" s="29"/>
      <c r="AZ36" s="134">
        <f t="shared" si="115"/>
        <v>0</v>
      </c>
      <c r="BA36" s="135">
        <f t="shared" si="18"/>
        <v>1</v>
      </c>
      <c r="BB36" s="29"/>
      <c r="BC36" s="134">
        <f t="shared" si="116"/>
        <v>0</v>
      </c>
      <c r="BD36" s="135">
        <f t="shared" si="20"/>
        <v>1</v>
      </c>
      <c r="BE36" s="29"/>
      <c r="BF36" s="134">
        <f t="shared" si="117"/>
        <v>0</v>
      </c>
      <c r="BG36" s="135">
        <f t="shared" si="22"/>
        <v>1</v>
      </c>
      <c r="BH36" s="134"/>
      <c r="BI36" s="26"/>
      <c r="BJ36" s="26"/>
      <c r="BK36" s="135">
        <f>IF($AA$36=0,1,BJ36/$AA$36-1)</f>
        <v>1</v>
      </c>
      <c r="BL36" s="135">
        <f t="shared" si="24"/>
        <v>1</v>
      </c>
      <c r="BM36" s="167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</row>
    <row r="37" spans="1:206" s="18" customFormat="1" ht="23.25" customHeight="1">
      <c r="A37" s="422" t="s">
        <v>49</v>
      </c>
      <c r="B37" s="422"/>
      <c r="C37" s="130">
        <f>C38+C43+C44+C45+C46+C47</f>
        <v>0</v>
      </c>
      <c r="D37" s="130">
        <f t="shared" ref="D37:AA37" si="118">D38+D43+D44+D45+D46+D47</f>
        <v>0</v>
      </c>
      <c r="E37" s="130">
        <f t="shared" si="118"/>
        <v>0</v>
      </c>
      <c r="F37" s="130">
        <f t="shared" si="118"/>
        <v>0</v>
      </c>
      <c r="G37" s="130">
        <f t="shared" si="118"/>
        <v>0</v>
      </c>
      <c r="H37" s="130">
        <f t="shared" si="118"/>
        <v>0</v>
      </c>
      <c r="I37" s="130">
        <f t="shared" si="118"/>
        <v>0</v>
      </c>
      <c r="J37" s="130">
        <f t="shared" si="118"/>
        <v>0</v>
      </c>
      <c r="K37" s="130">
        <f t="shared" si="118"/>
        <v>0</v>
      </c>
      <c r="L37" s="130">
        <f t="shared" si="118"/>
        <v>0</v>
      </c>
      <c r="M37" s="130">
        <f t="shared" si="118"/>
        <v>0</v>
      </c>
      <c r="N37" s="130">
        <f t="shared" si="118"/>
        <v>0</v>
      </c>
      <c r="O37" s="130">
        <f t="shared" si="118"/>
        <v>0</v>
      </c>
      <c r="P37" s="130">
        <f t="shared" si="118"/>
        <v>0</v>
      </c>
      <c r="Q37" s="130">
        <f t="shared" si="118"/>
        <v>0</v>
      </c>
      <c r="R37" s="130">
        <f t="shared" si="118"/>
        <v>0</v>
      </c>
      <c r="S37" s="130">
        <f t="shared" si="118"/>
        <v>0</v>
      </c>
      <c r="T37" s="130">
        <f t="shared" si="118"/>
        <v>0</v>
      </c>
      <c r="U37" s="130">
        <f t="shared" si="118"/>
        <v>0</v>
      </c>
      <c r="V37" s="130">
        <f t="shared" si="118"/>
        <v>0</v>
      </c>
      <c r="W37" s="130">
        <f t="shared" si="118"/>
        <v>0</v>
      </c>
      <c r="X37" s="130">
        <f t="shared" si="118"/>
        <v>0</v>
      </c>
      <c r="Y37" s="130">
        <f t="shared" si="118"/>
        <v>0</v>
      </c>
      <c r="Z37" s="130">
        <f t="shared" si="118"/>
        <v>0</v>
      </c>
      <c r="AA37" s="130">
        <f t="shared" si="118"/>
        <v>0</v>
      </c>
      <c r="AB37" s="131">
        <f t="shared" si="2"/>
        <v>1</v>
      </c>
      <c r="AC37" s="130">
        <f t="shared" ref="AC37:BF37" si="119">AC38+AC43+AC44+AC45+AC46+AC47</f>
        <v>0</v>
      </c>
      <c r="AD37" s="130">
        <f t="shared" si="119"/>
        <v>0</v>
      </c>
      <c r="AE37" s="130">
        <f t="shared" si="119"/>
        <v>0</v>
      </c>
      <c r="AF37" s="131">
        <f t="shared" si="4"/>
        <v>1</v>
      </c>
      <c r="AG37" s="130">
        <f t="shared" ref="AG37" si="120">AG38+AG43+AG44+AG45+AG46+AG47</f>
        <v>0</v>
      </c>
      <c r="AH37" s="130">
        <f t="shared" si="119"/>
        <v>0</v>
      </c>
      <c r="AI37" s="131">
        <f t="shared" si="6"/>
        <v>1</v>
      </c>
      <c r="AJ37" s="130">
        <f t="shared" ref="AJ37" si="121">AJ38+AJ43+AJ44+AJ45+AJ46+AJ47</f>
        <v>0</v>
      </c>
      <c r="AK37" s="130">
        <f t="shared" si="119"/>
        <v>0</v>
      </c>
      <c r="AL37" s="131">
        <f t="shared" si="8"/>
        <v>1</v>
      </c>
      <c r="AM37" s="130">
        <f t="shared" ref="AM37" si="122">AM38+AM43+AM44+AM45+AM46+AM47</f>
        <v>0</v>
      </c>
      <c r="AN37" s="130">
        <f t="shared" si="119"/>
        <v>0</v>
      </c>
      <c r="AO37" s="131">
        <f t="shared" si="10"/>
        <v>1</v>
      </c>
      <c r="AP37" s="130">
        <f t="shared" ref="AP37" si="123">AP38+AP43+AP44+AP45+AP46+AP47</f>
        <v>0</v>
      </c>
      <c r="AQ37" s="130">
        <f t="shared" si="119"/>
        <v>0</v>
      </c>
      <c r="AR37" s="131">
        <f t="shared" si="12"/>
        <v>1</v>
      </c>
      <c r="AS37" s="130">
        <f t="shared" ref="AS37" si="124">AS38+AS43+AS44+AS45+AS46+AS47</f>
        <v>0</v>
      </c>
      <c r="AT37" s="130">
        <f t="shared" si="119"/>
        <v>0</v>
      </c>
      <c r="AU37" s="131">
        <f t="shared" si="14"/>
        <v>1</v>
      </c>
      <c r="AV37" s="130">
        <f t="shared" ref="AV37" si="125">AV38+AV43+AV44+AV45+AV46+AV47</f>
        <v>0</v>
      </c>
      <c r="AW37" s="130">
        <f t="shared" si="119"/>
        <v>0</v>
      </c>
      <c r="AX37" s="131">
        <f t="shared" si="16"/>
        <v>1</v>
      </c>
      <c r="AY37" s="130">
        <f t="shared" ref="AY37" si="126">AY38+AY43+AY44+AY45+AY46+AY47</f>
        <v>0</v>
      </c>
      <c r="AZ37" s="130">
        <f t="shared" si="119"/>
        <v>0</v>
      </c>
      <c r="BA37" s="131">
        <f t="shared" si="18"/>
        <v>1</v>
      </c>
      <c r="BB37" s="130">
        <f t="shared" ref="BB37" si="127">BB38+BB43+BB44+BB45+BB46+BB47</f>
        <v>0</v>
      </c>
      <c r="BC37" s="130">
        <f t="shared" si="119"/>
        <v>0</v>
      </c>
      <c r="BD37" s="131">
        <f t="shared" si="20"/>
        <v>1</v>
      </c>
      <c r="BE37" s="130">
        <f t="shared" ref="BE37" si="128">BE38+BE43+BE44+BE45+BE46+BE47</f>
        <v>0</v>
      </c>
      <c r="BF37" s="130">
        <f t="shared" si="119"/>
        <v>0</v>
      </c>
      <c r="BG37" s="131">
        <f t="shared" si="22"/>
        <v>1</v>
      </c>
      <c r="BH37" s="130">
        <f t="shared" ref="BH37:BJ37" si="129">BH38+BH43+BH44+BH45+BH46+BH47</f>
        <v>0</v>
      </c>
      <c r="BI37" s="130">
        <f t="shared" si="129"/>
        <v>0</v>
      </c>
      <c r="BJ37" s="130">
        <f t="shared" si="129"/>
        <v>0</v>
      </c>
      <c r="BK37" s="131">
        <f>IF($AA$37=0,1,BJ37/$AA$37-1)</f>
        <v>1</v>
      </c>
      <c r="BL37" s="131">
        <f t="shared" si="24"/>
        <v>1</v>
      </c>
      <c r="BM37" s="165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</row>
    <row r="38" spans="1:206" s="68" customFormat="1" ht="19.5" customHeight="1">
      <c r="A38" s="435" t="s">
        <v>100</v>
      </c>
      <c r="B38" s="435"/>
      <c r="C38" s="140">
        <f>C39+C40+C41+C42</f>
        <v>0</v>
      </c>
      <c r="D38" s="140">
        <f t="shared" ref="D38:AA38" si="130">D39+D40+D41+D42</f>
        <v>0</v>
      </c>
      <c r="E38" s="140">
        <f t="shared" si="130"/>
        <v>0</v>
      </c>
      <c r="F38" s="140">
        <f t="shared" si="130"/>
        <v>0</v>
      </c>
      <c r="G38" s="140">
        <f t="shared" si="130"/>
        <v>0</v>
      </c>
      <c r="H38" s="140">
        <f t="shared" si="130"/>
        <v>0</v>
      </c>
      <c r="I38" s="140">
        <f t="shared" si="130"/>
        <v>0</v>
      </c>
      <c r="J38" s="140">
        <f t="shared" si="130"/>
        <v>0</v>
      </c>
      <c r="K38" s="140">
        <f t="shared" si="130"/>
        <v>0</v>
      </c>
      <c r="L38" s="140">
        <f t="shared" si="130"/>
        <v>0</v>
      </c>
      <c r="M38" s="140">
        <f t="shared" si="130"/>
        <v>0</v>
      </c>
      <c r="N38" s="140">
        <f t="shared" si="130"/>
        <v>0</v>
      </c>
      <c r="O38" s="140">
        <f t="shared" si="130"/>
        <v>0</v>
      </c>
      <c r="P38" s="140">
        <f t="shared" si="130"/>
        <v>0</v>
      </c>
      <c r="Q38" s="140">
        <f t="shared" si="130"/>
        <v>0</v>
      </c>
      <c r="R38" s="140">
        <f t="shared" si="130"/>
        <v>0</v>
      </c>
      <c r="S38" s="140">
        <f t="shared" si="130"/>
        <v>0</v>
      </c>
      <c r="T38" s="140">
        <f t="shared" si="130"/>
        <v>0</v>
      </c>
      <c r="U38" s="140">
        <f t="shared" si="130"/>
        <v>0</v>
      </c>
      <c r="V38" s="140">
        <f t="shared" si="130"/>
        <v>0</v>
      </c>
      <c r="W38" s="140">
        <f t="shared" si="130"/>
        <v>0</v>
      </c>
      <c r="X38" s="140">
        <f t="shared" si="130"/>
        <v>0</v>
      </c>
      <c r="Y38" s="140">
        <f t="shared" si="130"/>
        <v>0</v>
      </c>
      <c r="Z38" s="140">
        <f t="shared" si="130"/>
        <v>0</v>
      </c>
      <c r="AA38" s="140">
        <f t="shared" si="130"/>
        <v>0</v>
      </c>
      <c r="AB38" s="133">
        <f t="shared" si="2"/>
        <v>1</v>
      </c>
      <c r="AC38" s="140">
        <f t="shared" ref="AC38:BF38" si="131">AC39+AC40+AC41+AC42</f>
        <v>0</v>
      </c>
      <c r="AD38" s="140">
        <f t="shared" si="131"/>
        <v>0</v>
      </c>
      <c r="AE38" s="140">
        <f t="shared" si="131"/>
        <v>0</v>
      </c>
      <c r="AF38" s="133">
        <f t="shared" si="4"/>
        <v>1</v>
      </c>
      <c r="AG38" s="140">
        <f t="shared" ref="AG38" si="132">AG39+AG40+AG41+AG42</f>
        <v>0</v>
      </c>
      <c r="AH38" s="140">
        <f t="shared" si="131"/>
        <v>0</v>
      </c>
      <c r="AI38" s="133">
        <f t="shared" si="6"/>
        <v>1</v>
      </c>
      <c r="AJ38" s="140">
        <f t="shared" ref="AJ38" si="133">AJ39+AJ40+AJ41+AJ42</f>
        <v>0</v>
      </c>
      <c r="AK38" s="140">
        <f t="shared" si="131"/>
        <v>0</v>
      </c>
      <c r="AL38" s="133">
        <f t="shared" si="8"/>
        <v>1</v>
      </c>
      <c r="AM38" s="140">
        <f t="shared" ref="AM38" si="134">AM39+AM40+AM41+AM42</f>
        <v>0</v>
      </c>
      <c r="AN38" s="140">
        <f t="shared" si="131"/>
        <v>0</v>
      </c>
      <c r="AO38" s="133">
        <f t="shared" si="10"/>
        <v>1</v>
      </c>
      <c r="AP38" s="140">
        <f t="shared" ref="AP38" si="135">AP39+AP40+AP41+AP42</f>
        <v>0</v>
      </c>
      <c r="AQ38" s="140">
        <f t="shared" si="131"/>
        <v>0</v>
      </c>
      <c r="AR38" s="133">
        <f t="shared" si="12"/>
        <v>1</v>
      </c>
      <c r="AS38" s="140">
        <f t="shared" ref="AS38" si="136">AS39+AS40+AS41+AS42</f>
        <v>0</v>
      </c>
      <c r="AT38" s="140">
        <f t="shared" si="131"/>
        <v>0</v>
      </c>
      <c r="AU38" s="133">
        <f t="shared" si="14"/>
        <v>1</v>
      </c>
      <c r="AV38" s="140">
        <f t="shared" ref="AV38" si="137">AV39+AV40+AV41+AV42</f>
        <v>0</v>
      </c>
      <c r="AW38" s="140">
        <f t="shared" si="131"/>
        <v>0</v>
      </c>
      <c r="AX38" s="133">
        <f t="shared" si="16"/>
        <v>1</v>
      </c>
      <c r="AY38" s="140">
        <f t="shared" ref="AY38" si="138">AY39+AY40+AY41+AY42</f>
        <v>0</v>
      </c>
      <c r="AZ38" s="140">
        <f t="shared" si="131"/>
        <v>0</v>
      </c>
      <c r="BA38" s="133">
        <f t="shared" si="18"/>
        <v>1</v>
      </c>
      <c r="BB38" s="140">
        <f t="shared" ref="BB38" si="139">BB39+BB40+BB41+BB42</f>
        <v>0</v>
      </c>
      <c r="BC38" s="140">
        <f t="shared" si="131"/>
        <v>0</v>
      </c>
      <c r="BD38" s="133">
        <f t="shared" si="20"/>
        <v>1</v>
      </c>
      <c r="BE38" s="140">
        <f t="shared" ref="BE38" si="140">BE39+BE40+BE41+BE42</f>
        <v>0</v>
      </c>
      <c r="BF38" s="140">
        <f t="shared" si="131"/>
        <v>0</v>
      </c>
      <c r="BG38" s="133">
        <f t="shared" si="22"/>
        <v>1</v>
      </c>
      <c r="BH38" s="140">
        <f t="shared" ref="BH38:BJ38" si="141">BH39+BH40+BH41+BH42</f>
        <v>0</v>
      </c>
      <c r="BI38" s="140">
        <f t="shared" si="141"/>
        <v>0</v>
      </c>
      <c r="BJ38" s="140">
        <f t="shared" si="141"/>
        <v>0</v>
      </c>
      <c r="BK38" s="133">
        <f>IF($AA$38=0,1,BJ38/$AA$38-1)</f>
        <v>1</v>
      </c>
      <c r="BL38" s="133">
        <f t="shared" si="24"/>
        <v>1</v>
      </c>
      <c r="BM38" s="166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</row>
    <row r="39" spans="1:206" s="64" customFormat="1" ht="18" customHeight="1">
      <c r="A39" s="426" t="s">
        <v>105</v>
      </c>
      <c r="B39" s="426"/>
      <c r="C39" s="29"/>
      <c r="D39" s="134">
        <f t="shared" ref="D39:D46" si="142">E39+F39+H39+J39+L39+N39+P39+R39+T39+V39+X39+Z39</f>
        <v>0</v>
      </c>
      <c r="E39" s="29"/>
      <c r="F39" s="29"/>
      <c r="G39" s="134">
        <f t="shared" ref="G39:G73" si="143">E39+F39</f>
        <v>0</v>
      </c>
      <c r="H39" s="29"/>
      <c r="I39" s="134">
        <f>G39+H39</f>
        <v>0</v>
      </c>
      <c r="J39" s="29"/>
      <c r="K39" s="134">
        <f>I39+J39</f>
        <v>0</v>
      </c>
      <c r="L39" s="29"/>
      <c r="M39" s="134">
        <f>K39+L39</f>
        <v>0</v>
      </c>
      <c r="N39" s="29"/>
      <c r="O39" s="134">
        <f>M39+N39</f>
        <v>0</v>
      </c>
      <c r="P39" s="29"/>
      <c r="Q39" s="134">
        <f>O39+P39</f>
        <v>0</v>
      </c>
      <c r="R39" s="29"/>
      <c r="S39" s="134">
        <f>Q39+R39</f>
        <v>0</v>
      </c>
      <c r="T39" s="29"/>
      <c r="U39" s="134">
        <f>S39+T39</f>
        <v>0</v>
      </c>
      <c r="V39" s="29"/>
      <c r="W39" s="134">
        <f>U39+V39</f>
        <v>0</v>
      </c>
      <c r="X39" s="29"/>
      <c r="Y39" s="134">
        <f>W39+X39</f>
        <v>0</v>
      </c>
      <c r="Z39" s="29"/>
      <c r="AA39" s="29"/>
      <c r="AB39" s="135">
        <f t="shared" si="2"/>
        <v>1</v>
      </c>
      <c r="AC39" s="29"/>
      <c r="AD39" s="29"/>
      <c r="AE39" s="134">
        <f t="shared" ref="AE39:AE46" si="144">AC39+AD39</f>
        <v>0</v>
      </c>
      <c r="AF39" s="135">
        <f t="shared" si="4"/>
        <v>1</v>
      </c>
      <c r="AG39" s="29"/>
      <c r="AH39" s="134">
        <f>AE39+AG39</f>
        <v>0</v>
      </c>
      <c r="AI39" s="135">
        <f t="shared" si="6"/>
        <v>1</v>
      </c>
      <c r="AJ39" s="29"/>
      <c r="AK39" s="134">
        <f>AH39+AJ39</f>
        <v>0</v>
      </c>
      <c r="AL39" s="135">
        <f t="shared" si="8"/>
        <v>1</v>
      </c>
      <c r="AM39" s="29"/>
      <c r="AN39" s="134">
        <f>AK39+AM39</f>
        <v>0</v>
      </c>
      <c r="AO39" s="135">
        <f t="shared" si="10"/>
        <v>1</v>
      </c>
      <c r="AP39" s="29"/>
      <c r="AQ39" s="134">
        <f>AN39+AP39</f>
        <v>0</v>
      </c>
      <c r="AR39" s="135">
        <f t="shared" si="12"/>
        <v>1</v>
      </c>
      <c r="AS39" s="29"/>
      <c r="AT39" s="134">
        <f>AQ39+AS39</f>
        <v>0</v>
      </c>
      <c r="AU39" s="135">
        <f t="shared" si="14"/>
        <v>1</v>
      </c>
      <c r="AV39" s="29"/>
      <c r="AW39" s="134">
        <f>AT39+AV39</f>
        <v>0</v>
      </c>
      <c r="AX39" s="135">
        <f t="shared" si="16"/>
        <v>1</v>
      </c>
      <c r="AY39" s="29"/>
      <c r="AZ39" s="134">
        <f>AW39+AY39</f>
        <v>0</v>
      </c>
      <c r="BA39" s="135">
        <f t="shared" si="18"/>
        <v>1</v>
      </c>
      <c r="BB39" s="29"/>
      <c r="BC39" s="134">
        <f>AZ39+BB39</f>
        <v>0</v>
      </c>
      <c r="BD39" s="135">
        <f t="shared" si="20"/>
        <v>1</v>
      </c>
      <c r="BE39" s="29"/>
      <c r="BF39" s="134">
        <f>BC39+BE39</f>
        <v>0</v>
      </c>
      <c r="BG39" s="135">
        <f t="shared" si="22"/>
        <v>1</v>
      </c>
      <c r="BH39" s="134"/>
      <c r="BI39" s="26"/>
      <c r="BJ39" s="26"/>
      <c r="BK39" s="135">
        <f>IF($AA$39=0,1,BJ39/$AA$39-1)</f>
        <v>1</v>
      </c>
      <c r="BL39" s="135">
        <f t="shared" si="24"/>
        <v>1</v>
      </c>
      <c r="BM39" s="167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</row>
    <row r="40" spans="1:206" s="64" customFormat="1" ht="18" customHeight="1">
      <c r="A40" s="426" t="s">
        <v>99</v>
      </c>
      <c r="B40" s="426"/>
      <c r="C40" s="29"/>
      <c r="D40" s="134">
        <f t="shared" si="142"/>
        <v>0</v>
      </c>
      <c r="E40" s="29"/>
      <c r="F40" s="29"/>
      <c r="G40" s="134">
        <f t="shared" si="143"/>
        <v>0</v>
      </c>
      <c r="H40" s="29"/>
      <c r="I40" s="134">
        <f>G40+H40</f>
        <v>0</v>
      </c>
      <c r="J40" s="29"/>
      <c r="K40" s="134">
        <f>I40+J40</f>
        <v>0</v>
      </c>
      <c r="L40" s="29"/>
      <c r="M40" s="134">
        <f>K40+L40</f>
        <v>0</v>
      </c>
      <c r="N40" s="29"/>
      <c r="O40" s="134">
        <f>M40+N40</f>
        <v>0</v>
      </c>
      <c r="P40" s="29"/>
      <c r="Q40" s="134">
        <f>O40+P40</f>
        <v>0</v>
      </c>
      <c r="R40" s="29"/>
      <c r="S40" s="134">
        <f>Q40+R40</f>
        <v>0</v>
      </c>
      <c r="T40" s="29"/>
      <c r="U40" s="134">
        <f>S40+T40</f>
        <v>0</v>
      </c>
      <c r="V40" s="29"/>
      <c r="W40" s="134">
        <f>U40+V40</f>
        <v>0</v>
      </c>
      <c r="X40" s="29"/>
      <c r="Y40" s="134">
        <f>W40+X40</f>
        <v>0</v>
      </c>
      <c r="Z40" s="29"/>
      <c r="AA40" s="29"/>
      <c r="AB40" s="135">
        <f t="shared" si="2"/>
        <v>1</v>
      </c>
      <c r="AC40" s="29"/>
      <c r="AD40" s="29"/>
      <c r="AE40" s="134">
        <f t="shared" si="144"/>
        <v>0</v>
      </c>
      <c r="AF40" s="135">
        <f t="shared" si="4"/>
        <v>1</v>
      </c>
      <c r="AG40" s="29"/>
      <c r="AH40" s="134">
        <f>AE40+AG40</f>
        <v>0</v>
      </c>
      <c r="AI40" s="135">
        <f t="shared" si="6"/>
        <v>1</v>
      </c>
      <c r="AJ40" s="29"/>
      <c r="AK40" s="134">
        <f>AH40+AJ40</f>
        <v>0</v>
      </c>
      <c r="AL40" s="135">
        <f t="shared" si="8"/>
        <v>1</v>
      </c>
      <c r="AM40" s="29"/>
      <c r="AN40" s="134">
        <f>AK40+AM40</f>
        <v>0</v>
      </c>
      <c r="AO40" s="135">
        <f t="shared" si="10"/>
        <v>1</v>
      </c>
      <c r="AP40" s="29"/>
      <c r="AQ40" s="134">
        <f>AN40+AP40</f>
        <v>0</v>
      </c>
      <c r="AR40" s="135">
        <f t="shared" si="12"/>
        <v>1</v>
      </c>
      <c r="AS40" s="29"/>
      <c r="AT40" s="134">
        <f>AQ40+AS40</f>
        <v>0</v>
      </c>
      <c r="AU40" s="135">
        <f t="shared" si="14"/>
        <v>1</v>
      </c>
      <c r="AV40" s="29"/>
      <c r="AW40" s="134">
        <f>AT40+AV40</f>
        <v>0</v>
      </c>
      <c r="AX40" s="135">
        <f t="shared" si="16"/>
        <v>1</v>
      </c>
      <c r="AY40" s="29"/>
      <c r="AZ40" s="134">
        <f>AW40+AY40</f>
        <v>0</v>
      </c>
      <c r="BA40" s="135">
        <f t="shared" si="18"/>
        <v>1</v>
      </c>
      <c r="BB40" s="29"/>
      <c r="BC40" s="134">
        <f>AZ40+BB40</f>
        <v>0</v>
      </c>
      <c r="BD40" s="135">
        <f t="shared" si="20"/>
        <v>1</v>
      </c>
      <c r="BE40" s="29"/>
      <c r="BF40" s="134">
        <f>BC40+BE40</f>
        <v>0</v>
      </c>
      <c r="BG40" s="135">
        <f t="shared" si="22"/>
        <v>1</v>
      </c>
      <c r="BH40" s="134"/>
      <c r="BI40" s="26"/>
      <c r="BJ40" s="26"/>
      <c r="BK40" s="135">
        <f>IF($AA$40=0,1,BJ40/$AA$40-1)</f>
        <v>1</v>
      </c>
      <c r="BL40" s="135">
        <f t="shared" si="24"/>
        <v>1</v>
      </c>
      <c r="BM40" s="167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</row>
    <row r="41" spans="1:206" s="64" customFormat="1" ht="18" customHeight="1">
      <c r="A41" s="426" t="s">
        <v>95</v>
      </c>
      <c r="B41" s="426"/>
      <c r="C41" s="29"/>
      <c r="D41" s="134">
        <f t="shared" si="142"/>
        <v>0</v>
      </c>
      <c r="E41" s="29"/>
      <c r="F41" s="29"/>
      <c r="G41" s="134">
        <f t="shared" si="143"/>
        <v>0</v>
      </c>
      <c r="H41" s="29"/>
      <c r="I41" s="134"/>
      <c r="J41" s="29"/>
      <c r="K41" s="134"/>
      <c r="L41" s="29"/>
      <c r="M41" s="134"/>
      <c r="N41" s="29"/>
      <c r="O41" s="134"/>
      <c r="P41" s="29"/>
      <c r="Q41" s="134"/>
      <c r="R41" s="29"/>
      <c r="S41" s="134"/>
      <c r="T41" s="29"/>
      <c r="U41" s="134"/>
      <c r="V41" s="29"/>
      <c r="W41" s="134"/>
      <c r="X41" s="29"/>
      <c r="Y41" s="134"/>
      <c r="Z41" s="29"/>
      <c r="AA41" s="29"/>
      <c r="AB41" s="135">
        <f t="shared" ref="AB41:AB72" si="145">IF(D41=0,1,AA41/D41-1)</f>
        <v>1</v>
      </c>
      <c r="AC41" s="29"/>
      <c r="AD41" s="29"/>
      <c r="AE41" s="134">
        <f t="shared" si="144"/>
        <v>0</v>
      </c>
      <c r="AF41" s="135">
        <f t="shared" ref="AF41:AF72" si="146">IF(G41=0,1,AE41/G41-1)</f>
        <v>1</v>
      </c>
      <c r="AG41" s="29"/>
      <c r="AH41" s="134"/>
      <c r="AI41" s="135">
        <f t="shared" ref="AI41:AI72" si="147">IF(I41=0,1,AH41/I41-1)</f>
        <v>1</v>
      </c>
      <c r="AJ41" s="29"/>
      <c r="AK41" s="134"/>
      <c r="AL41" s="135">
        <f t="shared" ref="AL41:AL72" si="148">IF(K41=0,1,AK41/K41-1)</f>
        <v>1</v>
      </c>
      <c r="AM41" s="29"/>
      <c r="AN41" s="134"/>
      <c r="AO41" s="135">
        <f t="shared" ref="AO41:AO72" si="149">IF(M41=0,1,AN41/M41-1)</f>
        <v>1</v>
      </c>
      <c r="AP41" s="29"/>
      <c r="AQ41" s="134"/>
      <c r="AR41" s="135">
        <f t="shared" ref="AR41:AR72" si="150">IF(O41=0,1,AQ41/O41-1)</f>
        <v>1</v>
      </c>
      <c r="AS41" s="29"/>
      <c r="AT41" s="134"/>
      <c r="AU41" s="135">
        <f t="shared" ref="AU41:AU72" si="151">IF(Q41=0,1,AT41/Q41-1)</f>
        <v>1</v>
      </c>
      <c r="AV41" s="29"/>
      <c r="AW41" s="134"/>
      <c r="AX41" s="135">
        <f t="shared" ref="AX41:AX72" si="152">IF(S41=0,1,AW41/S41-1)</f>
        <v>1</v>
      </c>
      <c r="AY41" s="29"/>
      <c r="AZ41" s="134"/>
      <c r="BA41" s="135">
        <f t="shared" ref="BA41:BA72" si="153">IF(U41=0,1,AZ41/U41-1)</f>
        <v>1</v>
      </c>
      <c r="BB41" s="29"/>
      <c r="BC41" s="134"/>
      <c r="BD41" s="135">
        <f t="shared" ref="BD41:BD72" si="154">IF(W41=0,1,BC41/W41-1)</f>
        <v>1</v>
      </c>
      <c r="BE41" s="29"/>
      <c r="BF41" s="134"/>
      <c r="BG41" s="135">
        <f t="shared" ref="BG41:BG72" si="155">IF(Y41=0,1,BF41/Y41-1)</f>
        <v>1</v>
      </c>
      <c r="BH41" s="134"/>
      <c r="BI41" s="26"/>
      <c r="BJ41" s="26"/>
      <c r="BK41" s="135">
        <f>IF($AA$41=0,1,BJ41/$AA$41-1)</f>
        <v>1</v>
      </c>
      <c r="BL41" s="135">
        <f t="shared" si="24"/>
        <v>1</v>
      </c>
      <c r="BM41" s="167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</row>
    <row r="42" spans="1:206" s="64" customFormat="1" ht="18" customHeight="1">
      <c r="A42" s="426" t="s">
        <v>98</v>
      </c>
      <c r="B42" s="426"/>
      <c r="C42" s="29"/>
      <c r="D42" s="134">
        <f t="shared" si="142"/>
        <v>0</v>
      </c>
      <c r="E42" s="29"/>
      <c r="F42" s="29"/>
      <c r="G42" s="134">
        <f t="shared" si="143"/>
        <v>0</v>
      </c>
      <c r="H42" s="29"/>
      <c r="I42" s="134">
        <f>G42+H42</f>
        <v>0</v>
      </c>
      <c r="J42" s="29"/>
      <c r="K42" s="134">
        <f>I42+J42</f>
        <v>0</v>
      </c>
      <c r="L42" s="29"/>
      <c r="M42" s="134">
        <f>K42+L42</f>
        <v>0</v>
      </c>
      <c r="N42" s="29"/>
      <c r="O42" s="134">
        <f>M42+N42</f>
        <v>0</v>
      </c>
      <c r="P42" s="29"/>
      <c r="Q42" s="134">
        <f>O42+P42</f>
        <v>0</v>
      </c>
      <c r="R42" s="29"/>
      <c r="S42" s="134">
        <f>Q42+R42</f>
        <v>0</v>
      </c>
      <c r="T42" s="29"/>
      <c r="U42" s="134">
        <f>S42+T42</f>
        <v>0</v>
      </c>
      <c r="V42" s="29"/>
      <c r="W42" s="134">
        <f>U42+V42</f>
        <v>0</v>
      </c>
      <c r="X42" s="29"/>
      <c r="Y42" s="134">
        <f>W42+X42</f>
        <v>0</v>
      </c>
      <c r="Z42" s="29"/>
      <c r="AA42" s="29"/>
      <c r="AB42" s="135">
        <f t="shared" si="145"/>
        <v>1</v>
      </c>
      <c r="AC42" s="29"/>
      <c r="AD42" s="29"/>
      <c r="AE42" s="134">
        <f t="shared" si="144"/>
        <v>0</v>
      </c>
      <c r="AF42" s="135">
        <f t="shared" si="146"/>
        <v>1</v>
      </c>
      <c r="AG42" s="29"/>
      <c r="AH42" s="134">
        <f>AE42+AG42</f>
        <v>0</v>
      </c>
      <c r="AI42" s="135">
        <f t="shared" si="147"/>
        <v>1</v>
      </c>
      <c r="AJ42" s="29"/>
      <c r="AK42" s="134">
        <f>AH42+AJ42</f>
        <v>0</v>
      </c>
      <c r="AL42" s="135">
        <f t="shared" si="148"/>
        <v>1</v>
      </c>
      <c r="AM42" s="29"/>
      <c r="AN42" s="134">
        <f>AK42+AM42</f>
        <v>0</v>
      </c>
      <c r="AO42" s="135">
        <f t="shared" si="149"/>
        <v>1</v>
      </c>
      <c r="AP42" s="29"/>
      <c r="AQ42" s="134">
        <f>AN42+AP42</f>
        <v>0</v>
      </c>
      <c r="AR42" s="135">
        <f t="shared" si="150"/>
        <v>1</v>
      </c>
      <c r="AS42" s="29"/>
      <c r="AT42" s="134">
        <f>AQ42+AS42</f>
        <v>0</v>
      </c>
      <c r="AU42" s="135">
        <f t="shared" si="151"/>
        <v>1</v>
      </c>
      <c r="AV42" s="29"/>
      <c r="AW42" s="134">
        <f>AT42+AV42</f>
        <v>0</v>
      </c>
      <c r="AX42" s="135">
        <f t="shared" si="152"/>
        <v>1</v>
      </c>
      <c r="AY42" s="29"/>
      <c r="AZ42" s="134">
        <f>AW42+AY42</f>
        <v>0</v>
      </c>
      <c r="BA42" s="135">
        <f t="shared" si="153"/>
        <v>1</v>
      </c>
      <c r="BB42" s="29"/>
      <c r="BC42" s="134">
        <f>AZ42+BB42</f>
        <v>0</v>
      </c>
      <c r="BD42" s="135">
        <f t="shared" si="154"/>
        <v>1</v>
      </c>
      <c r="BE42" s="29"/>
      <c r="BF42" s="134">
        <f>BC42+BE42</f>
        <v>0</v>
      </c>
      <c r="BG42" s="135">
        <f t="shared" si="155"/>
        <v>1</v>
      </c>
      <c r="BH42" s="134"/>
      <c r="BI42" s="26"/>
      <c r="BJ42" s="26"/>
      <c r="BK42" s="135">
        <f>IF($AA$42=0,1,BJ42/$AA$42-1)</f>
        <v>1</v>
      </c>
      <c r="BL42" s="135">
        <f t="shared" si="24"/>
        <v>1</v>
      </c>
      <c r="BM42" s="167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</row>
    <row r="43" spans="1:206" s="68" customFormat="1" ht="18" customHeight="1">
      <c r="A43" s="434" t="s">
        <v>97</v>
      </c>
      <c r="B43" s="434"/>
      <c r="C43" s="53"/>
      <c r="D43" s="140">
        <f t="shared" si="142"/>
        <v>0</v>
      </c>
      <c r="E43" s="53"/>
      <c r="F43" s="53"/>
      <c r="G43" s="132">
        <f t="shared" si="143"/>
        <v>0</v>
      </c>
      <c r="H43" s="53"/>
      <c r="I43" s="132">
        <f>G43+H43</f>
        <v>0</v>
      </c>
      <c r="J43" s="53"/>
      <c r="K43" s="132">
        <f>I43+J43</f>
        <v>0</v>
      </c>
      <c r="L43" s="53"/>
      <c r="M43" s="132">
        <f>K43+L43</f>
        <v>0</v>
      </c>
      <c r="N43" s="53"/>
      <c r="O43" s="132">
        <f>M43+N43</f>
        <v>0</v>
      </c>
      <c r="P43" s="53"/>
      <c r="Q43" s="132">
        <f>O43+P43</f>
        <v>0</v>
      </c>
      <c r="R43" s="53"/>
      <c r="S43" s="132">
        <f>Q43+R43</f>
        <v>0</v>
      </c>
      <c r="T43" s="53"/>
      <c r="U43" s="132">
        <f>S43+T43</f>
        <v>0</v>
      </c>
      <c r="V43" s="53"/>
      <c r="W43" s="132">
        <f>U43+V43</f>
        <v>0</v>
      </c>
      <c r="X43" s="53"/>
      <c r="Y43" s="132">
        <f>W43+X43</f>
        <v>0</v>
      </c>
      <c r="Z43" s="53"/>
      <c r="AA43" s="53"/>
      <c r="AB43" s="142">
        <f t="shared" si="145"/>
        <v>1</v>
      </c>
      <c r="AC43" s="53"/>
      <c r="AD43" s="53"/>
      <c r="AE43" s="132">
        <f t="shared" si="144"/>
        <v>0</v>
      </c>
      <c r="AF43" s="142">
        <f t="shared" si="146"/>
        <v>1</v>
      </c>
      <c r="AG43" s="53"/>
      <c r="AH43" s="132">
        <f>AE43+AG43</f>
        <v>0</v>
      </c>
      <c r="AI43" s="142">
        <f t="shared" si="147"/>
        <v>1</v>
      </c>
      <c r="AJ43" s="53"/>
      <c r="AK43" s="132">
        <f>AH43+AJ43</f>
        <v>0</v>
      </c>
      <c r="AL43" s="142">
        <f t="shared" si="148"/>
        <v>1</v>
      </c>
      <c r="AM43" s="53"/>
      <c r="AN43" s="132">
        <f>AK43+AM43</f>
        <v>0</v>
      </c>
      <c r="AO43" s="142">
        <f t="shared" si="149"/>
        <v>1</v>
      </c>
      <c r="AP43" s="53"/>
      <c r="AQ43" s="132">
        <f>AN43+AP43</f>
        <v>0</v>
      </c>
      <c r="AR43" s="142">
        <f t="shared" si="150"/>
        <v>1</v>
      </c>
      <c r="AS43" s="53"/>
      <c r="AT43" s="132">
        <f>AQ43+AS43</f>
        <v>0</v>
      </c>
      <c r="AU43" s="142">
        <f t="shared" si="151"/>
        <v>1</v>
      </c>
      <c r="AV43" s="53"/>
      <c r="AW43" s="132">
        <f>AT43+AV43</f>
        <v>0</v>
      </c>
      <c r="AX43" s="142">
        <f t="shared" si="152"/>
        <v>1</v>
      </c>
      <c r="AY43" s="53"/>
      <c r="AZ43" s="132">
        <f>AW43+AY43</f>
        <v>0</v>
      </c>
      <c r="BA43" s="142">
        <f t="shared" si="153"/>
        <v>1</v>
      </c>
      <c r="BB43" s="53"/>
      <c r="BC43" s="132">
        <f>AZ43+BB43</f>
        <v>0</v>
      </c>
      <c r="BD43" s="142">
        <f t="shared" si="154"/>
        <v>1</v>
      </c>
      <c r="BE43" s="53"/>
      <c r="BF43" s="132">
        <f>BC43+BE43</f>
        <v>0</v>
      </c>
      <c r="BG43" s="142">
        <f t="shared" si="155"/>
        <v>1</v>
      </c>
      <c r="BH43" s="132"/>
      <c r="BI43" s="23"/>
      <c r="BJ43" s="23"/>
      <c r="BK43" s="142">
        <f>IF($AA$43=0,1,BJ43/$AA$43-1)</f>
        <v>1</v>
      </c>
      <c r="BL43" s="142">
        <f t="shared" si="24"/>
        <v>1</v>
      </c>
      <c r="BM43" s="166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</row>
    <row r="44" spans="1:206" s="68" customFormat="1" ht="18" customHeight="1">
      <c r="A44" s="434" t="s">
        <v>101</v>
      </c>
      <c r="B44" s="434"/>
      <c r="C44" s="53"/>
      <c r="D44" s="140">
        <f t="shared" si="142"/>
        <v>0</v>
      </c>
      <c r="E44" s="53"/>
      <c r="F44" s="53"/>
      <c r="G44" s="132">
        <f t="shared" si="143"/>
        <v>0</v>
      </c>
      <c r="H44" s="53"/>
      <c r="I44" s="132">
        <f>G44+H44</f>
        <v>0</v>
      </c>
      <c r="J44" s="53"/>
      <c r="K44" s="132">
        <f>I44+J44</f>
        <v>0</v>
      </c>
      <c r="L44" s="53"/>
      <c r="M44" s="132">
        <f>K44+L44</f>
        <v>0</v>
      </c>
      <c r="N44" s="53"/>
      <c r="O44" s="132">
        <f>M44+N44</f>
        <v>0</v>
      </c>
      <c r="P44" s="53"/>
      <c r="Q44" s="132">
        <f>O44+P44</f>
        <v>0</v>
      </c>
      <c r="R44" s="53"/>
      <c r="S44" s="132">
        <f>Q44+R44</f>
        <v>0</v>
      </c>
      <c r="T44" s="53"/>
      <c r="U44" s="132">
        <f>S44+T44</f>
        <v>0</v>
      </c>
      <c r="V44" s="53"/>
      <c r="W44" s="132">
        <f>U44+V44</f>
        <v>0</v>
      </c>
      <c r="X44" s="53"/>
      <c r="Y44" s="132">
        <f>W44+X44</f>
        <v>0</v>
      </c>
      <c r="Z44" s="53"/>
      <c r="AA44" s="53"/>
      <c r="AB44" s="142">
        <f t="shared" si="145"/>
        <v>1</v>
      </c>
      <c r="AC44" s="53"/>
      <c r="AD44" s="53"/>
      <c r="AE44" s="132">
        <f t="shared" si="144"/>
        <v>0</v>
      </c>
      <c r="AF44" s="142">
        <f t="shared" si="146"/>
        <v>1</v>
      </c>
      <c r="AG44" s="53"/>
      <c r="AH44" s="132">
        <f>AE44+AG44</f>
        <v>0</v>
      </c>
      <c r="AI44" s="142">
        <f t="shared" si="147"/>
        <v>1</v>
      </c>
      <c r="AJ44" s="53"/>
      <c r="AK44" s="132">
        <f>AH44+AJ44</f>
        <v>0</v>
      </c>
      <c r="AL44" s="142">
        <f t="shared" si="148"/>
        <v>1</v>
      </c>
      <c r="AM44" s="53"/>
      <c r="AN44" s="132">
        <f>AK44+AM44</f>
        <v>0</v>
      </c>
      <c r="AO44" s="142">
        <f t="shared" si="149"/>
        <v>1</v>
      </c>
      <c r="AP44" s="53"/>
      <c r="AQ44" s="132">
        <f>AN44+AP44</f>
        <v>0</v>
      </c>
      <c r="AR44" s="142">
        <f t="shared" si="150"/>
        <v>1</v>
      </c>
      <c r="AS44" s="53"/>
      <c r="AT44" s="132">
        <f>AQ44+AS44</f>
        <v>0</v>
      </c>
      <c r="AU44" s="142">
        <f t="shared" si="151"/>
        <v>1</v>
      </c>
      <c r="AV44" s="53"/>
      <c r="AW44" s="132">
        <f>AT44+AV44</f>
        <v>0</v>
      </c>
      <c r="AX44" s="142">
        <f t="shared" si="152"/>
        <v>1</v>
      </c>
      <c r="AY44" s="53"/>
      <c r="AZ44" s="132">
        <f>AW44+AY44</f>
        <v>0</v>
      </c>
      <c r="BA44" s="142">
        <f t="shared" si="153"/>
        <v>1</v>
      </c>
      <c r="BB44" s="53"/>
      <c r="BC44" s="132">
        <f>AZ44+BB44</f>
        <v>0</v>
      </c>
      <c r="BD44" s="142">
        <f t="shared" si="154"/>
        <v>1</v>
      </c>
      <c r="BE44" s="53"/>
      <c r="BF44" s="132">
        <f>BC44+BE44</f>
        <v>0</v>
      </c>
      <c r="BG44" s="142">
        <f t="shared" si="155"/>
        <v>1</v>
      </c>
      <c r="BH44" s="132"/>
      <c r="BI44" s="23"/>
      <c r="BJ44" s="23"/>
      <c r="BK44" s="142">
        <f>IF($AA$44=0,1,BJ44/$AA$44-1)</f>
        <v>1</v>
      </c>
      <c r="BL44" s="142">
        <f t="shared" si="24"/>
        <v>1</v>
      </c>
      <c r="BM44" s="166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</row>
    <row r="45" spans="1:206" s="68" customFormat="1" ht="18" customHeight="1">
      <c r="A45" s="434" t="s">
        <v>102</v>
      </c>
      <c r="B45" s="434"/>
      <c r="C45" s="53"/>
      <c r="D45" s="140">
        <f t="shared" si="142"/>
        <v>0</v>
      </c>
      <c r="E45" s="53"/>
      <c r="F45" s="53"/>
      <c r="G45" s="132">
        <f t="shared" si="143"/>
        <v>0</v>
      </c>
      <c r="H45" s="53"/>
      <c r="I45" s="132">
        <f>G45+H45</f>
        <v>0</v>
      </c>
      <c r="J45" s="53"/>
      <c r="K45" s="132">
        <f>I45+J45</f>
        <v>0</v>
      </c>
      <c r="L45" s="53"/>
      <c r="M45" s="132">
        <f>K45+L45</f>
        <v>0</v>
      </c>
      <c r="N45" s="53"/>
      <c r="O45" s="132">
        <f>M45+N45</f>
        <v>0</v>
      </c>
      <c r="P45" s="53"/>
      <c r="Q45" s="132">
        <f>O45+P45</f>
        <v>0</v>
      </c>
      <c r="R45" s="53"/>
      <c r="S45" s="132">
        <f>Q45+R45</f>
        <v>0</v>
      </c>
      <c r="T45" s="53"/>
      <c r="U45" s="132">
        <f>S45+T45</f>
        <v>0</v>
      </c>
      <c r="V45" s="53"/>
      <c r="W45" s="132">
        <f>U45+V45</f>
        <v>0</v>
      </c>
      <c r="X45" s="53"/>
      <c r="Y45" s="132">
        <f>W45+X45</f>
        <v>0</v>
      </c>
      <c r="Z45" s="53"/>
      <c r="AA45" s="53"/>
      <c r="AB45" s="142">
        <f t="shared" si="145"/>
        <v>1</v>
      </c>
      <c r="AC45" s="53"/>
      <c r="AD45" s="53"/>
      <c r="AE45" s="132">
        <f t="shared" si="144"/>
        <v>0</v>
      </c>
      <c r="AF45" s="142">
        <f t="shared" si="146"/>
        <v>1</v>
      </c>
      <c r="AG45" s="53"/>
      <c r="AH45" s="132">
        <f>AE45+AG45</f>
        <v>0</v>
      </c>
      <c r="AI45" s="142">
        <f t="shared" si="147"/>
        <v>1</v>
      </c>
      <c r="AJ45" s="53"/>
      <c r="AK45" s="132">
        <f>AH45+AJ45</f>
        <v>0</v>
      </c>
      <c r="AL45" s="142">
        <f t="shared" si="148"/>
        <v>1</v>
      </c>
      <c r="AM45" s="53"/>
      <c r="AN45" s="132">
        <f>AK45+AM45</f>
        <v>0</v>
      </c>
      <c r="AO45" s="142">
        <f t="shared" si="149"/>
        <v>1</v>
      </c>
      <c r="AP45" s="53"/>
      <c r="AQ45" s="132">
        <f>AN45+AP45</f>
        <v>0</v>
      </c>
      <c r="AR45" s="142">
        <f t="shared" si="150"/>
        <v>1</v>
      </c>
      <c r="AS45" s="53"/>
      <c r="AT45" s="132">
        <f>AQ45+AS45</f>
        <v>0</v>
      </c>
      <c r="AU45" s="142">
        <f t="shared" si="151"/>
        <v>1</v>
      </c>
      <c r="AV45" s="53"/>
      <c r="AW45" s="132">
        <f>AT45+AV45</f>
        <v>0</v>
      </c>
      <c r="AX45" s="142">
        <f t="shared" si="152"/>
        <v>1</v>
      </c>
      <c r="AY45" s="53"/>
      <c r="AZ45" s="132">
        <f>AW45+AY45</f>
        <v>0</v>
      </c>
      <c r="BA45" s="142">
        <f t="shared" si="153"/>
        <v>1</v>
      </c>
      <c r="BB45" s="53"/>
      <c r="BC45" s="132">
        <f>AZ45+BB45</f>
        <v>0</v>
      </c>
      <c r="BD45" s="142">
        <f t="shared" si="154"/>
        <v>1</v>
      </c>
      <c r="BE45" s="53"/>
      <c r="BF45" s="132">
        <f>BC45+BE45</f>
        <v>0</v>
      </c>
      <c r="BG45" s="142">
        <f t="shared" si="155"/>
        <v>1</v>
      </c>
      <c r="BH45" s="132"/>
      <c r="BI45" s="23"/>
      <c r="BJ45" s="23"/>
      <c r="BK45" s="142">
        <f>IF($AA$45=0,1,BJ45/$AA$45-1)</f>
        <v>1</v>
      </c>
      <c r="BL45" s="142">
        <f t="shared" si="24"/>
        <v>1</v>
      </c>
      <c r="BM45" s="166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</row>
    <row r="46" spans="1:206" s="68" customFormat="1" ht="18" customHeight="1">
      <c r="A46" s="434" t="s">
        <v>103</v>
      </c>
      <c r="B46" s="434"/>
      <c r="C46" s="53"/>
      <c r="D46" s="140">
        <f t="shared" si="142"/>
        <v>0</v>
      </c>
      <c r="E46" s="53"/>
      <c r="F46" s="53"/>
      <c r="G46" s="132">
        <f t="shared" si="143"/>
        <v>0</v>
      </c>
      <c r="H46" s="53"/>
      <c r="I46" s="132"/>
      <c r="J46" s="53"/>
      <c r="K46" s="132"/>
      <c r="L46" s="53"/>
      <c r="M46" s="132"/>
      <c r="N46" s="53"/>
      <c r="O46" s="132"/>
      <c r="P46" s="53"/>
      <c r="Q46" s="132"/>
      <c r="R46" s="53"/>
      <c r="S46" s="132"/>
      <c r="T46" s="53"/>
      <c r="U46" s="132"/>
      <c r="V46" s="53"/>
      <c r="W46" s="132"/>
      <c r="X46" s="53"/>
      <c r="Y46" s="132"/>
      <c r="Z46" s="53"/>
      <c r="AA46" s="53"/>
      <c r="AB46" s="142">
        <f t="shared" si="145"/>
        <v>1</v>
      </c>
      <c r="AC46" s="53"/>
      <c r="AD46" s="53"/>
      <c r="AE46" s="132">
        <f t="shared" si="144"/>
        <v>0</v>
      </c>
      <c r="AF46" s="142">
        <f t="shared" si="146"/>
        <v>1</v>
      </c>
      <c r="AG46" s="53"/>
      <c r="AH46" s="132"/>
      <c r="AI46" s="142">
        <f t="shared" si="147"/>
        <v>1</v>
      </c>
      <c r="AJ46" s="53"/>
      <c r="AK46" s="132"/>
      <c r="AL46" s="142">
        <f t="shared" si="148"/>
        <v>1</v>
      </c>
      <c r="AM46" s="53"/>
      <c r="AN46" s="132"/>
      <c r="AO46" s="142">
        <f t="shared" si="149"/>
        <v>1</v>
      </c>
      <c r="AP46" s="53"/>
      <c r="AQ46" s="132"/>
      <c r="AR46" s="142">
        <f t="shared" si="150"/>
        <v>1</v>
      </c>
      <c r="AS46" s="53"/>
      <c r="AT46" s="132"/>
      <c r="AU46" s="142">
        <f t="shared" si="151"/>
        <v>1</v>
      </c>
      <c r="AV46" s="53"/>
      <c r="AW46" s="132"/>
      <c r="AX46" s="142">
        <f t="shared" si="152"/>
        <v>1</v>
      </c>
      <c r="AY46" s="53"/>
      <c r="AZ46" s="132"/>
      <c r="BA46" s="142">
        <f t="shared" si="153"/>
        <v>1</v>
      </c>
      <c r="BB46" s="53"/>
      <c r="BC46" s="132"/>
      <c r="BD46" s="142">
        <f t="shared" si="154"/>
        <v>1</v>
      </c>
      <c r="BE46" s="53"/>
      <c r="BF46" s="132"/>
      <c r="BG46" s="142">
        <f t="shared" si="155"/>
        <v>1</v>
      </c>
      <c r="BH46" s="132"/>
      <c r="BI46" s="23"/>
      <c r="BJ46" s="23"/>
      <c r="BK46" s="142">
        <f>IF($AA$46=0,1,BJ46/$AA$46-1)</f>
        <v>1</v>
      </c>
      <c r="BL46" s="142">
        <f t="shared" si="24"/>
        <v>1</v>
      </c>
      <c r="BM46" s="166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</row>
    <row r="47" spans="1:206" s="70" customFormat="1" ht="18" customHeight="1">
      <c r="A47" s="434" t="s">
        <v>106</v>
      </c>
      <c r="B47" s="434"/>
      <c r="C47" s="140">
        <f t="shared" ref="C47:F47" si="156">C48+C49+C55+C56+C61+C57+C58+C59+C60+C62</f>
        <v>0</v>
      </c>
      <c r="D47" s="140">
        <f t="shared" si="156"/>
        <v>0</v>
      </c>
      <c r="E47" s="140">
        <f t="shared" si="156"/>
        <v>0</v>
      </c>
      <c r="F47" s="140">
        <f t="shared" si="156"/>
        <v>0</v>
      </c>
      <c r="G47" s="132">
        <f t="shared" si="143"/>
        <v>0</v>
      </c>
      <c r="H47" s="140">
        <f t="shared" ref="H47:AA47" si="157">H48+H49+H55+H56+H61+H57+H58+H59+H60+H62</f>
        <v>0</v>
      </c>
      <c r="I47" s="140">
        <f t="shared" si="157"/>
        <v>0</v>
      </c>
      <c r="J47" s="140">
        <f t="shared" si="157"/>
        <v>0</v>
      </c>
      <c r="K47" s="140">
        <f t="shared" si="157"/>
        <v>0</v>
      </c>
      <c r="L47" s="140">
        <f t="shared" si="157"/>
        <v>0</v>
      </c>
      <c r="M47" s="140">
        <f t="shared" si="157"/>
        <v>0</v>
      </c>
      <c r="N47" s="140">
        <f t="shared" si="157"/>
        <v>0</v>
      </c>
      <c r="O47" s="140">
        <f t="shared" si="157"/>
        <v>0</v>
      </c>
      <c r="P47" s="140">
        <f t="shared" si="157"/>
        <v>0</v>
      </c>
      <c r="Q47" s="140">
        <f t="shared" si="157"/>
        <v>0</v>
      </c>
      <c r="R47" s="140">
        <f t="shared" si="157"/>
        <v>0</v>
      </c>
      <c r="S47" s="140">
        <f t="shared" si="157"/>
        <v>0</v>
      </c>
      <c r="T47" s="140">
        <f t="shared" si="157"/>
        <v>0</v>
      </c>
      <c r="U47" s="140">
        <f t="shared" si="157"/>
        <v>0</v>
      </c>
      <c r="V47" s="140">
        <f t="shared" si="157"/>
        <v>0</v>
      </c>
      <c r="W47" s="140">
        <f t="shared" si="157"/>
        <v>0</v>
      </c>
      <c r="X47" s="140">
        <f t="shared" si="157"/>
        <v>0</v>
      </c>
      <c r="Y47" s="140">
        <f t="shared" si="157"/>
        <v>0</v>
      </c>
      <c r="Z47" s="140">
        <f t="shared" si="157"/>
        <v>0</v>
      </c>
      <c r="AA47" s="140">
        <f t="shared" si="157"/>
        <v>0</v>
      </c>
      <c r="AB47" s="142">
        <f t="shared" si="145"/>
        <v>1</v>
      </c>
      <c r="AC47" s="140">
        <f t="shared" ref="AC47:AE47" si="158">AC48+AC49+AC55+AC56+AC61+AC57+AC58+AC59+AC60+AC62</f>
        <v>0</v>
      </c>
      <c r="AD47" s="140">
        <f t="shared" si="158"/>
        <v>0</v>
      </c>
      <c r="AE47" s="140">
        <f t="shared" si="158"/>
        <v>0</v>
      </c>
      <c r="AF47" s="142">
        <f t="shared" si="146"/>
        <v>1</v>
      </c>
      <c r="AG47" s="140">
        <f>AG48+AG49+AG55+AG56+AG61+AG57+AG58+AG59+AG60+AG62</f>
        <v>0</v>
      </c>
      <c r="AH47" s="140">
        <f>AH48+AH49+AH55+AH56+AH61+AH57+AH58+AH59+AH60+AH62</f>
        <v>0</v>
      </c>
      <c r="AI47" s="142">
        <f t="shared" si="147"/>
        <v>1</v>
      </c>
      <c r="AJ47" s="140">
        <f>AJ48+AJ49+AJ55+AJ56+AJ61+AJ57+AJ58+AJ59+AJ60+AJ62</f>
        <v>0</v>
      </c>
      <c r="AK47" s="140">
        <f>AK48+AK49+AK55+AK56+AK61+AK57+AK58+AK59+AK60+AK62</f>
        <v>0</v>
      </c>
      <c r="AL47" s="142">
        <f t="shared" si="148"/>
        <v>1</v>
      </c>
      <c r="AM47" s="140">
        <f>AM48+AM49+AM55+AM56+AM61+AM57+AM58+AM59+AM60+AM62</f>
        <v>0</v>
      </c>
      <c r="AN47" s="140">
        <f>AN48+AN49+AN55+AN56+AN61+AN57+AN58+AN59+AN60+AN62</f>
        <v>0</v>
      </c>
      <c r="AO47" s="142">
        <f t="shared" si="149"/>
        <v>1</v>
      </c>
      <c r="AP47" s="140">
        <f>AP48+AP49+AP55+AP56+AP61+AP57+AP58+AP59+AP60+AP62</f>
        <v>0</v>
      </c>
      <c r="AQ47" s="140">
        <f>AQ48+AQ49+AQ55+AQ56+AQ61+AQ57+AQ58+AQ59+AQ60+AQ62</f>
        <v>0</v>
      </c>
      <c r="AR47" s="142">
        <f t="shared" si="150"/>
        <v>1</v>
      </c>
      <c r="AS47" s="140">
        <f>AS48+AS49+AS55+AS56+AS61+AS57+AS58+AS59+AS60+AS62</f>
        <v>0</v>
      </c>
      <c r="AT47" s="140">
        <f>AT48+AT49+AT55+AT56+AT61+AT57+AT58+AT59+AT60+AT62</f>
        <v>0</v>
      </c>
      <c r="AU47" s="142">
        <f t="shared" si="151"/>
        <v>1</v>
      </c>
      <c r="AV47" s="140">
        <f>AV48+AV49+AV55+AV56+AV61+AV57+AV58+AV59+AV60+AV62</f>
        <v>0</v>
      </c>
      <c r="AW47" s="140">
        <f>AW48+AW49+AW55+AW56+AW61+AW57+AW58+AW59+AW60+AW62</f>
        <v>0</v>
      </c>
      <c r="AX47" s="142">
        <f t="shared" si="152"/>
        <v>1</v>
      </c>
      <c r="AY47" s="140">
        <f>AY48+AY49+AY55+AY56+AY61+AY57+AY58+AY59+AY60+AY62</f>
        <v>0</v>
      </c>
      <c r="AZ47" s="140">
        <f>AZ48+AZ49+AZ55+AZ56+AZ61+AZ57+AZ58+AZ59+AZ60+AZ62</f>
        <v>0</v>
      </c>
      <c r="BA47" s="142">
        <f t="shared" si="153"/>
        <v>1</v>
      </c>
      <c r="BB47" s="140">
        <f>BB48+BB49+BB55+BB56+BB61+BB57+BB58+BB59+BB60+BB62</f>
        <v>0</v>
      </c>
      <c r="BC47" s="140">
        <f>BC48+BC49+BC55+BC56+BC61+BC57+BC58+BC59+BC60+BC62</f>
        <v>0</v>
      </c>
      <c r="BD47" s="142">
        <f t="shared" si="154"/>
        <v>1</v>
      </c>
      <c r="BE47" s="140">
        <f>BE48+BE49+BE55+BE56+BE61+BE57+BE58+BE59+BE60+BE62</f>
        <v>0</v>
      </c>
      <c r="BF47" s="140">
        <f>BF48+BF49+BF55+BF56+BF61+BF57+BF58+BF59+BF60+BF62</f>
        <v>0</v>
      </c>
      <c r="BG47" s="142">
        <f t="shared" si="155"/>
        <v>1</v>
      </c>
      <c r="BH47" s="140">
        <f t="shared" ref="BH47:BJ47" si="159">BH48+BH49+BH55+BH56+BH61+BH57+BH58+BH59+BH60+BH62</f>
        <v>0</v>
      </c>
      <c r="BI47" s="140">
        <f t="shared" si="159"/>
        <v>0</v>
      </c>
      <c r="BJ47" s="140">
        <f t="shared" si="159"/>
        <v>0</v>
      </c>
      <c r="BK47" s="142">
        <f>IF($AA$47=0,1,BJ47/$AA$47-1)</f>
        <v>1</v>
      </c>
      <c r="BL47" s="142">
        <f t="shared" si="24"/>
        <v>1</v>
      </c>
      <c r="BM47" s="166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</row>
    <row r="48" spans="1:206" s="64" customFormat="1" ht="21.75" customHeight="1">
      <c r="A48" s="426" t="s">
        <v>132</v>
      </c>
      <c r="B48" s="426"/>
      <c r="C48" s="29"/>
      <c r="D48" s="134">
        <f>E48+F48+H48+J48+L48+N48+P48+R48+T48+V48+X48+Z48</f>
        <v>0</v>
      </c>
      <c r="E48" s="29"/>
      <c r="F48" s="29"/>
      <c r="G48" s="134">
        <f t="shared" si="143"/>
        <v>0</v>
      </c>
      <c r="H48" s="29"/>
      <c r="I48" s="134"/>
      <c r="J48" s="29"/>
      <c r="K48" s="134"/>
      <c r="L48" s="29"/>
      <c r="M48" s="134"/>
      <c r="N48" s="29"/>
      <c r="O48" s="134"/>
      <c r="P48" s="29"/>
      <c r="Q48" s="134"/>
      <c r="R48" s="29"/>
      <c r="S48" s="134"/>
      <c r="T48" s="29"/>
      <c r="U48" s="134"/>
      <c r="V48" s="29"/>
      <c r="W48" s="134"/>
      <c r="X48" s="29"/>
      <c r="Y48" s="134"/>
      <c r="Z48" s="29"/>
      <c r="AA48" s="29"/>
      <c r="AB48" s="135">
        <f t="shared" si="145"/>
        <v>1</v>
      </c>
      <c r="AC48" s="29"/>
      <c r="AD48" s="29"/>
      <c r="AE48" s="134">
        <f t="shared" ref="AE48:AE73" si="160">AC48+AD48</f>
        <v>0</v>
      </c>
      <c r="AF48" s="135">
        <f t="shared" si="146"/>
        <v>1</v>
      </c>
      <c r="AG48" s="29"/>
      <c r="AH48" s="134"/>
      <c r="AI48" s="135">
        <f t="shared" si="147"/>
        <v>1</v>
      </c>
      <c r="AJ48" s="29"/>
      <c r="AK48" s="134"/>
      <c r="AL48" s="135">
        <f t="shared" si="148"/>
        <v>1</v>
      </c>
      <c r="AM48" s="29"/>
      <c r="AN48" s="134"/>
      <c r="AO48" s="135">
        <f t="shared" si="149"/>
        <v>1</v>
      </c>
      <c r="AP48" s="29"/>
      <c r="AQ48" s="134"/>
      <c r="AR48" s="135">
        <f t="shared" si="150"/>
        <v>1</v>
      </c>
      <c r="AS48" s="29"/>
      <c r="AT48" s="134"/>
      <c r="AU48" s="135">
        <f t="shared" si="151"/>
        <v>1</v>
      </c>
      <c r="AV48" s="29"/>
      <c r="AW48" s="134"/>
      <c r="AX48" s="135">
        <f t="shared" si="152"/>
        <v>1</v>
      </c>
      <c r="AY48" s="29"/>
      <c r="AZ48" s="134"/>
      <c r="BA48" s="135">
        <f t="shared" si="153"/>
        <v>1</v>
      </c>
      <c r="BB48" s="29"/>
      <c r="BC48" s="134"/>
      <c r="BD48" s="135">
        <f t="shared" si="154"/>
        <v>1</v>
      </c>
      <c r="BE48" s="29"/>
      <c r="BF48" s="134"/>
      <c r="BG48" s="135">
        <f t="shared" si="155"/>
        <v>1</v>
      </c>
      <c r="BH48" s="134"/>
      <c r="BI48" s="26"/>
      <c r="BJ48" s="26"/>
      <c r="BK48" s="135">
        <f>IF($AA$48=0,1,BJ48/$AA$48-1)</f>
        <v>1</v>
      </c>
      <c r="BL48" s="135">
        <f t="shared" si="24"/>
        <v>1</v>
      </c>
      <c r="BM48" s="167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</row>
    <row r="49" spans="1:206" s="66" customFormat="1" ht="18" customHeight="1">
      <c r="A49" s="426" t="s">
        <v>108</v>
      </c>
      <c r="B49" s="426"/>
      <c r="C49" s="29">
        <f>C50+C51+C52</f>
        <v>0</v>
      </c>
      <c r="D49" s="137">
        <f t="shared" ref="D49:AA49" si="161">D50+D51+D52</f>
        <v>0</v>
      </c>
      <c r="E49" s="29">
        <f t="shared" si="161"/>
        <v>0</v>
      </c>
      <c r="F49" s="29">
        <f t="shared" si="161"/>
        <v>0</v>
      </c>
      <c r="G49" s="134">
        <f t="shared" si="143"/>
        <v>0</v>
      </c>
      <c r="H49" s="29">
        <f t="shared" ref="H49" si="162">H50+H51+H52</f>
        <v>0</v>
      </c>
      <c r="I49" s="137">
        <f t="shared" si="161"/>
        <v>0</v>
      </c>
      <c r="J49" s="29">
        <f t="shared" si="161"/>
        <v>0</v>
      </c>
      <c r="K49" s="137">
        <f t="shared" si="161"/>
        <v>0</v>
      </c>
      <c r="L49" s="29">
        <f t="shared" si="161"/>
        <v>0</v>
      </c>
      <c r="M49" s="137">
        <f t="shared" si="161"/>
        <v>0</v>
      </c>
      <c r="N49" s="29">
        <f t="shared" si="161"/>
        <v>0</v>
      </c>
      <c r="O49" s="137">
        <f t="shared" si="161"/>
        <v>0</v>
      </c>
      <c r="P49" s="29">
        <f t="shared" si="161"/>
        <v>0</v>
      </c>
      <c r="Q49" s="137">
        <f t="shared" si="161"/>
        <v>0</v>
      </c>
      <c r="R49" s="29">
        <f t="shared" si="161"/>
        <v>0</v>
      </c>
      <c r="S49" s="137">
        <f t="shared" si="161"/>
        <v>0</v>
      </c>
      <c r="T49" s="29">
        <f t="shared" si="161"/>
        <v>0</v>
      </c>
      <c r="U49" s="137">
        <f t="shared" si="161"/>
        <v>0</v>
      </c>
      <c r="V49" s="29">
        <f t="shared" si="161"/>
        <v>0</v>
      </c>
      <c r="W49" s="137">
        <f t="shared" si="161"/>
        <v>0</v>
      </c>
      <c r="X49" s="29">
        <f t="shared" si="161"/>
        <v>0</v>
      </c>
      <c r="Y49" s="137">
        <f t="shared" si="161"/>
        <v>0</v>
      </c>
      <c r="Z49" s="29">
        <f t="shared" si="161"/>
        <v>0</v>
      </c>
      <c r="AA49" s="29">
        <f t="shared" si="161"/>
        <v>0</v>
      </c>
      <c r="AB49" s="135">
        <f t="shared" si="145"/>
        <v>1</v>
      </c>
      <c r="AC49" s="29">
        <f t="shared" ref="AC49:AD49" si="163">AC50+AC51+AC52</f>
        <v>0</v>
      </c>
      <c r="AD49" s="29">
        <f t="shared" si="163"/>
        <v>0</v>
      </c>
      <c r="AE49" s="134">
        <f t="shared" si="160"/>
        <v>0</v>
      </c>
      <c r="AF49" s="135">
        <f t="shared" si="146"/>
        <v>1</v>
      </c>
      <c r="AG49" s="29">
        <f t="shared" ref="AG49:BF49" si="164">AG50+AG51+AG52</f>
        <v>0</v>
      </c>
      <c r="AH49" s="134">
        <f t="shared" si="164"/>
        <v>0</v>
      </c>
      <c r="AI49" s="135">
        <f t="shared" si="147"/>
        <v>1</v>
      </c>
      <c r="AJ49" s="29">
        <f t="shared" ref="AJ49" si="165">AJ50+AJ51+AJ52</f>
        <v>0</v>
      </c>
      <c r="AK49" s="134">
        <f t="shared" si="164"/>
        <v>0</v>
      </c>
      <c r="AL49" s="135">
        <f t="shared" si="148"/>
        <v>1</v>
      </c>
      <c r="AM49" s="29">
        <f t="shared" ref="AM49" si="166">AM50+AM51+AM52</f>
        <v>0</v>
      </c>
      <c r="AN49" s="134">
        <f t="shared" si="164"/>
        <v>0</v>
      </c>
      <c r="AO49" s="135">
        <f t="shared" si="149"/>
        <v>1</v>
      </c>
      <c r="AP49" s="29">
        <f t="shared" ref="AP49" si="167">AP50+AP51+AP52</f>
        <v>0</v>
      </c>
      <c r="AQ49" s="134">
        <f t="shared" si="164"/>
        <v>0</v>
      </c>
      <c r="AR49" s="135">
        <f t="shared" si="150"/>
        <v>1</v>
      </c>
      <c r="AS49" s="29">
        <f t="shared" ref="AS49" si="168">AS50+AS51+AS52</f>
        <v>0</v>
      </c>
      <c r="AT49" s="134">
        <f t="shared" si="164"/>
        <v>0</v>
      </c>
      <c r="AU49" s="135">
        <f t="shared" si="151"/>
        <v>1</v>
      </c>
      <c r="AV49" s="29">
        <f t="shared" ref="AV49" si="169">AV50+AV51+AV52</f>
        <v>0</v>
      </c>
      <c r="AW49" s="134">
        <f t="shared" si="164"/>
        <v>0</v>
      </c>
      <c r="AX49" s="135">
        <f t="shared" si="152"/>
        <v>1</v>
      </c>
      <c r="AY49" s="29">
        <f t="shared" ref="AY49" si="170">AY50+AY51+AY52</f>
        <v>0</v>
      </c>
      <c r="AZ49" s="134">
        <f t="shared" si="164"/>
        <v>0</v>
      </c>
      <c r="BA49" s="135">
        <f t="shared" si="153"/>
        <v>1</v>
      </c>
      <c r="BB49" s="29">
        <f t="shared" ref="BB49" si="171">BB50+BB51+BB52</f>
        <v>0</v>
      </c>
      <c r="BC49" s="134">
        <f t="shared" si="164"/>
        <v>0</v>
      </c>
      <c r="BD49" s="135">
        <f t="shared" si="154"/>
        <v>1</v>
      </c>
      <c r="BE49" s="29">
        <f t="shared" ref="BE49" si="172">BE50+BE51+BE52</f>
        <v>0</v>
      </c>
      <c r="BF49" s="134">
        <f t="shared" si="164"/>
        <v>0</v>
      </c>
      <c r="BG49" s="135">
        <f t="shared" si="155"/>
        <v>1</v>
      </c>
      <c r="BH49" s="134">
        <f t="shared" ref="BH49:BJ49" si="173">BH50+BH51+BH52</f>
        <v>0</v>
      </c>
      <c r="BI49" s="134">
        <f t="shared" si="173"/>
        <v>0</v>
      </c>
      <c r="BJ49" s="134">
        <f t="shared" si="173"/>
        <v>0</v>
      </c>
      <c r="BK49" s="135">
        <f>IF($AA$49=0,1,BJ49/$AA$49-1)</f>
        <v>1</v>
      </c>
      <c r="BL49" s="135">
        <f t="shared" si="24"/>
        <v>1</v>
      </c>
      <c r="BM49" s="167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</row>
    <row r="50" spans="1:206" s="66" customFormat="1" ht="18" customHeight="1">
      <c r="A50" s="426" t="s">
        <v>110</v>
      </c>
      <c r="B50" s="426"/>
      <c r="C50" s="29"/>
      <c r="D50" s="134">
        <f t="shared" ref="D50:D73" si="174">E50+F50+H50+J50+L50+N50+P50+R50+T50+V50+X50+Z50</f>
        <v>0</v>
      </c>
      <c r="E50" s="29"/>
      <c r="F50" s="29"/>
      <c r="G50" s="134">
        <f t="shared" si="143"/>
        <v>0</v>
      </c>
      <c r="H50" s="29"/>
      <c r="I50" s="134"/>
      <c r="J50" s="29"/>
      <c r="K50" s="134"/>
      <c r="L50" s="29"/>
      <c r="M50" s="134"/>
      <c r="N50" s="29"/>
      <c r="O50" s="134"/>
      <c r="P50" s="29"/>
      <c r="Q50" s="134"/>
      <c r="R50" s="29"/>
      <c r="S50" s="134"/>
      <c r="T50" s="29"/>
      <c r="U50" s="134"/>
      <c r="V50" s="29"/>
      <c r="W50" s="134"/>
      <c r="X50" s="29"/>
      <c r="Y50" s="134"/>
      <c r="Z50" s="29"/>
      <c r="AA50" s="29"/>
      <c r="AB50" s="135">
        <f t="shared" si="145"/>
        <v>1</v>
      </c>
      <c r="AC50" s="29"/>
      <c r="AD50" s="29"/>
      <c r="AE50" s="134">
        <f t="shared" si="160"/>
        <v>0</v>
      </c>
      <c r="AF50" s="135">
        <f t="shared" si="146"/>
        <v>1</v>
      </c>
      <c r="AG50" s="29"/>
      <c r="AH50" s="134"/>
      <c r="AI50" s="135">
        <f t="shared" si="147"/>
        <v>1</v>
      </c>
      <c r="AJ50" s="29"/>
      <c r="AK50" s="134"/>
      <c r="AL50" s="135">
        <f t="shared" si="148"/>
        <v>1</v>
      </c>
      <c r="AM50" s="29"/>
      <c r="AN50" s="134"/>
      <c r="AO50" s="135">
        <f t="shared" si="149"/>
        <v>1</v>
      </c>
      <c r="AP50" s="29"/>
      <c r="AQ50" s="134"/>
      <c r="AR50" s="135">
        <f t="shared" si="150"/>
        <v>1</v>
      </c>
      <c r="AS50" s="29"/>
      <c r="AT50" s="134"/>
      <c r="AU50" s="135">
        <f t="shared" si="151"/>
        <v>1</v>
      </c>
      <c r="AV50" s="29"/>
      <c r="AW50" s="134"/>
      <c r="AX50" s="135">
        <f t="shared" si="152"/>
        <v>1</v>
      </c>
      <c r="AY50" s="29"/>
      <c r="AZ50" s="134"/>
      <c r="BA50" s="135">
        <f t="shared" si="153"/>
        <v>1</v>
      </c>
      <c r="BB50" s="29"/>
      <c r="BC50" s="134"/>
      <c r="BD50" s="135">
        <f t="shared" si="154"/>
        <v>1</v>
      </c>
      <c r="BE50" s="29"/>
      <c r="BF50" s="134"/>
      <c r="BG50" s="135">
        <f t="shared" si="155"/>
        <v>1</v>
      </c>
      <c r="BH50" s="134"/>
      <c r="BI50" s="26"/>
      <c r="BJ50" s="26"/>
      <c r="BK50" s="135">
        <f>IF($AA$50=0,1,BJ50/$AA$50-1)</f>
        <v>1</v>
      </c>
      <c r="BL50" s="135">
        <f t="shared" si="24"/>
        <v>1</v>
      </c>
      <c r="BM50" s="167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</row>
    <row r="51" spans="1:206" s="66" customFormat="1" ht="18" customHeight="1">
      <c r="A51" s="426" t="s">
        <v>111</v>
      </c>
      <c r="B51" s="426"/>
      <c r="C51" s="29"/>
      <c r="D51" s="134">
        <f t="shared" si="174"/>
        <v>0</v>
      </c>
      <c r="E51" s="29"/>
      <c r="F51" s="29"/>
      <c r="G51" s="134">
        <f t="shared" si="143"/>
        <v>0</v>
      </c>
      <c r="H51" s="29"/>
      <c r="I51" s="134"/>
      <c r="J51" s="29"/>
      <c r="K51" s="134"/>
      <c r="L51" s="29"/>
      <c r="M51" s="134"/>
      <c r="N51" s="29"/>
      <c r="O51" s="134"/>
      <c r="P51" s="29"/>
      <c r="Q51" s="134"/>
      <c r="R51" s="29"/>
      <c r="S51" s="134"/>
      <c r="T51" s="29"/>
      <c r="U51" s="134"/>
      <c r="V51" s="29"/>
      <c r="W51" s="134"/>
      <c r="X51" s="29"/>
      <c r="Y51" s="134"/>
      <c r="Z51" s="29"/>
      <c r="AA51" s="29"/>
      <c r="AB51" s="135">
        <f t="shared" si="145"/>
        <v>1</v>
      </c>
      <c r="AC51" s="29"/>
      <c r="AD51" s="29"/>
      <c r="AE51" s="134">
        <f t="shared" si="160"/>
        <v>0</v>
      </c>
      <c r="AF51" s="135">
        <f t="shared" si="146"/>
        <v>1</v>
      </c>
      <c r="AG51" s="29"/>
      <c r="AH51" s="134"/>
      <c r="AI51" s="135">
        <f t="shared" si="147"/>
        <v>1</v>
      </c>
      <c r="AJ51" s="29"/>
      <c r="AK51" s="134"/>
      <c r="AL51" s="135">
        <f t="shared" si="148"/>
        <v>1</v>
      </c>
      <c r="AM51" s="29"/>
      <c r="AN51" s="134"/>
      <c r="AO51" s="135">
        <f t="shared" si="149"/>
        <v>1</v>
      </c>
      <c r="AP51" s="29"/>
      <c r="AQ51" s="134"/>
      <c r="AR51" s="135">
        <f t="shared" si="150"/>
        <v>1</v>
      </c>
      <c r="AS51" s="29"/>
      <c r="AT51" s="134"/>
      <c r="AU51" s="135">
        <f t="shared" si="151"/>
        <v>1</v>
      </c>
      <c r="AV51" s="29"/>
      <c r="AW51" s="134"/>
      <c r="AX51" s="135">
        <f t="shared" si="152"/>
        <v>1</v>
      </c>
      <c r="AY51" s="29"/>
      <c r="AZ51" s="134"/>
      <c r="BA51" s="135">
        <f t="shared" si="153"/>
        <v>1</v>
      </c>
      <c r="BB51" s="29"/>
      <c r="BC51" s="134"/>
      <c r="BD51" s="135">
        <f t="shared" si="154"/>
        <v>1</v>
      </c>
      <c r="BE51" s="29"/>
      <c r="BF51" s="134"/>
      <c r="BG51" s="135">
        <f t="shared" si="155"/>
        <v>1</v>
      </c>
      <c r="BH51" s="134"/>
      <c r="BI51" s="26"/>
      <c r="BJ51" s="26"/>
      <c r="BK51" s="135">
        <f>IF($AA$51=0,1,BJ51/$AA$51-1)</f>
        <v>1</v>
      </c>
      <c r="BL51" s="135">
        <f t="shared" si="24"/>
        <v>1</v>
      </c>
      <c r="BM51" s="167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</row>
    <row r="52" spans="1:206" s="66" customFormat="1" ht="18" customHeight="1">
      <c r="A52" s="426" t="s">
        <v>112</v>
      </c>
      <c r="B52" s="426"/>
      <c r="C52" s="29"/>
      <c r="D52" s="134">
        <f t="shared" si="174"/>
        <v>0</v>
      </c>
      <c r="E52" s="29"/>
      <c r="F52" s="29"/>
      <c r="G52" s="134">
        <f t="shared" si="143"/>
        <v>0</v>
      </c>
      <c r="H52" s="29"/>
      <c r="I52" s="134"/>
      <c r="J52" s="29"/>
      <c r="K52" s="134"/>
      <c r="L52" s="29"/>
      <c r="M52" s="134"/>
      <c r="N52" s="29"/>
      <c r="O52" s="134"/>
      <c r="P52" s="29"/>
      <c r="Q52" s="134"/>
      <c r="R52" s="29"/>
      <c r="S52" s="134"/>
      <c r="T52" s="29"/>
      <c r="U52" s="134"/>
      <c r="V52" s="29"/>
      <c r="W52" s="134"/>
      <c r="X52" s="29"/>
      <c r="Y52" s="134"/>
      <c r="Z52" s="29"/>
      <c r="AA52" s="29"/>
      <c r="AB52" s="135">
        <f t="shared" si="145"/>
        <v>1</v>
      </c>
      <c r="AC52" s="29"/>
      <c r="AD52" s="29"/>
      <c r="AE52" s="134">
        <f t="shared" si="160"/>
        <v>0</v>
      </c>
      <c r="AF52" s="135">
        <f t="shared" si="146"/>
        <v>1</v>
      </c>
      <c r="AG52" s="29"/>
      <c r="AH52" s="134"/>
      <c r="AI52" s="135">
        <f t="shared" si="147"/>
        <v>1</v>
      </c>
      <c r="AJ52" s="29"/>
      <c r="AK52" s="134"/>
      <c r="AL52" s="135">
        <f t="shared" si="148"/>
        <v>1</v>
      </c>
      <c r="AM52" s="29"/>
      <c r="AN52" s="134"/>
      <c r="AO52" s="135">
        <f t="shared" si="149"/>
        <v>1</v>
      </c>
      <c r="AP52" s="29"/>
      <c r="AQ52" s="134"/>
      <c r="AR52" s="135">
        <f t="shared" si="150"/>
        <v>1</v>
      </c>
      <c r="AS52" s="29"/>
      <c r="AT52" s="134"/>
      <c r="AU52" s="135">
        <f t="shared" si="151"/>
        <v>1</v>
      </c>
      <c r="AV52" s="29"/>
      <c r="AW52" s="134"/>
      <c r="AX52" s="135">
        <f t="shared" si="152"/>
        <v>1</v>
      </c>
      <c r="AY52" s="29"/>
      <c r="AZ52" s="134"/>
      <c r="BA52" s="135">
        <f t="shared" si="153"/>
        <v>1</v>
      </c>
      <c r="BB52" s="29"/>
      <c r="BC52" s="134"/>
      <c r="BD52" s="135">
        <f t="shared" si="154"/>
        <v>1</v>
      </c>
      <c r="BE52" s="29"/>
      <c r="BF52" s="134"/>
      <c r="BG52" s="135">
        <f t="shared" si="155"/>
        <v>1</v>
      </c>
      <c r="BH52" s="134"/>
      <c r="BI52" s="26"/>
      <c r="BJ52" s="26"/>
      <c r="BK52" s="135">
        <f>IF($AA$52=0,1,BJ52/$AA$52-1)</f>
        <v>1</v>
      </c>
      <c r="BL52" s="135">
        <f t="shared" si="24"/>
        <v>1</v>
      </c>
      <c r="BM52" s="167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</row>
    <row r="53" spans="1:206" s="66" customFormat="1" ht="18" customHeight="1">
      <c r="A53" s="426" t="s">
        <v>104</v>
      </c>
      <c r="B53" s="426"/>
      <c r="C53" s="29"/>
      <c r="D53" s="134">
        <f t="shared" si="174"/>
        <v>0</v>
      </c>
      <c r="E53" s="29"/>
      <c r="F53" s="29"/>
      <c r="G53" s="134">
        <f t="shared" si="143"/>
        <v>0</v>
      </c>
      <c r="H53" s="29"/>
      <c r="I53" s="134">
        <f>G53+H53</f>
        <v>0</v>
      </c>
      <c r="J53" s="29"/>
      <c r="K53" s="134">
        <f>I53+J53</f>
        <v>0</v>
      </c>
      <c r="L53" s="29"/>
      <c r="M53" s="134">
        <f>K53+L53</f>
        <v>0</v>
      </c>
      <c r="N53" s="29"/>
      <c r="O53" s="134">
        <f>M53+N53</f>
        <v>0</v>
      </c>
      <c r="P53" s="29"/>
      <c r="Q53" s="134">
        <f>O53+P53</f>
        <v>0</v>
      </c>
      <c r="R53" s="29"/>
      <c r="S53" s="134">
        <f>Q53+R53</f>
        <v>0</v>
      </c>
      <c r="T53" s="29"/>
      <c r="U53" s="134">
        <f>S53+T53</f>
        <v>0</v>
      </c>
      <c r="V53" s="29"/>
      <c r="W53" s="134">
        <f>U53+V53</f>
        <v>0</v>
      </c>
      <c r="X53" s="29"/>
      <c r="Y53" s="134">
        <f>W53+X53</f>
        <v>0</v>
      </c>
      <c r="Z53" s="29"/>
      <c r="AA53" s="29"/>
      <c r="AB53" s="135">
        <f t="shared" si="145"/>
        <v>1</v>
      </c>
      <c r="AC53" s="29"/>
      <c r="AD53" s="29"/>
      <c r="AE53" s="134">
        <f t="shared" si="160"/>
        <v>0</v>
      </c>
      <c r="AF53" s="135">
        <f t="shared" si="146"/>
        <v>1</v>
      </c>
      <c r="AG53" s="29"/>
      <c r="AH53" s="134">
        <f>AE53+AG53</f>
        <v>0</v>
      </c>
      <c r="AI53" s="135">
        <f t="shared" si="147"/>
        <v>1</v>
      </c>
      <c r="AJ53" s="29"/>
      <c r="AK53" s="134">
        <f>AH53+AJ53</f>
        <v>0</v>
      </c>
      <c r="AL53" s="135">
        <f t="shared" si="148"/>
        <v>1</v>
      </c>
      <c r="AM53" s="29"/>
      <c r="AN53" s="134">
        <f>AK53+AM53</f>
        <v>0</v>
      </c>
      <c r="AO53" s="135">
        <f t="shared" si="149"/>
        <v>1</v>
      </c>
      <c r="AP53" s="29"/>
      <c r="AQ53" s="134">
        <f>AN53+AP53</f>
        <v>0</v>
      </c>
      <c r="AR53" s="135">
        <f t="shared" si="150"/>
        <v>1</v>
      </c>
      <c r="AS53" s="29"/>
      <c r="AT53" s="134">
        <f>AQ53+AS53</f>
        <v>0</v>
      </c>
      <c r="AU53" s="135">
        <f t="shared" si="151"/>
        <v>1</v>
      </c>
      <c r="AV53" s="29"/>
      <c r="AW53" s="134">
        <f>AT53+AV53</f>
        <v>0</v>
      </c>
      <c r="AX53" s="135">
        <f t="shared" si="152"/>
        <v>1</v>
      </c>
      <c r="AY53" s="29"/>
      <c r="AZ53" s="134">
        <f>AW53+AY53</f>
        <v>0</v>
      </c>
      <c r="BA53" s="135">
        <f t="shared" si="153"/>
        <v>1</v>
      </c>
      <c r="BB53" s="29"/>
      <c r="BC53" s="134">
        <f>AZ53+BB53</f>
        <v>0</v>
      </c>
      <c r="BD53" s="135">
        <f t="shared" si="154"/>
        <v>1</v>
      </c>
      <c r="BE53" s="29"/>
      <c r="BF53" s="134">
        <f>BC53+BE53</f>
        <v>0</v>
      </c>
      <c r="BG53" s="135">
        <f t="shared" si="155"/>
        <v>1</v>
      </c>
      <c r="BH53" s="134"/>
      <c r="BI53" s="26"/>
      <c r="BJ53" s="26"/>
      <c r="BK53" s="135">
        <f>IF($AA$53=0,1,BJ53/$AA$53-1)</f>
        <v>1</v>
      </c>
      <c r="BL53" s="135">
        <f t="shared" si="24"/>
        <v>1</v>
      </c>
      <c r="BM53" s="167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</row>
    <row r="54" spans="1:206" s="66" customFormat="1" ht="18" customHeight="1">
      <c r="A54" s="426" t="s">
        <v>107</v>
      </c>
      <c r="B54" s="426"/>
      <c r="C54" s="29"/>
      <c r="D54" s="134">
        <f t="shared" si="174"/>
        <v>0</v>
      </c>
      <c r="E54" s="29"/>
      <c r="F54" s="29"/>
      <c r="G54" s="134">
        <f t="shared" si="143"/>
        <v>0</v>
      </c>
      <c r="H54" s="29"/>
      <c r="I54" s="134"/>
      <c r="J54" s="29"/>
      <c r="K54" s="134"/>
      <c r="L54" s="29"/>
      <c r="M54" s="134"/>
      <c r="N54" s="29"/>
      <c r="O54" s="134"/>
      <c r="P54" s="29"/>
      <c r="Q54" s="134"/>
      <c r="R54" s="29"/>
      <c r="S54" s="134"/>
      <c r="T54" s="29"/>
      <c r="U54" s="134"/>
      <c r="V54" s="29"/>
      <c r="W54" s="134"/>
      <c r="X54" s="29"/>
      <c r="Y54" s="134"/>
      <c r="Z54" s="29"/>
      <c r="AA54" s="29"/>
      <c r="AB54" s="135">
        <f t="shared" si="145"/>
        <v>1</v>
      </c>
      <c r="AC54" s="29"/>
      <c r="AD54" s="29"/>
      <c r="AE54" s="134">
        <f t="shared" si="160"/>
        <v>0</v>
      </c>
      <c r="AF54" s="135">
        <f t="shared" si="146"/>
        <v>1</v>
      </c>
      <c r="AG54" s="29"/>
      <c r="AH54" s="134"/>
      <c r="AI54" s="135">
        <f t="shared" si="147"/>
        <v>1</v>
      </c>
      <c r="AJ54" s="29"/>
      <c r="AK54" s="134"/>
      <c r="AL54" s="135">
        <f t="shared" si="148"/>
        <v>1</v>
      </c>
      <c r="AM54" s="29"/>
      <c r="AN54" s="134"/>
      <c r="AO54" s="135">
        <f t="shared" si="149"/>
        <v>1</v>
      </c>
      <c r="AP54" s="29"/>
      <c r="AQ54" s="134"/>
      <c r="AR54" s="135">
        <f t="shared" si="150"/>
        <v>1</v>
      </c>
      <c r="AS54" s="29"/>
      <c r="AT54" s="134"/>
      <c r="AU54" s="135">
        <f t="shared" si="151"/>
        <v>1</v>
      </c>
      <c r="AV54" s="29"/>
      <c r="AW54" s="134"/>
      <c r="AX54" s="135">
        <f t="shared" si="152"/>
        <v>1</v>
      </c>
      <c r="AY54" s="29"/>
      <c r="AZ54" s="134"/>
      <c r="BA54" s="135">
        <f t="shared" si="153"/>
        <v>1</v>
      </c>
      <c r="BB54" s="29"/>
      <c r="BC54" s="134"/>
      <c r="BD54" s="135">
        <f t="shared" si="154"/>
        <v>1</v>
      </c>
      <c r="BE54" s="29"/>
      <c r="BF54" s="134"/>
      <c r="BG54" s="135">
        <f t="shared" si="155"/>
        <v>1</v>
      </c>
      <c r="BH54" s="134"/>
      <c r="BI54" s="26"/>
      <c r="BJ54" s="26"/>
      <c r="BK54" s="135">
        <f>IF($AA$54=0,1,BJ54/$AA$54-1)</f>
        <v>1</v>
      </c>
      <c r="BL54" s="135">
        <f t="shared" si="24"/>
        <v>1</v>
      </c>
      <c r="BM54" s="167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</row>
    <row r="55" spans="1:206" s="64" customFormat="1" ht="18" customHeight="1">
      <c r="A55" s="426" t="s">
        <v>131</v>
      </c>
      <c r="B55" s="426"/>
      <c r="C55" s="29"/>
      <c r="D55" s="134">
        <f t="shared" si="174"/>
        <v>0</v>
      </c>
      <c r="E55" s="29"/>
      <c r="F55" s="29"/>
      <c r="G55" s="134">
        <f t="shared" si="143"/>
        <v>0</v>
      </c>
      <c r="H55" s="29"/>
      <c r="I55" s="134">
        <f>G55+H55</f>
        <v>0</v>
      </c>
      <c r="J55" s="29"/>
      <c r="K55" s="134">
        <f>I55+J55</f>
        <v>0</v>
      </c>
      <c r="L55" s="29"/>
      <c r="M55" s="134">
        <f>K55+L55</f>
        <v>0</v>
      </c>
      <c r="N55" s="29"/>
      <c r="O55" s="134">
        <f>M55+N55</f>
        <v>0</v>
      </c>
      <c r="P55" s="29"/>
      <c r="Q55" s="134">
        <f>O55+P55</f>
        <v>0</v>
      </c>
      <c r="R55" s="29"/>
      <c r="S55" s="134">
        <f>Q55+R55</f>
        <v>0</v>
      </c>
      <c r="T55" s="29"/>
      <c r="U55" s="134">
        <f>S55+T55</f>
        <v>0</v>
      </c>
      <c r="V55" s="29"/>
      <c r="W55" s="134">
        <f>U55+V55</f>
        <v>0</v>
      </c>
      <c r="X55" s="29"/>
      <c r="Y55" s="134">
        <f>W55+X55</f>
        <v>0</v>
      </c>
      <c r="Z55" s="29"/>
      <c r="AA55" s="29"/>
      <c r="AB55" s="135">
        <f t="shared" si="145"/>
        <v>1</v>
      </c>
      <c r="AC55" s="29"/>
      <c r="AD55" s="29"/>
      <c r="AE55" s="134">
        <f t="shared" si="160"/>
        <v>0</v>
      </c>
      <c r="AF55" s="135">
        <f t="shared" si="146"/>
        <v>1</v>
      </c>
      <c r="AG55" s="29"/>
      <c r="AH55" s="134">
        <f>AE55+AG55</f>
        <v>0</v>
      </c>
      <c r="AI55" s="135">
        <f t="shared" si="147"/>
        <v>1</v>
      </c>
      <c r="AJ55" s="29"/>
      <c r="AK55" s="134">
        <f>AH55+AJ55</f>
        <v>0</v>
      </c>
      <c r="AL55" s="135">
        <f t="shared" si="148"/>
        <v>1</v>
      </c>
      <c r="AM55" s="29"/>
      <c r="AN55" s="134">
        <f>AK55+AM55</f>
        <v>0</v>
      </c>
      <c r="AO55" s="135">
        <f t="shared" si="149"/>
        <v>1</v>
      </c>
      <c r="AP55" s="29"/>
      <c r="AQ55" s="134">
        <f>AN55+AP55</f>
        <v>0</v>
      </c>
      <c r="AR55" s="135">
        <f t="shared" si="150"/>
        <v>1</v>
      </c>
      <c r="AS55" s="29"/>
      <c r="AT55" s="134">
        <f>AQ55+AS55</f>
        <v>0</v>
      </c>
      <c r="AU55" s="135">
        <f t="shared" si="151"/>
        <v>1</v>
      </c>
      <c r="AV55" s="29"/>
      <c r="AW55" s="134">
        <f>AT55+AV55</f>
        <v>0</v>
      </c>
      <c r="AX55" s="135">
        <f t="shared" si="152"/>
        <v>1</v>
      </c>
      <c r="AY55" s="29"/>
      <c r="AZ55" s="134">
        <f>AW55+AY55</f>
        <v>0</v>
      </c>
      <c r="BA55" s="135">
        <f t="shared" si="153"/>
        <v>1</v>
      </c>
      <c r="BB55" s="29"/>
      <c r="BC55" s="134">
        <f>AZ55+BB55</f>
        <v>0</v>
      </c>
      <c r="BD55" s="135">
        <f t="shared" si="154"/>
        <v>1</v>
      </c>
      <c r="BE55" s="29"/>
      <c r="BF55" s="134">
        <f>BC55+BE55</f>
        <v>0</v>
      </c>
      <c r="BG55" s="135">
        <f t="shared" si="155"/>
        <v>1</v>
      </c>
      <c r="BH55" s="134"/>
      <c r="BI55" s="26"/>
      <c r="BJ55" s="26"/>
      <c r="BK55" s="135">
        <f>IF($AA$55=0,1,BJ55/$AA$55-1)</f>
        <v>1</v>
      </c>
      <c r="BL55" s="135">
        <f t="shared" si="24"/>
        <v>1</v>
      </c>
      <c r="BM55" s="167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</row>
    <row r="56" spans="1:206" s="64" customFormat="1" ht="18" customHeight="1">
      <c r="A56" s="426" t="s">
        <v>109</v>
      </c>
      <c r="B56" s="426"/>
      <c r="C56" s="29"/>
      <c r="D56" s="134">
        <f t="shared" si="174"/>
        <v>0</v>
      </c>
      <c r="E56" s="29"/>
      <c r="F56" s="29"/>
      <c r="G56" s="134">
        <f t="shared" si="143"/>
        <v>0</v>
      </c>
      <c r="H56" s="29"/>
      <c r="I56" s="134">
        <f>G56+H56</f>
        <v>0</v>
      </c>
      <c r="J56" s="29"/>
      <c r="K56" s="134">
        <f>I56+J56</f>
        <v>0</v>
      </c>
      <c r="L56" s="29"/>
      <c r="M56" s="134">
        <f>K56+L56</f>
        <v>0</v>
      </c>
      <c r="N56" s="29"/>
      <c r="O56" s="134">
        <f>M56+N56</f>
        <v>0</v>
      </c>
      <c r="P56" s="29"/>
      <c r="Q56" s="134">
        <f>O56+P56</f>
        <v>0</v>
      </c>
      <c r="R56" s="29"/>
      <c r="S56" s="134">
        <f>Q56+R56</f>
        <v>0</v>
      </c>
      <c r="T56" s="29"/>
      <c r="U56" s="134">
        <f>S56+T56</f>
        <v>0</v>
      </c>
      <c r="V56" s="29"/>
      <c r="W56" s="134">
        <f>U56+V56</f>
        <v>0</v>
      </c>
      <c r="X56" s="29"/>
      <c r="Y56" s="134">
        <f>W56+X56</f>
        <v>0</v>
      </c>
      <c r="Z56" s="29"/>
      <c r="AA56" s="29"/>
      <c r="AB56" s="135">
        <f t="shared" si="145"/>
        <v>1</v>
      </c>
      <c r="AC56" s="29"/>
      <c r="AD56" s="29"/>
      <c r="AE56" s="134">
        <f t="shared" si="160"/>
        <v>0</v>
      </c>
      <c r="AF56" s="135">
        <f t="shared" si="146"/>
        <v>1</v>
      </c>
      <c r="AG56" s="29"/>
      <c r="AH56" s="134">
        <f>AE56+AG56</f>
        <v>0</v>
      </c>
      <c r="AI56" s="135">
        <f t="shared" si="147"/>
        <v>1</v>
      </c>
      <c r="AJ56" s="29"/>
      <c r="AK56" s="134">
        <f>AH56+AJ56</f>
        <v>0</v>
      </c>
      <c r="AL56" s="135">
        <f t="shared" si="148"/>
        <v>1</v>
      </c>
      <c r="AM56" s="29"/>
      <c r="AN56" s="134">
        <f>AK56+AM56</f>
        <v>0</v>
      </c>
      <c r="AO56" s="135">
        <f t="shared" si="149"/>
        <v>1</v>
      </c>
      <c r="AP56" s="29"/>
      <c r="AQ56" s="134">
        <f>AN56+AP56</f>
        <v>0</v>
      </c>
      <c r="AR56" s="135">
        <f t="shared" si="150"/>
        <v>1</v>
      </c>
      <c r="AS56" s="29"/>
      <c r="AT56" s="134">
        <f>AQ56+AS56</f>
        <v>0</v>
      </c>
      <c r="AU56" s="135">
        <f t="shared" si="151"/>
        <v>1</v>
      </c>
      <c r="AV56" s="29"/>
      <c r="AW56" s="134">
        <f>AT56+AV56</f>
        <v>0</v>
      </c>
      <c r="AX56" s="135">
        <f t="shared" si="152"/>
        <v>1</v>
      </c>
      <c r="AY56" s="29"/>
      <c r="AZ56" s="134">
        <f>AW56+AY56</f>
        <v>0</v>
      </c>
      <c r="BA56" s="135">
        <f t="shared" si="153"/>
        <v>1</v>
      </c>
      <c r="BB56" s="29"/>
      <c r="BC56" s="134">
        <f>AZ56+BB56</f>
        <v>0</v>
      </c>
      <c r="BD56" s="135">
        <f t="shared" si="154"/>
        <v>1</v>
      </c>
      <c r="BE56" s="29"/>
      <c r="BF56" s="134">
        <f>BC56+BE56</f>
        <v>0</v>
      </c>
      <c r="BG56" s="135">
        <f t="shared" si="155"/>
        <v>1</v>
      </c>
      <c r="BH56" s="134"/>
      <c r="BI56" s="26"/>
      <c r="BJ56" s="26"/>
      <c r="BK56" s="135">
        <f>IF($AA$56=0,1,BJ56/$AA$56-1)</f>
        <v>1</v>
      </c>
      <c r="BL56" s="135">
        <f t="shared" si="24"/>
        <v>1</v>
      </c>
      <c r="BM56" s="167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</row>
    <row r="57" spans="1:206" s="64" customFormat="1" ht="18" customHeight="1">
      <c r="A57" s="426" t="s">
        <v>119</v>
      </c>
      <c r="B57" s="426"/>
      <c r="C57" s="29"/>
      <c r="D57" s="134">
        <f t="shared" si="174"/>
        <v>0</v>
      </c>
      <c r="E57" s="29"/>
      <c r="F57" s="29"/>
      <c r="G57" s="134">
        <f t="shared" si="143"/>
        <v>0</v>
      </c>
      <c r="H57" s="29"/>
      <c r="I57" s="134"/>
      <c r="J57" s="29"/>
      <c r="K57" s="134"/>
      <c r="L57" s="29"/>
      <c r="M57" s="134"/>
      <c r="N57" s="29"/>
      <c r="O57" s="134"/>
      <c r="P57" s="29"/>
      <c r="Q57" s="134"/>
      <c r="R57" s="29"/>
      <c r="S57" s="134"/>
      <c r="T57" s="29"/>
      <c r="U57" s="134"/>
      <c r="V57" s="29"/>
      <c r="W57" s="134"/>
      <c r="X57" s="29"/>
      <c r="Y57" s="134"/>
      <c r="Z57" s="29"/>
      <c r="AA57" s="29"/>
      <c r="AB57" s="135">
        <f t="shared" si="145"/>
        <v>1</v>
      </c>
      <c r="AC57" s="29"/>
      <c r="AD57" s="29"/>
      <c r="AE57" s="134">
        <f t="shared" si="160"/>
        <v>0</v>
      </c>
      <c r="AF57" s="135">
        <f t="shared" si="146"/>
        <v>1</v>
      </c>
      <c r="AG57" s="29"/>
      <c r="AH57" s="134"/>
      <c r="AI57" s="135">
        <f t="shared" si="147"/>
        <v>1</v>
      </c>
      <c r="AJ57" s="29"/>
      <c r="AK57" s="134"/>
      <c r="AL57" s="135">
        <f t="shared" si="148"/>
        <v>1</v>
      </c>
      <c r="AM57" s="29"/>
      <c r="AN57" s="134"/>
      <c r="AO57" s="135">
        <f t="shared" si="149"/>
        <v>1</v>
      </c>
      <c r="AP57" s="29"/>
      <c r="AQ57" s="134"/>
      <c r="AR57" s="135">
        <f t="shared" si="150"/>
        <v>1</v>
      </c>
      <c r="AS57" s="29"/>
      <c r="AT57" s="134"/>
      <c r="AU57" s="135">
        <f t="shared" si="151"/>
        <v>1</v>
      </c>
      <c r="AV57" s="29"/>
      <c r="AW57" s="134"/>
      <c r="AX57" s="135">
        <f t="shared" si="152"/>
        <v>1</v>
      </c>
      <c r="AY57" s="29"/>
      <c r="AZ57" s="134"/>
      <c r="BA57" s="135">
        <f t="shared" si="153"/>
        <v>1</v>
      </c>
      <c r="BB57" s="29"/>
      <c r="BC57" s="134"/>
      <c r="BD57" s="135">
        <f t="shared" si="154"/>
        <v>1</v>
      </c>
      <c r="BE57" s="29"/>
      <c r="BF57" s="134"/>
      <c r="BG57" s="135">
        <f t="shared" si="155"/>
        <v>1</v>
      </c>
      <c r="BH57" s="134"/>
      <c r="BI57" s="26"/>
      <c r="BJ57" s="26"/>
      <c r="BK57" s="135">
        <f>IF($AA$57=0,1,BJ57/$AA$57-1)</f>
        <v>1</v>
      </c>
      <c r="BL57" s="135">
        <f t="shared" si="24"/>
        <v>1</v>
      </c>
      <c r="BM57" s="167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</row>
    <row r="58" spans="1:206" s="64" customFormat="1" ht="18" customHeight="1">
      <c r="A58" s="426" t="s">
        <v>120</v>
      </c>
      <c r="B58" s="426"/>
      <c r="C58" s="29"/>
      <c r="D58" s="134">
        <f t="shared" si="174"/>
        <v>0</v>
      </c>
      <c r="E58" s="29"/>
      <c r="F58" s="29"/>
      <c r="G58" s="134">
        <f t="shared" si="143"/>
        <v>0</v>
      </c>
      <c r="H58" s="29"/>
      <c r="I58" s="134">
        <f>G58+H58</f>
        <v>0</v>
      </c>
      <c r="J58" s="29"/>
      <c r="K58" s="134">
        <f>I58+J58</f>
        <v>0</v>
      </c>
      <c r="L58" s="29"/>
      <c r="M58" s="134">
        <f>K58+L58</f>
        <v>0</v>
      </c>
      <c r="N58" s="29"/>
      <c r="O58" s="134">
        <f>M58+N58</f>
        <v>0</v>
      </c>
      <c r="P58" s="29"/>
      <c r="Q58" s="134">
        <f>O58+P58</f>
        <v>0</v>
      </c>
      <c r="R58" s="29"/>
      <c r="S58" s="134">
        <f>Q58+R58</f>
        <v>0</v>
      </c>
      <c r="T58" s="29"/>
      <c r="U58" s="134">
        <f>S58+T58</f>
        <v>0</v>
      </c>
      <c r="V58" s="29"/>
      <c r="W58" s="134">
        <f>U58+V58</f>
        <v>0</v>
      </c>
      <c r="X58" s="29"/>
      <c r="Y58" s="134">
        <f>W58+X58</f>
        <v>0</v>
      </c>
      <c r="Z58" s="29"/>
      <c r="AA58" s="29"/>
      <c r="AB58" s="135">
        <f t="shared" si="145"/>
        <v>1</v>
      </c>
      <c r="AC58" s="29"/>
      <c r="AD58" s="29"/>
      <c r="AE58" s="134">
        <f t="shared" si="160"/>
        <v>0</v>
      </c>
      <c r="AF58" s="135">
        <f t="shared" si="146"/>
        <v>1</v>
      </c>
      <c r="AG58" s="29"/>
      <c r="AH58" s="134">
        <f>AE58+AG58</f>
        <v>0</v>
      </c>
      <c r="AI58" s="135">
        <f t="shared" si="147"/>
        <v>1</v>
      </c>
      <c r="AJ58" s="29"/>
      <c r="AK58" s="134">
        <f>AH58+AJ58</f>
        <v>0</v>
      </c>
      <c r="AL58" s="135">
        <f t="shared" si="148"/>
        <v>1</v>
      </c>
      <c r="AM58" s="29"/>
      <c r="AN58" s="134">
        <f>AK58+AM58</f>
        <v>0</v>
      </c>
      <c r="AO58" s="135">
        <f t="shared" si="149"/>
        <v>1</v>
      </c>
      <c r="AP58" s="29"/>
      <c r="AQ58" s="134">
        <f>AN58+AP58</f>
        <v>0</v>
      </c>
      <c r="AR58" s="135">
        <f t="shared" si="150"/>
        <v>1</v>
      </c>
      <c r="AS58" s="29"/>
      <c r="AT58" s="134">
        <f>AQ58+AS58</f>
        <v>0</v>
      </c>
      <c r="AU58" s="135">
        <f t="shared" si="151"/>
        <v>1</v>
      </c>
      <c r="AV58" s="29"/>
      <c r="AW58" s="134">
        <f>AT58+AV58</f>
        <v>0</v>
      </c>
      <c r="AX58" s="135">
        <f t="shared" si="152"/>
        <v>1</v>
      </c>
      <c r="AY58" s="29"/>
      <c r="AZ58" s="134">
        <f>AW58+AY58</f>
        <v>0</v>
      </c>
      <c r="BA58" s="135">
        <f t="shared" si="153"/>
        <v>1</v>
      </c>
      <c r="BB58" s="29"/>
      <c r="BC58" s="134">
        <f>AZ58+BB58</f>
        <v>0</v>
      </c>
      <c r="BD58" s="135">
        <f t="shared" si="154"/>
        <v>1</v>
      </c>
      <c r="BE58" s="29"/>
      <c r="BF58" s="134">
        <f>BC58+BE58</f>
        <v>0</v>
      </c>
      <c r="BG58" s="135">
        <f t="shared" si="155"/>
        <v>1</v>
      </c>
      <c r="BH58" s="134"/>
      <c r="BI58" s="26"/>
      <c r="BJ58" s="26"/>
      <c r="BK58" s="135">
        <f>IF($AA$58=0,1,BJ58/$AA$58-1)</f>
        <v>1</v>
      </c>
      <c r="BL58" s="135">
        <f t="shared" si="24"/>
        <v>1</v>
      </c>
      <c r="BM58" s="167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</row>
    <row r="59" spans="1:206" s="64" customFormat="1" ht="18" customHeight="1">
      <c r="A59" s="426" t="s">
        <v>121</v>
      </c>
      <c r="B59" s="426"/>
      <c r="C59" s="29"/>
      <c r="D59" s="134">
        <f t="shared" si="174"/>
        <v>0</v>
      </c>
      <c r="E59" s="29"/>
      <c r="F59" s="29"/>
      <c r="G59" s="134">
        <f t="shared" si="143"/>
        <v>0</v>
      </c>
      <c r="H59" s="29"/>
      <c r="I59" s="134"/>
      <c r="J59" s="29"/>
      <c r="K59" s="134"/>
      <c r="L59" s="29"/>
      <c r="M59" s="134"/>
      <c r="N59" s="29"/>
      <c r="O59" s="134"/>
      <c r="P59" s="29"/>
      <c r="Q59" s="134"/>
      <c r="R59" s="29"/>
      <c r="S59" s="134"/>
      <c r="T59" s="29"/>
      <c r="U59" s="134"/>
      <c r="V59" s="29"/>
      <c r="W59" s="134"/>
      <c r="X59" s="29"/>
      <c r="Y59" s="134"/>
      <c r="Z59" s="29"/>
      <c r="AA59" s="29"/>
      <c r="AB59" s="135">
        <f t="shared" si="145"/>
        <v>1</v>
      </c>
      <c r="AC59" s="29"/>
      <c r="AD59" s="29"/>
      <c r="AE59" s="134">
        <f t="shared" si="160"/>
        <v>0</v>
      </c>
      <c r="AF59" s="135">
        <f t="shared" si="146"/>
        <v>1</v>
      </c>
      <c r="AG59" s="29"/>
      <c r="AH59" s="134"/>
      <c r="AI59" s="135">
        <f t="shared" si="147"/>
        <v>1</v>
      </c>
      <c r="AJ59" s="29"/>
      <c r="AK59" s="134"/>
      <c r="AL59" s="135">
        <f t="shared" si="148"/>
        <v>1</v>
      </c>
      <c r="AM59" s="29"/>
      <c r="AN59" s="134"/>
      <c r="AO59" s="135">
        <f t="shared" si="149"/>
        <v>1</v>
      </c>
      <c r="AP59" s="29"/>
      <c r="AQ59" s="134"/>
      <c r="AR59" s="135">
        <f t="shared" si="150"/>
        <v>1</v>
      </c>
      <c r="AS59" s="29"/>
      <c r="AT59" s="134"/>
      <c r="AU59" s="135">
        <f t="shared" si="151"/>
        <v>1</v>
      </c>
      <c r="AV59" s="29"/>
      <c r="AW59" s="134"/>
      <c r="AX59" s="135">
        <f t="shared" si="152"/>
        <v>1</v>
      </c>
      <c r="AY59" s="29"/>
      <c r="AZ59" s="134"/>
      <c r="BA59" s="135">
        <f t="shared" si="153"/>
        <v>1</v>
      </c>
      <c r="BB59" s="29"/>
      <c r="BC59" s="134"/>
      <c r="BD59" s="135">
        <f t="shared" si="154"/>
        <v>1</v>
      </c>
      <c r="BE59" s="29"/>
      <c r="BF59" s="134"/>
      <c r="BG59" s="135">
        <f t="shared" si="155"/>
        <v>1</v>
      </c>
      <c r="BH59" s="134"/>
      <c r="BI59" s="26"/>
      <c r="BJ59" s="26"/>
      <c r="BK59" s="135">
        <f>IF($AA$59=0,1,BJ59/$AA$59-1)</f>
        <v>1</v>
      </c>
      <c r="BL59" s="135">
        <f t="shared" si="24"/>
        <v>1</v>
      </c>
      <c r="BM59" s="167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</row>
    <row r="60" spans="1:206" s="64" customFormat="1" ht="18" customHeight="1">
      <c r="A60" s="426" t="s">
        <v>122</v>
      </c>
      <c r="B60" s="426"/>
      <c r="C60" s="29"/>
      <c r="D60" s="134">
        <f t="shared" si="174"/>
        <v>0</v>
      </c>
      <c r="E60" s="29"/>
      <c r="F60" s="29"/>
      <c r="G60" s="134">
        <f t="shared" si="143"/>
        <v>0</v>
      </c>
      <c r="H60" s="29"/>
      <c r="I60" s="134"/>
      <c r="J60" s="29"/>
      <c r="K60" s="134"/>
      <c r="L60" s="29"/>
      <c r="M60" s="134"/>
      <c r="N60" s="29"/>
      <c r="O60" s="134"/>
      <c r="P60" s="29"/>
      <c r="Q60" s="134"/>
      <c r="R60" s="29"/>
      <c r="S60" s="134"/>
      <c r="T60" s="29"/>
      <c r="U60" s="134"/>
      <c r="V60" s="29"/>
      <c r="W60" s="134"/>
      <c r="X60" s="29"/>
      <c r="Y60" s="134"/>
      <c r="Z60" s="29"/>
      <c r="AA60" s="29"/>
      <c r="AB60" s="135">
        <f t="shared" si="145"/>
        <v>1</v>
      </c>
      <c r="AC60" s="29"/>
      <c r="AD60" s="29"/>
      <c r="AE60" s="134">
        <f t="shared" si="160"/>
        <v>0</v>
      </c>
      <c r="AF60" s="135">
        <f t="shared" si="146"/>
        <v>1</v>
      </c>
      <c r="AG60" s="29"/>
      <c r="AH60" s="134"/>
      <c r="AI60" s="135">
        <f t="shared" si="147"/>
        <v>1</v>
      </c>
      <c r="AJ60" s="29"/>
      <c r="AK60" s="134"/>
      <c r="AL60" s="135">
        <f t="shared" si="148"/>
        <v>1</v>
      </c>
      <c r="AM60" s="29"/>
      <c r="AN60" s="134"/>
      <c r="AO60" s="135">
        <f t="shared" si="149"/>
        <v>1</v>
      </c>
      <c r="AP60" s="29"/>
      <c r="AQ60" s="134"/>
      <c r="AR60" s="135">
        <f t="shared" si="150"/>
        <v>1</v>
      </c>
      <c r="AS60" s="29"/>
      <c r="AT60" s="134"/>
      <c r="AU60" s="135">
        <f t="shared" si="151"/>
        <v>1</v>
      </c>
      <c r="AV60" s="29"/>
      <c r="AW60" s="134"/>
      <c r="AX60" s="135">
        <f t="shared" si="152"/>
        <v>1</v>
      </c>
      <c r="AY60" s="29"/>
      <c r="AZ60" s="134"/>
      <c r="BA60" s="135">
        <f t="shared" si="153"/>
        <v>1</v>
      </c>
      <c r="BB60" s="29"/>
      <c r="BC60" s="134"/>
      <c r="BD60" s="135">
        <f t="shared" si="154"/>
        <v>1</v>
      </c>
      <c r="BE60" s="29"/>
      <c r="BF60" s="134"/>
      <c r="BG60" s="135">
        <f t="shared" si="155"/>
        <v>1</v>
      </c>
      <c r="BH60" s="134"/>
      <c r="BI60" s="26"/>
      <c r="BJ60" s="26"/>
      <c r="BK60" s="135">
        <f>IF($AA$60=0,1,BJ60/$AA$60-1)</f>
        <v>1</v>
      </c>
      <c r="BL60" s="135">
        <f t="shared" si="24"/>
        <v>1</v>
      </c>
      <c r="BM60" s="167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</row>
    <row r="61" spans="1:206" s="64" customFormat="1" ht="18" customHeight="1">
      <c r="A61" s="426" t="s">
        <v>123</v>
      </c>
      <c r="B61" s="426"/>
      <c r="C61" s="29"/>
      <c r="D61" s="134">
        <f t="shared" si="174"/>
        <v>0</v>
      </c>
      <c r="E61" s="29"/>
      <c r="F61" s="29"/>
      <c r="G61" s="134">
        <f t="shared" si="143"/>
        <v>0</v>
      </c>
      <c r="H61" s="29"/>
      <c r="I61" s="134">
        <f>G61+H61</f>
        <v>0</v>
      </c>
      <c r="J61" s="29"/>
      <c r="K61" s="134">
        <f>I61+J61</f>
        <v>0</v>
      </c>
      <c r="L61" s="29"/>
      <c r="M61" s="134">
        <f>K61+L61</f>
        <v>0</v>
      </c>
      <c r="N61" s="29"/>
      <c r="O61" s="134">
        <f>M61+N61</f>
        <v>0</v>
      </c>
      <c r="P61" s="29"/>
      <c r="Q61" s="134">
        <f>O61+P61</f>
        <v>0</v>
      </c>
      <c r="R61" s="29"/>
      <c r="S61" s="134">
        <f>Q61+R61</f>
        <v>0</v>
      </c>
      <c r="T61" s="29"/>
      <c r="U61" s="134">
        <f>S61+T61</f>
        <v>0</v>
      </c>
      <c r="V61" s="29"/>
      <c r="W61" s="134">
        <f>U61+V61</f>
        <v>0</v>
      </c>
      <c r="X61" s="29"/>
      <c r="Y61" s="134">
        <f>W61+X61</f>
        <v>0</v>
      </c>
      <c r="Z61" s="29"/>
      <c r="AA61" s="29"/>
      <c r="AB61" s="135">
        <f t="shared" si="145"/>
        <v>1</v>
      </c>
      <c r="AC61" s="29"/>
      <c r="AD61" s="29"/>
      <c r="AE61" s="134">
        <f t="shared" si="160"/>
        <v>0</v>
      </c>
      <c r="AF61" s="135">
        <f t="shared" si="146"/>
        <v>1</v>
      </c>
      <c r="AG61" s="29"/>
      <c r="AH61" s="134">
        <f>AE61+AG61</f>
        <v>0</v>
      </c>
      <c r="AI61" s="135">
        <f t="shared" si="147"/>
        <v>1</v>
      </c>
      <c r="AJ61" s="29"/>
      <c r="AK61" s="134">
        <f>AH61+AJ61</f>
        <v>0</v>
      </c>
      <c r="AL61" s="135">
        <f t="shared" si="148"/>
        <v>1</v>
      </c>
      <c r="AM61" s="29"/>
      <c r="AN61" s="134">
        <f>AK61+AM61</f>
        <v>0</v>
      </c>
      <c r="AO61" s="135">
        <f t="shared" si="149"/>
        <v>1</v>
      </c>
      <c r="AP61" s="29"/>
      <c r="AQ61" s="134">
        <f>AN61+AP61</f>
        <v>0</v>
      </c>
      <c r="AR61" s="135">
        <f t="shared" si="150"/>
        <v>1</v>
      </c>
      <c r="AS61" s="29"/>
      <c r="AT61" s="134">
        <f>AQ61+AS61</f>
        <v>0</v>
      </c>
      <c r="AU61" s="135">
        <f t="shared" si="151"/>
        <v>1</v>
      </c>
      <c r="AV61" s="29"/>
      <c r="AW61" s="134">
        <f>AT61+AV61</f>
        <v>0</v>
      </c>
      <c r="AX61" s="135">
        <f t="shared" si="152"/>
        <v>1</v>
      </c>
      <c r="AY61" s="29"/>
      <c r="AZ61" s="134">
        <f>AW61+AY61</f>
        <v>0</v>
      </c>
      <c r="BA61" s="135">
        <f t="shared" si="153"/>
        <v>1</v>
      </c>
      <c r="BB61" s="29"/>
      <c r="BC61" s="134">
        <f>AZ61+BB61</f>
        <v>0</v>
      </c>
      <c r="BD61" s="135">
        <f t="shared" si="154"/>
        <v>1</v>
      </c>
      <c r="BE61" s="29"/>
      <c r="BF61" s="134">
        <f>BC61+BE61</f>
        <v>0</v>
      </c>
      <c r="BG61" s="135">
        <f t="shared" si="155"/>
        <v>1</v>
      </c>
      <c r="BH61" s="134"/>
      <c r="BI61" s="26"/>
      <c r="BJ61" s="26"/>
      <c r="BK61" s="135">
        <f>IF($AA$61=0,1,BJ61/$AA$61-1)</f>
        <v>1</v>
      </c>
      <c r="BL61" s="135">
        <f t="shared" si="24"/>
        <v>1</v>
      </c>
      <c r="BM61" s="167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</row>
    <row r="62" spans="1:206" s="64" customFormat="1" ht="18" customHeight="1">
      <c r="A62" s="426" t="s">
        <v>124</v>
      </c>
      <c r="B62" s="426"/>
      <c r="C62" s="29"/>
      <c r="D62" s="134">
        <f t="shared" si="174"/>
        <v>0</v>
      </c>
      <c r="E62" s="29"/>
      <c r="F62" s="29"/>
      <c r="G62" s="134">
        <f t="shared" si="143"/>
        <v>0</v>
      </c>
      <c r="H62" s="29"/>
      <c r="I62" s="134"/>
      <c r="J62" s="29"/>
      <c r="K62" s="134"/>
      <c r="L62" s="29"/>
      <c r="M62" s="134"/>
      <c r="N62" s="29"/>
      <c r="O62" s="134"/>
      <c r="P62" s="29"/>
      <c r="Q62" s="134"/>
      <c r="R62" s="29"/>
      <c r="S62" s="134"/>
      <c r="T62" s="29"/>
      <c r="U62" s="134"/>
      <c r="V62" s="29"/>
      <c r="W62" s="134"/>
      <c r="X62" s="29"/>
      <c r="Y62" s="134"/>
      <c r="Z62" s="29"/>
      <c r="AA62" s="29"/>
      <c r="AB62" s="135">
        <f t="shared" si="145"/>
        <v>1</v>
      </c>
      <c r="AC62" s="29"/>
      <c r="AD62" s="29"/>
      <c r="AE62" s="134">
        <f t="shared" si="160"/>
        <v>0</v>
      </c>
      <c r="AF62" s="135">
        <f t="shared" si="146"/>
        <v>1</v>
      </c>
      <c r="AG62" s="29"/>
      <c r="AH62" s="134"/>
      <c r="AI62" s="135">
        <f t="shared" si="147"/>
        <v>1</v>
      </c>
      <c r="AJ62" s="29"/>
      <c r="AK62" s="134"/>
      <c r="AL62" s="135">
        <f t="shared" si="148"/>
        <v>1</v>
      </c>
      <c r="AM62" s="29"/>
      <c r="AN62" s="134"/>
      <c r="AO62" s="135">
        <f t="shared" si="149"/>
        <v>1</v>
      </c>
      <c r="AP62" s="29"/>
      <c r="AQ62" s="134"/>
      <c r="AR62" s="135">
        <f t="shared" si="150"/>
        <v>1</v>
      </c>
      <c r="AS62" s="29"/>
      <c r="AT62" s="134"/>
      <c r="AU62" s="135">
        <f t="shared" si="151"/>
        <v>1</v>
      </c>
      <c r="AV62" s="29"/>
      <c r="AW62" s="134"/>
      <c r="AX62" s="135">
        <f t="shared" si="152"/>
        <v>1</v>
      </c>
      <c r="AY62" s="29"/>
      <c r="AZ62" s="134"/>
      <c r="BA62" s="135">
        <f t="shared" si="153"/>
        <v>1</v>
      </c>
      <c r="BB62" s="29"/>
      <c r="BC62" s="134"/>
      <c r="BD62" s="135">
        <f t="shared" si="154"/>
        <v>1</v>
      </c>
      <c r="BE62" s="29"/>
      <c r="BF62" s="134"/>
      <c r="BG62" s="135">
        <f t="shared" si="155"/>
        <v>1</v>
      </c>
      <c r="BH62" s="134"/>
      <c r="BI62" s="26"/>
      <c r="BJ62" s="26"/>
      <c r="BK62" s="135">
        <f>IF($AA$62=0,1,BJ62/$AA$62-1)</f>
        <v>1</v>
      </c>
      <c r="BL62" s="135">
        <f t="shared" si="24"/>
        <v>1</v>
      </c>
      <c r="BM62" s="167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</row>
    <row r="63" spans="1:206" s="64" customFormat="1" ht="18.75" customHeight="1">
      <c r="A63" s="426" t="s">
        <v>133</v>
      </c>
      <c r="B63" s="426"/>
      <c r="C63" s="29"/>
      <c r="D63" s="134">
        <f t="shared" si="174"/>
        <v>0</v>
      </c>
      <c r="E63" s="29"/>
      <c r="F63" s="29"/>
      <c r="G63" s="134">
        <f t="shared" si="143"/>
        <v>0</v>
      </c>
      <c r="H63" s="29"/>
      <c r="I63" s="134"/>
      <c r="J63" s="29"/>
      <c r="K63" s="134"/>
      <c r="L63" s="29"/>
      <c r="M63" s="134"/>
      <c r="N63" s="29"/>
      <c r="O63" s="134"/>
      <c r="P63" s="29"/>
      <c r="Q63" s="134"/>
      <c r="R63" s="29"/>
      <c r="S63" s="134"/>
      <c r="T63" s="29"/>
      <c r="U63" s="134"/>
      <c r="V63" s="29"/>
      <c r="W63" s="134"/>
      <c r="X63" s="29"/>
      <c r="Y63" s="134"/>
      <c r="Z63" s="29"/>
      <c r="AA63" s="29"/>
      <c r="AB63" s="135">
        <f t="shared" si="145"/>
        <v>1</v>
      </c>
      <c r="AC63" s="29"/>
      <c r="AD63" s="29"/>
      <c r="AE63" s="134">
        <f t="shared" si="160"/>
        <v>0</v>
      </c>
      <c r="AF63" s="135">
        <f t="shared" si="146"/>
        <v>1</v>
      </c>
      <c r="AG63" s="29"/>
      <c r="AH63" s="134"/>
      <c r="AI63" s="135">
        <f t="shared" si="147"/>
        <v>1</v>
      </c>
      <c r="AJ63" s="29"/>
      <c r="AK63" s="134"/>
      <c r="AL63" s="135">
        <f t="shared" si="148"/>
        <v>1</v>
      </c>
      <c r="AM63" s="29"/>
      <c r="AN63" s="134"/>
      <c r="AO63" s="135">
        <f t="shared" si="149"/>
        <v>1</v>
      </c>
      <c r="AP63" s="29"/>
      <c r="AQ63" s="134"/>
      <c r="AR63" s="135">
        <f t="shared" si="150"/>
        <v>1</v>
      </c>
      <c r="AS63" s="29"/>
      <c r="AT63" s="134"/>
      <c r="AU63" s="135">
        <f t="shared" si="151"/>
        <v>1</v>
      </c>
      <c r="AV63" s="29"/>
      <c r="AW63" s="134"/>
      <c r="AX63" s="135">
        <f t="shared" si="152"/>
        <v>1</v>
      </c>
      <c r="AY63" s="29"/>
      <c r="AZ63" s="134"/>
      <c r="BA63" s="135">
        <f t="shared" si="153"/>
        <v>1</v>
      </c>
      <c r="BB63" s="29"/>
      <c r="BC63" s="134"/>
      <c r="BD63" s="135">
        <f t="shared" si="154"/>
        <v>1</v>
      </c>
      <c r="BE63" s="29"/>
      <c r="BF63" s="134"/>
      <c r="BG63" s="135">
        <f t="shared" si="155"/>
        <v>1</v>
      </c>
      <c r="BH63" s="134"/>
      <c r="BI63" s="26"/>
      <c r="BJ63" s="26"/>
      <c r="BK63" s="135">
        <f>IF($AA$63=0,1,BJ63/$AA$63-1)</f>
        <v>1</v>
      </c>
      <c r="BL63" s="135">
        <f t="shared" si="24"/>
        <v>1</v>
      </c>
      <c r="BM63" s="167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</row>
    <row r="64" spans="1:206" s="64" customFormat="1" ht="18.75" hidden="1" customHeight="1">
      <c r="A64" s="188"/>
      <c r="B64" s="189"/>
      <c r="C64" s="29"/>
      <c r="D64" s="134">
        <f t="shared" si="174"/>
        <v>0</v>
      </c>
      <c r="E64" s="29"/>
      <c r="F64" s="29"/>
      <c r="G64" s="134">
        <f t="shared" si="143"/>
        <v>0</v>
      </c>
      <c r="H64" s="29"/>
      <c r="I64" s="134"/>
      <c r="J64" s="29"/>
      <c r="K64" s="134"/>
      <c r="L64" s="29"/>
      <c r="M64" s="134"/>
      <c r="N64" s="29"/>
      <c r="O64" s="134"/>
      <c r="P64" s="29"/>
      <c r="Q64" s="134"/>
      <c r="R64" s="29"/>
      <c r="S64" s="134"/>
      <c r="T64" s="29"/>
      <c r="U64" s="134"/>
      <c r="V64" s="29"/>
      <c r="W64" s="134"/>
      <c r="X64" s="29"/>
      <c r="Y64" s="134"/>
      <c r="Z64" s="29"/>
      <c r="AA64" s="29"/>
      <c r="AB64" s="135">
        <f t="shared" si="145"/>
        <v>1</v>
      </c>
      <c r="AC64" s="29"/>
      <c r="AD64" s="29"/>
      <c r="AE64" s="134">
        <f t="shared" si="160"/>
        <v>0</v>
      </c>
      <c r="AF64" s="135">
        <f t="shared" si="146"/>
        <v>1</v>
      </c>
      <c r="AG64" s="29"/>
      <c r="AH64" s="134"/>
      <c r="AI64" s="135">
        <f t="shared" si="147"/>
        <v>1</v>
      </c>
      <c r="AJ64" s="29"/>
      <c r="AK64" s="134"/>
      <c r="AL64" s="135">
        <f t="shared" si="148"/>
        <v>1</v>
      </c>
      <c r="AM64" s="29"/>
      <c r="AN64" s="134"/>
      <c r="AO64" s="135">
        <f t="shared" si="149"/>
        <v>1</v>
      </c>
      <c r="AP64" s="29"/>
      <c r="AQ64" s="134"/>
      <c r="AR64" s="135">
        <f t="shared" si="150"/>
        <v>1</v>
      </c>
      <c r="AS64" s="29"/>
      <c r="AT64" s="134"/>
      <c r="AU64" s="135">
        <f t="shared" si="151"/>
        <v>1</v>
      </c>
      <c r="AV64" s="29"/>
      <c r="AW64" s="134"/>
      <c r="AX64" s="135">
        <f t="shared" si="152"/>
        <v>1</v>
      </c>
      <c r="AY64" s="29"/>
      <c r="AZ64" s="134"/>
      <c r="BA64" s="135">
        <f t="shared" si="153"/>
        <v>1</v>
      </c>
      <c r="BB64" s="29"/>
      <c r="BC64" s="134"/>
      <c r="BD64" s="135">
        <f t="shared" si="154"/>
        <v>1</v>
      </c>
      <c r="BE64" s="29"/>
      <c r="BF64" s="134"/>
      <c r="BG64" s="135">
        <f t="shared" si="155"/>
        <v>1</v>
      </c>
      <c r="BH64" s="134"/>
      <c r="BI64" s="134"/>
      <c r="BJ64" s="134"/>
      <c r="BK64" s="135">
        <f t="shared" ref="BK64:BK73" si="175">IF($AA$63=0,1,BJ64/$AA$63-1)</f>
        <v>1</v>
      </c>
      <c r="BL64" s="135">
        <f t="shared" ref="BL64:BL73" si="176">IF($D$63=0,1,BJ64/$D$63-1)</f>
        <v>1</v>
      </c>
      <c r="BM64" s="167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</row>
    <row r="65" spans="1:206" s="64" customFormat="1" ht="18.75" hidden="1" customHeight="1">
      <c r="A65" s="188"/>
      <c r="B65" s="189"/>
      <c r="C65" s="29"/>
      <c r="D65" s="134">
        <f t="shared" si="174"/>
        <v>0</v>
      </c>
      <c r="E65" s="29"/>
      <c r="F65" s="29"/>
      <c r="G65" s="134">
        <f t="shared" si="143"/>
        <v>0</v>
      </c>
      <c r="H65" s="29"/>
      <c r="I65" s="134"/>
      <c r="J65" s="29"/>
      <c r="K65" s="134"/>
      <c r="L65" s="29"/>
      <c r="M65" s="134"/>
      <c r="N65" s="29"/>
      <c r="O65" s="134"/>
      <c r="P65" s="29"/>
      <c r="Q65" s="134"/>
      <c r="R65" s="29"/>
      <c r="S65" s="134"/>
      <c r="T65" s="29"/>
      <c r="U65" s="134"/>
      <c r="V65" s="29"/>
      <c r="W65" s="134"/>
      <c r="X65" s="29"/>
      <c r="Y65" s="134"/>
      <c r="Z65" s="29"/>
      <c r="AA65" s="29"/>
      <c r="AB65" s="135">
        <f t="shared" si="145"/>
        <v>1</v>
      </c>
      <c r="AC65" s="29"/>
      <c r="AD65" s="29"/>
      <c r="AE65" s="134">
        <f t="shared" si="160"/>
        <v>0</v>
      </c>
      <c r="AF65" s="135">
        <f t="shared" si="146"/>
        <v>1</v>
      </c>
      <c r="AG65" s="29"/>
      <c r="AH65" s="134"/>
      <c r="AI65" s="135">
        <f t="shared" si="147"/>
        <v>1</v>
      </c>
      <c r="AJ65" s="29"/>
      <c r="AK65" s="134"/>
      <c r="AL65" s="135">
        <f t="shared" si="148"/>
        <v>1</v>
      </c>
      <c r="AM65" s="29"/>
      <c r="AN65" s="134"/>
      <c r="AO65" s="135">
        <f t="shared" si="149"/>
        <v>1</v>
      </c>
      <c r="AP65" s="29"/>
      <c r="AQ65" s="134"/>
      <c r="AR65" s="135">
        <f t="shared" si="150"/>
        <v>1</v>
      </c>
      <c r="AS65" s="29"/>
      <c r="AT65" s="134"/>
      <c r="AU65" s="135">
        <f t="shared" si="151"/>
        <v>1</v>
      </c>
      <c r="AV65" s="29"/>
      <c r="AW65" s="134"/>
      <c r="AX65" s="135">
        <f t="shared" si="152"/>
        <v>1</v>
      </c>
      <c r="AY65" s="29"/>
      <c r="AZ65" s="134"/>
      <c r="BA65" s="135">
        <f t="shared" si="153"/>
        <v>1</v>
      </c>
      <c r="BB65" s="29"/>
      <c r="BC65" s="134"/>
      <c r="BD65" s="135">
        <f t="shared" si="154"/>
        <v>1</v>
      </c>
      <c r="BE65" s="29"/>
      <c r="BF65" s="134"/>
      <c r="BG65" s="135">
        <f t="shared" si="155"/>
        <v>1</v>
      </c>
      <c r="BH65" s="134"/>
      <c r="BI65" s="134"/>
      <c r="BJ65" s="134"/>
      <c r="BK65" s="135">
        <f t="shared" si="175"/>
        <v>1</v>
      </c>
      <c r="BL65" s="135">
        <f t="shared" si="176"/>
        <v>1</v>
      </c>
      <c r="BM65" s="167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</row>
    <row r="66" spans="1:206" s="64" customFormat="1" ht="18.75" hidden="1" customHeight="1">
      <c r="A66" s="188"/>
      <c r="B66" s="189"/>
      <c r="C66" s="29"/>
      <c r="D66" s="134">
        <f t="shared" si="174"/>
        <v>0</v>
      </c>
      <c r="E66" s="29"/>
      <c r="F66" s="29"/>
      <c r="G66" s="134">
        <f t="shared" si="143"/>
        <v>0</v>
      </c>
      <c r="H66" s="29"/>
      <c r="I66" s="134"/>
      <c r="J66" s="29"/>
      <c r="K66" s="134"/>
      <c r="L66" s="29"/>
      <c r="M66" s="134"/>
      <c r="N66" s="29"/>
      <c r="O66" s="134"/>
      <c r="P66" s="29"/>
      <c r="Q66" s="134"/>
      <c r="R66" s="29"/>
      <c r="S66" s="134"/>
      <c r="T66" s="29"/>
      <c r="U66" s="134"/>
      <c r="V66" s="29"/>
      <c r="W66" s="134"/>
      <c r="X66" s="29"/>
      <c r="Y66" s="134"/>
      <c r="Z66" s="29"/>
      <c r="AA66" s="29"/>
      <c r="AB66" s="135">
        <f t="shared" si="145"/>
        <v>1</v>
      </c>
      <c r="AC66" s="29"/>
      <c r="AD66" s="29"/>
      <c r="AE66" s="134">
        <f t="shared" si="160"/>
        <v>0</v>
      </c>
      <c r="AF66" s="135">
        <f t="shared" si="146"/>
        <v>1</v>
      </c>
      <c r="AG66" s="29"/>
      <c r="AH66" s="134"/>
      <c r="AI66" s="135">
        <f t="shared" si="147"/>
        <v>1</v>
      </c>
      <c r="AJ66" s="29"/>
      <c r="AK66" s="134"/>
      <c r="AL66" s="135">
        <f t="shared" si="148"/>
        <v>1</v>
      </c>
      <c r="AM66" s="29"/>
      <c r="AN66" s="134"/>
      <c r="AO66" s="135">
        <f t="shared" si="149"/>
        <v>1</v>
      </c>
      <c r="AP66" s="29"/>
      <c r="AQ66" s="134"/>
      <c r="AR66" s="135">
        <f t="shared" si="150"/>
        <v>1</v>
      </c>
      <c r="AS66" s="29"/>
      <c r="AT66" s="134"/>
      <c r="AU66" s="135">
        <f t="shared" si="151"/>
        <v>1</v>
      </c>
      <c r="AV66" s="29"/>
      <c r="AW66" s="134"/>
      <c r="AX66" s="135">
        <f t="shared" si="152"/>
        <v>1</v>
      </c>
      <c r="AY66" s="29"/>
      <c r="AZ66" s="134"/>
      <c r="BA66" s="135">
        <f t="shared" si="153"/>
        <v>1</v>
      </c>
      <c r="BB66" s="29"/>
      <c r="BC66" s="134"/>
      <c r="BD66" s="135">
        <f t="shared" si="154"/>
        <v>1</v>
      </c>
      <c r="BE66" s="29"/>
      <c r="BF66" s="134"/>
      <c r="BG66" s="135">
        <f t="shared" si="155"/>
        <v>1</v>
      </c>
      <c r="BH66" s="134"/>
      <c r="BI66" s="134"/>
      <c r="BJ66" s="134"/>
      <c r="BK66" s="135">
        <f t="shared" si="175"/>
        <v>1</v>
      </c>
      <c r="BL66" s="135">
        <f t="shared" si="176"/>
        <v>1</v>
      </c>
      <c r="BM66" s="167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</row>
    <row r="67" spans="1:206" s="64" customFormat="1" ht="18.75" hidden="1" customHeight="1">
      <c r="A67" s="188"/>
      <c r="B67" s="189"/>
      <c r="C67" s="29"/>
      <c r="D67" s="134">
        <f t="shared" si="174"/>
        <v>0</v>
      </c>
      <c r="E67" s="29"/>
      <c r="F67" s="29"/>
      <c r="G67" s="134">
        <f t="shared" si="143"/>
        <v>0</v>
      </c>
      <c r="H67" s="29"/>
      <c r="I67" s="134"/>
      <c r="J67" s="29"/>
      <c r="K67" s="134"/>
      <c r="L67" s="29"/>
      <c r="M67" s="134"/>
      <c r="N67" s="29"/>
      <c r="O67" s="134"/>
      <c r="P67" s="29"/>
      <c r="Q67" s="134"/>
      <c r="R67" s="29"/>
      <c r="S67" s="134"/>
      <c r="T67" s="29"/>
      <c r="U67" s="134"/>
      <c r="V67" s="29"/>
      <c r="W67" s="134"/>
      <c r="X67" s="29"/>
      <c r="Y67" s="134"/>
      <c r="Z67" s="29"/>
      <c r="AA67" s="29"/>
      <c r="AB67" s="135">
        <f t="shared" si="145"/>
        <v>1</v>
      </c>
      <c r="AC67" s="29"/>
      <c r="AD67" s="29"/>
      <c r="AE67" s="134">
        <f t="shared" si="160"/>
        <v>0</v>
      </c>
      <c r="AF67" s="135">
        <f t="shared" si="146"/>
        <v>1</v>
      </c>
      <c r="AG67" s="29"/>
      <c r="AH67" s="134"/>
      <c r="AI67" s="135">
        <f t="shared" si="147"/>
        <v>1</v>
      </c>
      <c r="AJ67" s="29"/>
      <c r="AK67" s="134"/>
      <c r="AL67" s="135">
        <f t="shared" si="148"/>
        <v>1</v>
      </c>
      <c r="AM67" s="29"/>
      <c r="AN67" s="134"/>
      <c r="AO67" s="135">
        <f t="shared" si="149"/>
        <v>1</v>
      </c>
      <c r="AP67" s="29"/>
      <c r="AQ67" s="134"/>
      <c r="AR67" s="135">
        <f t="shared" si="150"/>
        <v>1</v>
      </c>
      <c r="AS67" s="29"/>
      <c r="AT67" s="134"/>
      <c r="AU67" s="135">
        <f t="shared" si="151"/>
        <v>1</v>
      </c>
      <c r="AV67" s="29"/>
      <c r="AW67" s="134"/>
      <c r="AX67" s="135">
        <f t="shared" si="152"/>
        <v>1</v>
      </c>
      <c r="AY67" s="29"/>
      <c r="AZ67" s="134"/>
      <c r="BA67" s="135">
        <f t="shared" si="153"/>
        <v>1</v>
      </c>
      <c r="BB67" s="29"/>
      <c r="BC67" s="134"/>
      <c r="BD67" s="135">
        <f t="shared" si="154"/>
        <v>1</v>
      </c>
      <c r="BE67" s="29"/>
      <c r="BF67" s="134"/>
      <c r="BG67" s="135">
        <f t="shared" si="155"/>
        <v>1</v>
      </c>
      <c r="BH67" s="134"/>
      <c r="BI67" s="134"/>
      <c r="BJ67" s="134"/>
      <c r="BK67" s="135">
        <f t="shared" si="175"/>
        <v>1</v>
      </c>
      <c r="BL67" s="135">
        <f t="shared" si="176"/>
        <v>1</v>
      </c>
      <c r="BM67" s="167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</row>
    <row r="68" spans="1:206" s="64" customFormat="1" ht="18.75" hidden="1" customHeight="1">
      <c r="A68" s="188"/>
      <c r="B68" s="189"/>
      <c r="C68" s="29"/>
      <c r="D68" s="134">
        <f t="shared" si="174"/>
        <v>0</v>
      </c>
      <c r="E68" s="29"/>
      <c r="F68" s="29"/>
      <c r="G68" s="134">
        <f t="shared" si="143"/>
        <v>0</v>
      </c>
      <c r="H68" s="29"/>
      <c r="I68" s="134"/>
      <c r="J68" s="29"/>
      <c r="K68" s="134"/>
      <c r="L68" s="29"/>
      <c r="M68" s="134"/>
      <c r="N68" s="29"/>
      <c r="O68" s="134"/>
      <c r="P68" s="29"/>
      <c r="Q68" s="134"/>
      <c r="R68" s="29"/>
      <c r="S68" s="134"/>
      <c r="T68" s="29"/>
      <c r="U68" s="134"/>
      <c r="V68" s="29"/>
      <c r="W68" s="134"/>
      <c r="X68" s="29"/>
      <c r="Y68" s="134"/>
      <c r="Z68" s="29"/>
      <c r="AA68" s="29"/>
      <c r="AB68" s="135">
        <f t="shared" si="145"/>
        <v>1</v>
      </c>
      <c r="AC68" s="29"/>
      <c r="AD68" s="29"/>
      <c r="AE68" s="134">
        <f t="shared" si="160"/>
        <v>0</v>
      </c>
      <c r="AF68" s="135">
        <f t="shared" si="146"/>
        <v>1</v>
      </c>
      <c r="AG68" s="29"/>
      <c r="AH68" s="134"/>
      <c r="AI68" s="135">
        <f t="shared" si="147"/>
        <v>1</v>
      </c>
      <c r="AJ68" s="29"/>
      <c r="AK68" s="134"/>
      <c r="AL68" s="135">
        <f t="shared" si="148"/>
        <v>1</v>
      </c>
      <c r="AM68" s="29"/>
      <c r="AN68" s="134"/>
      <c r="AO68" s="135">
        <f t="shared" si="149"/>
        <v>1</v>
      </c>
      <c r="AP68" s="29"/>
      <c r="AQ68" s="134"/>
      <c r="AR68" s="135">
        <f t="shared" si="150"/>
        <v>1</v>
      </c>
      <c r="AS68" s="29"/>
      <c r="AT68" s="134"/>
      <c r="AU68" s="135">
        <f t="shared" si="151"/>
        <v>1</v>
      </c>
      <c r="AV68" s="29"/>
      <c r="AW68" s="134"/>
      <c r="AX68" s="135">
        <f t="shared" si="152"/>
        <v>1</v>
      </c>
      <c r="AY68" s="29"/>
      <c r="AZ68" s="134"/>
      <c r="BA68" s="135">
        <f t="shared" si="153"/>
        <v>1</v>
      </c>
      <c r="BB68" s="29"/>
      <c r="BC68" s="134"/>
      <c r="BD68" s="135">
        <f t="shared" si="154"/>
        <v>1</v>
      </c>
      <c r="BE68" s="29"/>
      <c r="BF68" s="134"/>
      <c r="BG68" s="135">
        <f t="shared" si="155"/>
        <v>1</v>
      </c>
      <c r="BH68" s="134"/>
      <c r="BI68" s="134"/>
      <c r="BJ68" s="134"/>
      <c r="BK68" s="135">
        <f t="shared" si="175"/>
        <v>1</v>
      </c>
      <c r="BL68" s="135">
        <f t="shared" si="176"/>
        <v>1</v>
      </c>
      <c r="BM68" s="167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</row>
    <row r="69" spans="1:206" s="64" customFormat="1" ht="18.75" hidden="1" customHeight="1">
      <c r="A69" s="188"/>
      <c r="B69" s="189"/>
      <c r="C69" s="29"/>
      <c r="D69" s="134">
        <f t="shared" si="174"/>
        <v>0</v>
      </c>
      <c r="E69" s="29"/>
      <c r="F69" s="29"/>
      <c r="G69" s="134">
        <f t="shared" si="143"/>
        <v>0</v>
      </c>
      <c r="H69" s="29"/>
      <c r="I69" s="134"/>
      <c r="J69" s="29"/>
      <c r="K69" s="134"/>
      <c r="L69" s="29"/>
      <c r="M69" s="134"/>
      <c r="N69" s="29"/>
      <c r="O69" s="134"/>
      <c r="P69" s="29"/>
      <c r="Q69" s="134"/>
      <c r="R69" s="29"/>
      <c r="S69" s="134"/>
      <c r="T69" s="29"/>
      <c r="U69" s="134"/>
      <c r="V69" s="29"/>
      <c r="W69" s="134"/>
      <c r="X69" s="29"/>
      <c r="Y69" s="134"/>
      <c r="Z69" s="29"/>
      <c r="AA69" s="29"/>
      <c r="AB69" s="135">
        <f t="shared" si="145"/>
        <v>1</v>
      </c>
      <c r="AC69" s="29"/>
      <c r="AD69" s="29"/>
      <c r="AE69" s="134">
        <f t="shared" si="160"/>
        <v>0</v>
      </c>
      <c r="AF69" s="135">
        <f t="shared" si="146"/>
        <v>1</v>
      </c>
      <c r="AG69" s="29"/>
      <c r="AH69" s="134"/>
      <c r="AI69" s="135">
        <f t="shared" si="147"/>
        <v>1</v>
      </c>
      <c r="AJ69" s="29"/>
      <c r="AK69" s="134"/>
      <c r="AL69" s="135">
        <f t="shared" si="148"/>
        <v>1</v>
      </c>
      <c r="AM69" s="29"/>
      <c r="AN69" s="134"/>
      <c r="AO69" s="135">
        <f t="shared" si="149"/>
        <v>1</v>
      </c>
      <c r="AP69" s="29"/>
      <c r="AQ69" s="134"/>
      <c r="AR69" s="135">
        <f t="shared" si="150"/>
        <v>1</v>
      </c>
      <c r="AS69" s="29"/>
      <c r="AT69" s="134"/>
      <c r="AU69" s="135">
        <f t="shared" si="151"/>
        <v>1</v>
      </c>
      <c r="AV69" s="29"/>
      <c r="AW69" s="134"/>
      <c r="AX69" s="135">
        <f t="shared" si="152"/>
        <v>1</v>
      </c>
      <c r="AY69" s="29"/>
      <c r="AZ69" s="134"/>
      <c r="BA69" s="135">
        <f t="shared" si="153"/>
        <v>1</v>
      </c>
      <c r="BB69" s="29"/>
      <c r="BC69" s="134"/>
      <c r="BD69" s="135">
        <f t="shared" si="154"/>
        <v>1</v>
      </c>
      <c r="BE69" s="29"/>
      <c r="BF69" s="134"/>
      <c r="BG69" s="135">
        <f t="shared" si="155"/>
        <v>1</v>
      </c>
      <c r="BH69" s="134"/>
      <c r="BI69" s="134"/>
      <c r="BJ69" s="134"/>
      <c r="BK69" s="135">
        <f t="shared" si="175"/>
        <v>1</v>
      </c>
      <c r="BL69" s="135">
        <f t="shared" si="176"/>
        <v>1</v>
      </c>
      <c r="BM69" s="167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</row>
    <row r="70" spans="1:206" s="64" customFormat="1" ht="18.75" hidden="1" customHeight="1">
      <c r="A70" s="188"/>
      <c r="B70" s="189"/>
      <c r="C70" s="29"/>
      <c r="D70" s="134">
        <f t="shared" si="174"/>
        <v>0</v>
      </c>
      <c r="E70" s="29"/>
      <c r="F70" s="29"/>
      <c r="G70" s="134">
        <f t="shared" si="143"/>
        <v>0</v>
      </c>
      <c r="H70" s="29"/>
      <c r="I70" s="134"/>
      <c r="J70" s="29"/>
      <c r="K70" s="134"/>
      <c r="L70" s="29"/>
      <c r="M70" s="134"/>
      <c r="N70" s="29"/>
      <c r="O70" s="134"/>
      <c r="P70" s="29"/>
      <c r="Q70" s="134"/>
      <c r="R70" s="29"/>
      <c r="S70" s="134"/>
      <c r="T70" s="29"/>
      <c r="U70" s="134"/>
      <c r="V70" s="29"/>
      <c r="W70" s="134"/>
      <c r="X70" s="29"/>
      <c r="Y70" s="134"/>
      <c r="Z70" s="29"/>
      <c r="AA70" s="29"/>
      <c r="AB70" s="135">
        <f t="shared" si="145"/>
        <v>1</v>
      </c>
      <c r="AC70" s="29"/>
      <c r="AD70" s="29"/>
      <c r="AE70" s="134">
        <f t="shared" si="160"/>
        <v>0</v>
      </c>
      <c r="AF70" s="135">
        <f t="shared" si="146"/>
        <v>1</v>
      </c>
      <c r="AG70" s="29"/>
      <c r="AH70" s="134"/>
      <c r="AI70" s="135">
        <f t="shared" si="147"/>
        <v>1</v>
      </c>
      <c r="AJ70" s="29"/>
      <c r="AK70" s="134"/>
      <c r="AL70" s="135">
        <f t="shared" si="148"/>
        <v>1</v>
      </c>
      <c r="AM70" s="29"/>
      <c r="AN70" s="134"/>
      <c r="AO70" s="135">
        <f t="shared" si="149"/>
        <v>1</v>
      </c>
      <c r="AP70" s="29"/>
      <c r="AQ70" s="134"/>
      <c r="AR70" s="135">
        <f t="shared" si="150"/>
        <v>1</v>
      </c>
      <c r="AS70" s="29"/>
      <c r="AT70" s="134"/>
      <c r="AU70" s="135">
        <f t="shared" si="151"/>
        <v>1</v>
      </c>
      <c r="AV70" s="29"/>
      <c r="AW70" s="134"/>
      <c r="AX70" s="135">
        <f t="shared" si="152"/>
        <v>1</v>
      </c>
      <c r="AY70" s="29"/>
      <c r="AZ70" s="134"/>
      <c r="BA70" s="135">
        <f t="shared" si="153"/>
        <v>1</v>
      </c>
      <c r="BB70" s="29"/>
      <c r="BC70" s="134"/>
      <c r="BD70" s="135">
        <f t="shared" si="154"/>
        <v>1</v>
      </c>
      <c r="BE70" s="29"/>
      <c r="BF70" s="134"/>
      <c r="BG70" s="135">
        <f t="shared" si="155"/>
        <v>1</v>
      </c>
      <c r="BH70" s="134"/>
      <c r="BI70" s="134"/>
      <c r="BJ70" s="134"/>
      <c r="BK70" s="135">
        <f t="shared" si="175"/>
        <v>1</v>
      </c>
      <c r="BL70" s="135">
        <f t="shared" si="176"/>
        <v>1</v>
      </c>
      <c r="BM70" s="167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</row>
    <row r="71" spans="1:206" s="64" customFormat="1" ht="18.75" hidden="1" customHeight="1">
      <c r="A71" s="188"/>
      <c r="B71" s="189"/>
      <c r="C71" s="29"/>
      <c r="D71" s="134">
        <f t="shared" si="174"/>
        <v>0</v>
      </c>
      <c r="E71" s="29"/>
      <c r="F71" s="29"/>
      <c r="G71" s="134">
        <f t="shared" si="143"/>
        <v>0</v>
      </c>
      <c r="H71" s="29"/>
      <c r="I71" s="134"/>
      <c r="J71" s="29"/>
      <c r="K71" s="134"/>
      <c r="L71" s="29"/>
      <c r="M71" s="134"/>
      <c r="N71" s="29"/>
      <c r="O71" s="134"/>
      <c r="P71" s="29"/>
      <c r="Q71" s="134"/>
      <c r="R71" s="29"/>
      <c r="S71" s="134"/>
      <c r="T71" s="29"/>
      <c r="U71" s="134"/>
      <c r="V71" s="29"/>
      <c r="W71" s="134"/>
      <c r="X71" s="29"/>
      <c r="Y71" s="134"/>
      <c r="Z71" s="29"/>
      <c r="AA71" s="29"/>
      <c r="AB71" s="135">
        <f t="shared" si="145"/>
        <v>1</v>
      </c>
      <c r="AC71" s="29"/>
      <c r="AD71" s="29"/>
      <c r="AE71" s="134">
        <f t="shared" si="160"/>
        <v>0</v>
      </c>
      <c r="AF71" s="135">
        <f t="shared" si="146"/>
        <v>1</v>
      </c>
      <c r="AG71" s="29"/>
      <c r="AH71" s="134"/>
      <c r="AI71" s="135">
        <f t="shared" si="147"/>
        <v>1</v>
      </c>
      <c r="AJ71" s="29"/>
      <c r="AK71" s="134"/>
      <c r="AL71" s="135">
        <f t="shared" si="148"/>
        <v>1</v>
      </c>
      <c r="AM71" s="29"/>
      <c r="AN71" s="134"/>
      <c r="AO71" s="135">
        <f t="shared" si="149"/>
        <v>1</v>
      </c>
      <c r="AP71" s="29"/>
      <c r="AQ71" s="134"/>
      <c r="AR71" s="135">
        <f t="shared" si="150"/>
        <v>1</v>
      </c>
      <c r="AS71" s="29"/>
      <c r="AT71" s="134"/>
      <c r="AU71" s="135">
        <f t="shared" si="151"/>
        <v>1</v>
      </c>
      <c r="AV71" s="29"/>
      <c r="AW71" s="134"/>
      <c r="AX71" s="135">
        <f t="shared" si="152"/>
        <v>1</v>
      </c>
      <c r="AY71" s="29"/>
      <c r="AZ71" s="134"/>
      <c r="BA71" s="135">
        <f t="shared" si="153"/>
        <v>1</v>
      </c>
      <c r="BB71" s="29"/>
      <c r="BC71" s="134"/>
      <c r="BD71" s="135">
        <f t="shared" si="154"/>
        <v>1</v>
      </c>
      <c r="BE71" s="29"/>
      <c r="BF71" s="134"/>
      <c r="BG71" s="135">
        <f t="shared" si="155"/>
        <v>1</v>
      </c>
      <c r="BH71" s="134"/>
      <c r="BI71" s="134"/>
      <c r="BJ71" s="134"/>
      <c r="BK71" s="135">
        <f t="shared" si="175"/>
        <v>1</v>
      </c>
      <c r="BL71" s="135">
        <f t="shared" si="176"/>
        <v>1</v>
      </c>
      <c r="BM71" s="167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</row>
    <row r="72" spans="1:206" s="64" customFormat="1" ht="18.75" hidden="1" customHeight="1">
      <c r="A72" s="188"/>
      <c r="B72" s="189"/>
      <c r="C72" s="29"/>
      <c r="D72" s="134">
        <f t="shared" si="174"/>
        <v>0</v>
      </c>
      <c r="E72" s="29"/>
      <c r="F72" s="29"/>
      <c r="G72" s="134">
        <f t="shared" si="143"/>
        <v>0</v>
      </c>
      <c r="H72" s="29"/>
      <c r="I72" s="134"/>
      <c r="J72" s="29"/>
      <c r="K72" s="134"/>
      <c r="L72" s="29"/>
      <c r="M72" s="134"/>
      <c r="N72" s="29"/>
      <c r="O72" s="134"/>
      <c r="P72" s="29"/>
      <c r="Q72" s="134"/>
      <c r="R72" s="29"/>
      <c r="S72" s="134"/>
      <c r="T72" s="29"/>
      <c r="U72" s="134"/>
      <c r="V72" s="29"/>
      <c r="W72" s="134"/>
      <c r="X72" s="29"/>
      <c r="Y72" s="134"/>
      <c r="Z72" s="29"/>
      <c r="AA72" s="29"/>
      <c r="AB72" s="135">
        <f t="shared" si="145"/>
        <v>1</v>
      </c>
      <c r="AC72" s="29"/>
      <c r="AD72" s="29"/>
      <c r="AE72" s="134">
        <f t="shared" si="160"/>
        <v>0</v>
      </c>
      <c r="AF72" s="135">
        <f t="shared" si="146"/>
        <v>1</v>
      </c>
      <c r="AG72" s="29"/>
      <c r="AH72" s="134"/>
      <c r="AI72" s="135">
        <f t="shared" si="147"/>
        <v>1</v>
      </c>
      <c r="AJ72" s="29"/>
      <c r="AK72" s="134"/>
      <c r="AL72" s="135">
        <f t="shared" si="148"/>
        <v>1</v>
      </c>
      <c r="AM72" s="29"/>
      <c r="AN72" s="134"/>
      <c r="AO72" s="135">
        <f t="shared" si="149"/>
        <v>1</v>
      </c>
      <c r="AP72" s="29"/>
      <c r="AQ72" s="134"/>
      <c r="AR72" s="135">
        <f t="shared" si="150"/>
        <v>1</v>
      </c>
      <c r="AS72" s="29"/>
      <c r="AT72" s="134"/>
      <c r="AU72" s="135">
        <f t="shared" si="151"/>
        <v>1</v>
      </c>
      <c r="AV72" s="29"/>
      <c r="AW72" s="134"/>
      <c r="AX72" s="135">
        <f t="shared" si="152"/>
        <v>1</v>
      </c>
      <c r="AY72" s="29"/>
      <c r="AZ72" s="134"/>
      <c r="BA72" s="135">
        <f t="shared" si="153"/>
        <v>1</v>
      </c>
      <c r="BB72" s="29"/>
      <c r="BC72" s="134"/>
      <c r="BD72" s="135">
        <f t="shared" si="154"/>
        <v>1</v>
      </c>
      <c r="BE72" s="29"/>
      <c r="BF72" s="134"/>
      <c r="BG72" s="135">
        <f t="shared" si="155"/>
        <v>1</v>
      </c>
      <c r="BH72" s="134"/>
      <c r="BI72" s="134"/>
      <c r="BJ72" s="134"/>
      <c r="BK72" s="135">
        <f t="shared" si="175"/>
        <v>1</v>
      </c>
      <c r="BL72" s="135">
        <f t="shared" si="176"/>
        <v>1</v>
      </c>
      <c r="BM72" s="167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</row>
    <row r="73" spans="1:206" s="64" customFormat="1" ht="18.75" hidden="1" customHeight="1">
      <c r="A73" s="188"/>
      <c r="B73" s="189"/>
      <c r="C73" s="29"/>
      <c r="D73" s="134">
        <f t="shared" si="174"/>
        <v>0</v>
      </c>
      <c r="E73" s="29"/>
      <c r="F73" s="29"/>
      <c r="G73" s="134">
        <f t="shared" si="143"/>
        <v>0</v>
      </c>
      <c r="H73" s="29"/>
      <c r="I73" s="134"/>
      <c r="J73" s="29"/>
      <c r="K73" s="134"/>
      <c r="L73" s="29"/>
      <c r="M73" s="134"/>
      <c r="N73" s="29"/>
      <c r="O73" s="134"/>
      <c r="P73" s="29"/>
      <c r="Q73" s="134"/>
      <c r="R73" s="29"/>
      <c r="S73" s="134"/>
      <c r="T73" s="29"/>
      <c r="U73" s="134"/>
      <c r="V73" s="29"/>
      <c r="W73" s="134"/>
      <c r="X73" s="29"/>
      <c r="Y73" s="134"/>
      <c r="Z73" s="29"/>
      <c r="AA73" s="29"/>
      <c r="AB73" s="135">
        <f t="shared" ref="AB73" si="177">IF(D73=0,1,AA73/D73-1)</f>
        <v>1</v>
      </c>
      <c r="AC73" s="29"/>
      <c r="AD73" s="29"/>
      <c r="AE73" s="134">
        <f t="shared" si="160"/>
        <v>0</v>
      </c>
      <c r="AF73" s="135">
        <f t="shared" ref="AF73" si="178">IF(G73=0,1,AE73/G73-1)</f>
        <v>1</v>
      </c>
      <c r="AG73" s="29"/>
      <c r="AH73" s="134"/>
      <c r="AI73" s="135">
        <f t="shared" ref="AI73" si="179">IF(I73=0,1,AH73/I73-1)</f>
        <v>1</v>
      </c>
      <c r="AJ73" s="29"/>
      <c r="AK73" s="134"/>
      <c r="AL73" s="135">
        <f t="shared" ref="AL73" si="180">IF(K73=0,1,AK73/K73-1)</f>
        <v>1</v>
      </c>
      <c r="AM73" s="29"/>
      <c r="AN73" s="134"/>
      <c r="AO73" s="135">
        <f t="shared" ref="AO73" si="181">IF(M73=0,1,AN73/M73-1)</f>
        <v>1</v>
      </c>
      <c r="AP73" s="29"/>
      <c r="AQ73" s="134"/>
      <c r="AR73" s="135">
        <f t="shared" ref="AR73" si="182">IF(O73=0,1,AQ73/O73-1)</f>
        <v>1</v>
      </c>
      <c r="AS73" s="29"/>
      <c r="AT73" s="134"/>
      <c r="AU73" s="135">
        <f t="shared" ref="AU73" si="183">IF(Q73=0,1,AT73/Q73-1)</f>
        <v>1</v>
      </c>
      <c r="AV73" s="29"/>
      <c r="AW73" s="134"/>
      <c r="AX73" s="135">
        <f t="shared" ref="AX73" si="184">IF(S73=0,1,AW73/S73-1)</f>
        <v>1</v>
      </c>
      <c r="AY73" s="29"/>
      <c r="AZ73" s="134"/>
      <c r="BA73" s="135">
        <f t="shared" ref="BA73" si="185">IF(U73=0,1,AZ73/U73-1)</f>
        <v>1</v>
      </c>
      <c r="BB73" s="29"/>
      <c r="BC73" s="134"/>
      <c r="BD73" s="135">
        <f t="shared" ref="BD73" si="186">IF(W73=0,1,BC73/W73-1)</f>
        <v>1</v>
      </c>
      <c r="BE73" s="29"/>
      <c r="BF73" s="134"/>
      <c r="BG73" s="135">
        <f t="shared" ref="BG73" si="187">IF(Y73=0,1,BF73/Y73-1)</f>
        <v>1</v>
      </c>
      <c r="BH73" s="134"/>
      <c r="BI73" s="134"/>
      <c r="BJ73" s="134"/>
      <c r="BK73" s="135">
        <f t="shared" si="175"/>
        <v>1</v>
      </c>
      <c r="BL73" s="135">
        <f t="shared" si="176"/>
        <v>1</v>
      </c>
      <c r="BM73" s="167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</row>
    <row r="74" spans="1:206" s="72" customFormat="1" ht="16.5">
      <c r="A74" s="422" t="s">
        <v>50</v>
      </c>
      <c r="B74" s="422"/>
      <c r="C74" s="130">
        <f>C9-C37</f>
        <v>0</v>
      </c>
      <c r="D74" s="130">
        <f t="shared" ref="D74:AA74" si="188">D9-D37</f>
        <v>0</v>
      </c>
      <c r="E74" s="130">
        <f t="shared" si="188"/>
        <v>0</v>
      </c>
      <c r="F74" s="130">
        <f t="shared" si="188"/>
        <v>0</v>
      </c>
      <c r="G74" s="130">
        <f t="shared" si="188"/>
        <v>0</v>
      </c>
      <c r="H74" s="130">
        <f t="shared" si="188"/>
        <v>0</v>
      </c>
      <c r="I74" s="130">
        <f t="shared" si="188"/>
        <v>0</v>
      </c>
      <c r="J74" s="130">
        <f t="shared" si="188"/>
        <v>0</v>
      </c>
      <c r="K74" s="130">
        <f t="shared" si="188"/>
        <v>0</v>
      </c>
      <c r="L74" s="130">
        <f t="shared" si="188"/>
        <v>0</v>
      </c>
      <c r="M74" s="130">
        <f t="shared" si="188"/>
        <v>0</v>
      </c>
      <c r="N74" s="130">
        <f t="shared" si="188"/>
        <v>0</v>
      </c>
      <c r="O74" s="130">
        <f t="shared" si="188"/>
        <v>0</v>
      </c>
      <c r="P74" s="130">
        <f t="shared" si="188"/>
        <v>0</v>
      </c>
      <c r="Q74" s="130">
        <f t="shared" si="188"/>
        <v>0</v>
      </c>
      <c r="R74" s="130">
        <f t="shared" si="188"/>
        <v>0</v>
      </c>
      <c r="S74" s="130">
        <f t="shared" si="188"/>
        <v>0</v>
      </c>
      <c r="T74" s="130">
        <f t="shared" si="188"/>
        <v>0</v>
      </c>
      <c r="U74" s="130">
        <f t="shared" si="188"/>
        <v>0</v>
      </c>
      <c r="V74" s="130">
        <f t="shared" si="188"/>
        <v>0</v>
      </c>
      <c r="W74" s="130">
        <f t="shared" si="188"/>
        <v>0</v>
      </c>
      <c r="X74" s="130">
        <f t="shared" si="188"/>
        <v>0</v>
      </c>
      <c r="Y74" s="130">
        <f t="shared" si="188"/>
        <v>0</v>
      </c>
      <c r="Z74" s="130">
        <f t="shared" si="188"/>
        <v>0</v>
      </c>
      <c r="AA74" s="130">
        <f t="shared" si="188"/>
        <v>0</v>
      </c>
      <c r="AB74" s="143" t="s">
        <v>51</v>
      </c>
      <c r="AC74" s="130">
        <f t="shared" ref="AC74:BH74" si="189">AC9-AC37</f>
        <v>0</v>
      </c>
      <c r="AD74" s="130">
        <f t="shared" si="189"/>
        <v>0</v>
      </c>
      <c r="AE74" s="130">
        <f t="shared" si="189"/>
        <v>0</v>
      </c>
      <c r="AF74" s="143" t="s">
        <v>51</v>
      </c>
      <c r="AG74" s="130">
        <f t="shared" si="189"/>
        <v>0</v>
      </c>
      <c r="AH74" s="130">
        <f t="shared" si="189"/>
        <v>0</v>
      </c>
      <c r="AI74" s="143" t="s">
        <v>51</v>
      </c>
      <c r="AJ74" s="130">
        <f t="shared" si="189"/>
        <v>0</v>
      </c>
      <c r="AK74" s="130">
        <f t="shared" si="189"/>
        <v>0</v>
      </c>
      <c r="AL74" s="143" t="s">
        <v>51</v>
      </c>
      <c r="AM74" s="130">
        <f t="shared" si="189"/>
        <v>0</v>
      </c>
      <c r="AN74" s="130">
        <f t="shared" si="189"/>
        <v>0</v>
      </c>
      <c r="AO74" s="143" t="s">
        <v>51</v>
      </c>
      <c r="AP74" s="130">
        <f t="shared" si="189"/>
        <v>0</v>
      </c>
      <c r="AQ74" s="130">
        <f t="shared" si="189"/>
        <v>0</v>
      </c>
      <c r="AR74" s="143" t="s">
        <v>51</v>
      </c>
      <c r="AS74" s="130">
        <f t="shared" si="189"/>
        <v>0</v>
      </c>
      <c r="AT74" s="130">
        <f t="shared" si="189"/>
        <v>0</v>
      </c>
      <c r="AU74" s="143" t="s">
        <v>51</v>
      </c>
      <c r="AV74" s="130">
        <f t="shared" si="189"/>
        <v>0</v>
      </c>
      <c r="AW74" s="130">
        <f t="shared" si="189"/>
        <v>0</v>
      </c>
      <c r="AX74" s="143" t="s">
        <v>51</v>
      </c>
      <c r="AY74" s="130">
        <f t="shared" si="189"/>
        <v>0</v>
      </c>
      <c r="AZ74" s="130">
        <f t="shared" si="189"/>
        <v>0</v>
      </c>
      <c r="BA74" s="143" t="s">
        <v>51</v>
      </c>
      <c r="BB74" s="130">
        <f t="shared" si="189"/>
        <v>0</v>
      </c>
      <c r="BC74" s="130">
        <f t="shared" si="189"/>
        <v>0</v>
      </c>
      <c r="BD74" s="143" t="s">
        <v>51</v>
      </c>
      <c r="BE74" s="130">
        <f t="shared" si="189"/>
        <v>0</v>
      </c>
      <c r="BF74" s="130">
        <f t="shared" si="189"/>
        <v>0</v>
      </c>
      <c r="BG74" s="143" t="s">
        <v>51</v>
      </c>
      <c r="BH74" s="130">
        <f t="shared" si="189"/>
        <v>0</v>
      </c>
      <c r="BI74" s="130">
        <f t="shared" ref="BI74:BJ74" si="190">BI9-BI37</f>
        <v>0</v>
      </c>
      <c r="BJ74" s="130">
        <f t="shared" si="190"/>
        <v>0</v>
      </c>
      <c r="BK74" s="143" t="s">
        <v>51</v>
      </c>
      <c r="BL74" s="143" t="s">
        <v>51</v>
      </c>
      <c r="BM74" s="165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</row>
    <row r="75" spans="1:206" s="75" customFormat="1" ht="18" customHeight="1">
      <c r="A75" s="425" t="s">
        <v>52</v>
      </c>
      <c r="B75" s="425"/>
      <c r="C75" s="133" t="e">
        <f t="shared" ref="C75:R75" si="191">IF(C74&gt;0,"-",-C74/(C10-C12))</f>
        <v>#DIV/0!</v>
      </c>
      <c r="D75" s="133" t="e">
        <f t="shared" si="191"/>
        <v>#DIV/0!</v>
      </c>
      <c r="E75" s="133" t="e">
        <f t="shared" si="191"/>
        <v>#DIV/0!</v>
      </c>
      <c r="F75" s="133" t="e">
        <f t="shared" si="191"/>
        <v>#DIV/0!</v>
      </c>
      <c r="G75" s="133" t="e">
        <f t="shared" si="191"/>
        <v>#DIV/0!</v>
      </c>
      <c r="H75" s="133" t="e">
        <f t="shared" si="191"/>
        <v>#DIV/0!</v>
      </c>
      <c r="I75" s="133" t="e">
        <f t="shared" si="191"/>
        <v>#DIV/0!</v>
      </c>
      <c r="J75" s="133" t="e">
        <f t="shared" si="191"/>
        <v>#DIV/0!</v>
      </c>
      <c r="K75" s="133" t="e">
        <f t="shared" si="191"/>
        <v>#DIV/0!</v>
      </c>
      <c r="L75" s="133" t="e">
        <f t="shared" si="191"/>
        <v>#DIV/0!</v>
      </c>
      <c r="M75" s="133" t="e">
        <f t="shared" si="191"/>
        <v>#DIV/0!</v>
      </c>
      <c r="N75" s="133" t="e">
        <f t="shared" si="191"/>
        <v>#DIV/0!</v>
      </c>
      <c r="O75" s="133" t="e">
        <f t="shared" si="191"/>
        <v>#DIV/0!</v>
      </c>
      <c r="P75" s="133" t="e">
        <f t="shared" si="191"/>
        <v>#DIV/0!</v>
      </c>
      <c r="Q75" s="133" t="e">
        <f t="shared" si="191"/>
        <v>#DIV/0!</v>
      </c>
      <c r="R75" s="133" t="e">
        <f t="shared" si="191"/>
        <v>#DIV/0!</v>
      </c>
      <c r="S75" s="133" t="e">
        <f t="shared" ref="S75:AA75" si="192">IF(S74&gt;0,"-",-S74/(S10-S12))</f>
        <v>#DIV/0!</v>
      </c>
      <c r="T75" s="133" t="e">
        <f t="shared" si="192"/>
        <v>#DIV/0!</v>
      </c>
      <c r="U75" s="133" t="e">
        <f t="shared" si="192"/>
        <v>#DIV/0!</v>
      </c>
      <c r="V75" s="133" t="e">
        <f t="shared" si="192"/>
        <v>#DIV/0!</v>
      </c>
      <c r="W75" s="133" t="e">
        <f t="shared" si="192"/>
        <v>#DIV/0!</v>
      </c>
      <c r="X75" s="133" t="e">
        <f t="shared" si="192"/>
        <v>#DIV/0!</v>
      </c>
      <c r="Y75" s="133" t="e">
        <f t="shared" si="192"/>
        <v>#DIV/0!</v>
      </c>
      <c r="Z75" s="133" t="e">
        <f t="shared" si="192"/>
        <v>#DIV/0!</v>
      </c>
      <c r="AA75" s="133" t="e">
        <f t="shared" si="192"/>
        <v>#DIV/0!</v>
      </c>
      <c r="AB75" s="144" t="s">
        <v>51</v>
      </c>
      <c r="AC75" s="133" t="e">
        <f t="shared" ref="AC75:AE75" si="193">IF(AC74&gt;0,"-",-AC74/(AC10-AC12))</f>
        <v>#DIV/0!</v>
      </c>
      <c r="AD75" s="133" t="e">
        <f t="shared" si="193"/>
        <v>#DIV/0!</v>
      </c>
      <c r="AE75" s="133" t="e">
        <f t="shared" si="193"/>
        <v>#DIV/0!</v>
      </c>
      <c r="AF75" s="144" t="s">
        <v>51</v>
      </c>
      <c r="AG75" s="133" t="e">
        <f>IF(AG74&gt;0,"-",-AG74/(AG10-AG12))</f>
        <v>#DIV/0!</v>
      </c>
      <c r="AH75" s="133" t="e">
        <f>IF(AH74&gt;0,"-",-AH74/(AH10-AH12))</f>
        <v>#DIV/0!</v>
      </c>
      <c r="AI75" s="144" t="s">
        <v>51</v>
      </c>
      <c r="AJ75" s="133" t="e">
        <f>IF(AJ74&gt;0,"-",-AJ74/(AJ10-AJ12))</f>
        <v>#DIV/0!</v>
      </c>
      <c r="AK75" s="133" t="e">
        <f>IF(AK74&gt;0,"-",-AK74/(AK10-AK12))</f>
        <v>#DIV/0!</v>
      </c>
      <c r="AL75" s="144" t="s">
        <v>51</v>
      </c>
      <c r="AM75" s="133" t="e">
        <f>IF(AM74&gt;0,"-",-AM74/(AM10-AM12))</f>
        <v>#DIV/0!</v>
      </c>
      <c r="AN75" s="133" t="e">
        <f>IF(AN74&gt;0,"-",-AN74/(AN10-AN12))</f>
        <v>#DIV/0!</v>
      </c>
      <c r="AO75" s="144" t="s">
        <v>51</v>
      </c>
      <c r="AP75" s="133" t="e">
        <f>IF(AP74&gt;0,"-",-AP74/(AP10-AP12))</f>
        <v>#DIV/0!</v>
      </c>
      <c r="AQ75" s="133" t="e">
        <f>IF(AQ74&gt;0,"-",-AQ74/(AQ10-AQ12))</f>
        <v>#DIV/0!</v>
      </c>
      <c r="AR75" s="144" t="s">
        <v>51</v>
      </c>
      <c r="AS75" s="133" t="e">
        <f>IF(AS74&gt;0,"-",-AS74/(AS10-AS12))</f>
        <v>#DIV/0!</v>
      </c>
      <c r="AT75" s="133" t="e">
        <f>IF(AT74&gt;0,"-",-AT74/(AT10-AT12))</f>
        <v>#DIV/0!</v>
      </c>
      <c r="AU75" s="144" t="s">
        <v>51</v>
      </c>
      <c r="AV75" s="133" t="e">
        <f>IF(AV74&gt;0,"-",-AV74/(AV10-AV12))</f>
        <v>#DIV/0!</v>
      </c>
      <c r="AW75" s="133" t="e">
        <f>IF(AW74&gt;0,"-",-AW74/(AW10-AW12))</f>
        <v>#DIV/0!</v>
      </c>
      <c r="AX75" s="144" t="s">
        <v>51</v>
      </c>
      <c r="AY75" s="133" t="e">
        <f>IF(AY74&gt;0,"-",-AY74/(AY10-AY12))</f>
        <v>#DIV/0!</v>
      </c>
      <c r="AZ75" s="133" t="e">
        <f>IF(AZ74&gt;0,"-",-AZ74/(AZ10-AZ12))</f>
        <v>#DIV/0!</v>
      </c>
      <c r="BA75" s="144" t="s">
        <v>51</v>
      </c>
      <c r="BB75" s="133" t="e">
        <f>IF(BB74&gt;0,"-",-BB74/(BB10-BB12))</f>
        <v>#DIV/0!</v>
      </c>
      <c r="BC75" s="133" t="e">
        <f>IF(BC74&gt;0,"-",-BC74/(BC10-BC12))</f>
        <v>#DIV/0!</v>
      </c>
      <c r="BD75" s="144" t="s">
        <v>51</v>
      </c>
      <c r="BE75" s="133" t="e">
        <f>IF(BE74&gt;0,"-",-BE74/(BE10-BE12))</f>
        <v>#DIV/0!</v>
      </c>
      <c r="BF75" s="133" t="e">
        <f>IF(BF74&gt;0,"-",-BF74/(BF10-BF12))</f>
        <v>#DIV/0!</v>
      </c>
      <c r="BG75" s="144" t="s">
        <v>51</v>
      </c>
      <c r="BH75" s="133" t="e">
        <f t="shared" ref="BH75:BJ75" si="194">IF(BH74&gt;0,"-",-BH74/(BH10-BH12))</f>
        <v>#DIV/0!</v>
      </c>
      <c r="BI75" s="133" t="e">
        <f t="shared" si="194"/>
        <v>#DIV/0!</v>
      </c>
      <c r="BJ75" s="133" t="e">
        <f t="shared" si="194"/>
        <v>#DIV/0!</v>
      </c>
      <c r="BK75" s="144" t="s">
        <v>51</v>
      </c>
      <c r="BL75" s="144" t="s">
        <v>51</v>
      </c>
      <c r="BM75" s="73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</row>
    <row r="76" spans="1:206" s="75" customFormat="1" ht="19.5" customHeight="1">
      <c r="A76" s="433" t="s">
        <v>127</v>
      </c>
      <c r="B76" s="433"/>
      <c r="C76" s="145" t="str">
        <f t="shared" ref="C76:R76" si="195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195"/>
        <v>-</v>
      </c>
      <c r="E76" s="145" t="str">
        <f t="shared" si="195"/>
        <v>-</v>
      </c>
      <c r="F76" s="145" t="str">
        <f t="shared" si="195"/>
        <v>-</v>
      </c>
      <c r="G76" s="145" t="str">
        <f t="shared" si="195"/>
        <v>-</v>
      </c>
      <c r="H76" s="145" t="str">
        <f t="shared" si="195"/>
        <v>-</v>
      </c>
      <c r="I76" s="145" t="str">
        <f t="shared" si="195"/>
        <v>-</v>
      </c>
      <c r="J76" s="145" t="str">
        <f t="shared" si="195"/>
        <v>-</v>
      </c>
      <c r="K76" s="145" t="str">
        <f t="shared" si="195"/>
        <v>-</v>
      </c>
      <c r="L76" s="145" t="str">
        <f t="shared" si="195"/>
        <v>-</v>
      </c>
      <c r="M76" s="145" t="str">
        <f t="shared" si="195"/>
        <v>-</v>
      </c>
      <c r="N76" s="145" t="str">
        <f t="shared" si="195"/>
        <v>-</v>
      </c>
      <c r="O76" s="145" t="str">
        <f t="shared" si="195"/>
        <v>-</v>
      </c>
      <c r="P76" s="145" t="str">
        <f t="shared" si="195"/>
        <v>-</v>
      </c>
      <c r="Q76" s="145" t="str">
        <f t="shared" si="195"/>
        <v>-</v>
      </c>
      <c r="R76" s="145" t="str">
        <f t="shared" si="195"/>
        <v>-</v>
      </c>
      <c r="S76" s="145" t="str">
        <f t="shared" ref="S76:AA76" si="196">IF(OR(S10-S12=0,S74&gt;=0),"-",IF(AND(S78&lt;=0,S87&lt;=0),(-S74)/(S10-S12),IF(AND(S87&gt;0,S78&lt;=0),(-S74-S87)/(S10-S12),IF(AND(S87&lt;=0,S78&gt;0),(-S74-S78)/(S10-S12),(-S74-S78-S87)/(S10-S12)))))</f>
        <v>-</v>
      </c>
      <c r="T76" s="145" t="str">
        <f t="shared" si="196"/>
        <v>-</v>
      </c>
      <c r="U76" s="145" t="str">
        <f t="shared" si="196"/>
        <v>-</v>
      </c>
      <c r="V76" s="145" t="str">
        <f t="shared" si="196"/>
        <v>-</v>
      </c>
      <c r="W76" s="145" t="str">
        <f t="shared" si="196"/>
        <v>-</v>
      </c>
      <c r="X76" s="145" t="str">
        <f t="shared" si="196"/>
        <v>-</v>
      </c>
      <c r="Y76" s="145" t="str">
        <f t="shared" si="196"/>
        <v>-</v>
      </c>
      <c r="Z76" s="145" t="str">
        <f t="shared" si="196"/>
        <v>-</v>
      </c>
      <c r="AA76" s="145" t="str">
        <f t="shared" si="196"/>
        <v>-</v>
      </c>
      <c r="AB76" s="144" t="s">
        <v>51</v>
      </c>
      <c r="AC76" s="145" t="str">
        <f t="shared" ref="AC76:AE76" si="197">IF(OR(AC10-AC12=0,AC74&gt;=0),"-",IF(AND(AC78&lt;=0,AC87&lt;=0),(-AC74)/(AC10-AC12),IF(AND(AC87&gt;0,AC78&lt;=0),(-AC74-AC87)/(AC10-AC12),IF(AND(AC87&lt;=0,AC78&gt;0),(-AC74-AC78)/(AC10-AC12),(-AC74-AC78-AC87)/(AC10-AC12)))))</f>
        <v>-</v>
      </c>
      <c r="AD76" s="145" t="str">
        <f t="shared" si="197"/>
        <v>-</v>
      </c>
      <c r="AE76" s="145" t="str">
        <f t="shared" si="197"/>
        <v>-</v>
      </c>
      <c r="AF76" s="144" t="s">
        <v>51</v>
      </c>
      <c r="AG76" s="145" t="str">
        <f>IF(OR(AG10-AG12=0,AG74&gt;=0),"-",IF(AND(AG78&lt;=0,AG87&lt;=0),(-AG74)/(AG10-AG12),IF(AND(AG87&gt;0,AG78&lt;=0),(-AG74-AG87)/(AG10-AG12),IF(AND(AG87&lt;=0,AG78&gt;0),(-AG74-AG78)/(AG10-AG12),(-AG74-AG78-AG87)/(AG10-AG12)))))</f>
        <v>-</v>
      </c>
      <c r="AH76" s="145" t="str">
        <f>IF(OR(AH10-AH12=0,AH74&gt;=0),"-",IF(AND(AH78&lt;=0,AH87&lt;=0),(-AH74)/(AH10-AH12),IF(AND(AH87&gt;0,AH78&lt;=0),(-AH74-AH87)/(AH10-AH12),IF(AND(AH87&lt;=0,AH78&gt;0),(-AH74-AH78)/(AH10-AH12),(-AH74-AH78-AH87)/(AH10-AH12)))))</f>
        <v>-</v>
      </c>
      <c r="AI76" s="144" t="s">
        <v>51</v>
      </c>
      <c r="AJ76" s="145" t="str">
        <f>IF(OR(AJ10-AJ12=0,AJ74&gt;=0),"-",IF(AND(AJ78&lt;=0,AJ87&lt;=0),(-AJ74)/(AJ10-AJ12),IF(AND(AJ87&gt;0,AJ78&lt;=0),(-AJ74-AJ87)/(AJ10-AJ12),IF(AND(AJ87&lt;=0,AJ78&gt;0),(-AJ74-AJ78)/(AJ10-AJ12),(-AJ74-AJ78-AJ87)/(AJ10-AJ12)))))</f>
        <v>-</v>
      </c>
      <c r="AK76" s="145" t="str">
        <f>IF(OR(AK10-AK12=0,AK74&gt;=0),"-",IF(AND(AK78&lt;=0,AK87&lt;=0),(-AK74)/(AK10-AK12),IF(AND(AK87&gt;0,AK78&lt;=0),(-AK74-AK87)/(AK10-AK12),IF(AND(AK87&lt;=0,AK78&gt;0),(-AK74-AK78)/(AK10-AK12),(-AK74-AK78-AK87)/(AK10-AK12)))))</f>
        <v>-</v>
      </c>
      <c r="AL76" s="144" t="s">
        <v>51</v>
      </c>
      <c r="AM76" s="145" t="str">
        <f>IF(OR(AM10-AM12=0,AM74&gt;=0),"-",IF(AND(AM78&lt;=0,AM87&lt;=0),(-AM74)/(AM10-AM12),IF(AND(AM87&gt;0,AM78&lt;=0),(-AM74-AM87)/(AM10-AM12),IF(AND(AM87&lt;=0,AM78&gt;0),(-AM74-AM78)/(AM10-AM12),(-AM74-AM78-AM87)/(AM10-AM12)))))</f>
        <v>-</v>
      </c>
      <c r="AN76" s="145" t="str">
        <f>IF(OR(AN10-AN12=0,AN74&gt;=0),"-",IF(AND(AN78&lt;=0,AN87&lt;=0),(-AN74)/(AN10-AN12),IF(AND(AN87&gt;0,AN78&lt;=0),(-AN74-AN87)/(AN10-AN12),IF(AND(AN87&lt;=0,AN78&gt;0),(-AN74-AN78)/(AN10-AN12),(-AN74-AN78-AN87)/(AN10-AN12)))))</f>
        <v>-</v>
      </c>
      <c r="AO76" s="144" t="s">
        <v>51</v>
      </c>
      <c r="AP76" s="145" t="str">
        <f>IF(OR(AP10-AP12=0,AP74&gt;=0),"-",IF(AND(AP78&lt;=0,AP87&lt;=0),(-AP74)/(AP10-AP12),IF(AND(AP87&gt;0,AP78&lt;=0),(-AP74-AP87)/(AP10-AP12),IF(AND(AP87&lt;=0,AP78&gt;0),(-AP74-AP78)/(AP10-AP12),(-AP74-AP78-AP87)/(AP10-AP12)))))</f>
        <v>-</v>
      </c>
      <c r="AQ76" s="145" t="str">
        <f>IF(OR(AQ10-AQ12=0,AQ74&gt;=0),"-",IF(AND(AQ78&lt;=0,AQ87&lt;=0),(-AQ74)/(AQ10-AQ12),IF(AND(AQ87&gt;0,AQ78&lt;=0),(-AQ74-AQ87)/(AQ10-AQ12),IF(AND(AQ87&lt;=0,AQ78&gt;0),(-AQ74-AQ78)/(AQ10-AQ12),(-AQ74-AQ78-AQ87)/(AQ10-AQ12)))))</f>
        <v>-</v>
      </c>
      <c r="AR76" s="144" t="s">
        <v>51</v>
      </c>
      <c r="AS76" s="145" t="str">
        <f>IF(OR(AS10-AS12=0,AS74&gt;=0),"-",IF(AND(AS78&lt;=0,AS87&lt;=0),(-AS74)/(AS10-AS12),IF(AND(AS87&gt;0,AS78&lt;=0),(-AS74-AS87)/(AS10-AS12),IF(AND(AS87&lt;=0,AS78&gt;0),(-AS74-AS78)/(AS10-AS12),(-AS74-AS78-AS87)/(AS10-AS12)))))</f>
        <v>-</v>
      </c>
      <c r="AT76" s="145" t="str">
        <f>IF(OR(AT10-AT12=0,AT74&gt;=0),"-",IF(AND(AT78&lt;=0,AT87&lt;=0),(-AT74)/(AT10-AT12),IF(AND(AT87&gt;0,AT78&lt;=0),(-AT74-AT87)/(AT10-AT12),IF(AND(AT87&lt;=0,AT78&gt;0),(-AT74-AT78)/(AT10-AT12),(-AT74-AT78-AT87)/(AT10-AT12)))))</f>
        <v>-</v>
      </c>
      <c r="AU76" s="144" t="s">
        <v>51</v>
      </c>
      <c r="AV76" s="145" t="str">
        <f>IF(OR(AV10-AV12=0,AV74&gt;=0),"-",IF(AND(AV78&lt;=0,AV87&lt;=0),(-AV74)/(AV10-AV12),IF(AND(AV87&gt;0,AV78&lt;=0),(-AV74-AV87)/(AV10-AV12),IF(AND(AV87&lt;=0,AV78&gt;0),(-AV74-AV78)/(AV10-AV12),(-AV74-AV78-AV87)/(AV10-AV12)))))</f>
        <v>-</v>
      </c>
      <c r="AW76" s="145" t="str">
        <f>IF(OR(AW10-AW12=0,AW74&gt;=0),"-",IF(AND(AW78&lt;=0,AW87&lt;=0),(-AW74)/(AW10-AW12),IF(AND(AW87&gt;0,AW78&lt;=0),(-AW74-AW87)/(AW10-AW12),IF(AND(AW87&lt;=0,AW78&gt;0),(-AW74-AW78)/(AW10-AW12),(-AW74-AW78-AW87)/(AW10-AW12)))))</f>
        <v>-</v>
      </c>
      <c r="AX76" s="144" t="s">
        <v>51</v>
      </c>
      <c r="AY76" s="145" t="str">
        <f>IF(OR(AY10-AY12=0,AY74&gt;=0),"-",IF(AND(AY78&lt;=0,AY87&lt;=0),(-AY74)/(AY10-AY12),IF(AND(AY87&gt;0,AY78&lt;=0),(-AY74-AY87)/(AY10-AY12),IF(AND(AY87&lt;=0,AY78&gt;0),(-AY74-AY78)/(AY10-AY12),(-AY74-AY78-AY87)/(AY10-AY12)))))</f>
        <v>-</v>
      </c>
      <c r="AZ76" s="145" t="str">
        <f>IF(OR(AZ10-AZ12=0,AZ74&gt;=0),"-",IF(AND(AZ78&lt;=0,AZ87&lt;=0),(-AZ74)/(AZ10-AZ12),IF(AND(AZ87&gt;0,AZ78&lt;=0),(-AZ74-AZ87)/(AZ10-AZ12),IF(AND(AZ87&lt;=0,AZ78&gt;0),(-AZ74-AZ78)/(AZ10-AZ12),(-AZ74-AZ78-AZ87)/(AZ10-AZ12)))))</f>
        <v>-</v>
      </c>
      <c r="BA76" s="144" t="s">
        <v>51</v>
      </c>
      <c r="BB76" s="145" t="str">
        <f>IF(OR(BB10-BB12=0,BB74&gt;=0),"-",IF(AND(BB78&lt;=0,BB87&lt;=0),(-BB74)/(BB10-BB12),IF(AND(BB87&gt;0,BB78&lt;=0),(-BB74-BB87)/(BB10-BB12),IF(AND(BB87&lt;=0,BB78&gt;0),(-BB74-BB78)/(BB10-BB12),(-BB74-BB78-BB87)/(BB10-BB12)))))</f>
        <v>-</v>
      </c>
      <c r="BC76" s="145" t="str">
        <f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4" t="s">
        <v>51</v>
      </c>
      <c r="BE76" s="145" t="str">
        <f>IF(OR(BE10-BE12=0,BE74&gt;=0),"-",IF(AND(BE78&lt;=0,BE87&lt;=0),(-BE74)/(BE10-BE12),IF(AND(BE87&gt;0,BE78&lt;=0),(-BE74-BE87)/(BE10-BE12),IF(AND(BE87&lt;=0,BE78&gt;0),(-BE74-BE78)/(BE10-BE12),(-BE74-BE78-BE87)/(BE10-BE12)))))</f>
        <v>-</v>
      </c>
      <c r="BF76" s="145" t="str">
        <f>IF(OR(BF10-BF12=0,BF74&gt;=0),"-",IF(AND(BF78&lt;=0,BF87&lt;=0),(-BF74)/(BF10-BF12),IF(AND(BF87&gt;0,BF78&lt;=0),(-BF74-BF87)/(BF10-BF12),IF(AND(BF87&lt;=0,BF78&gt;0),(-BF74-BF78)/(BF10-BF12),(-BF74-BF78-BF87)/(BF10-BF12)))))</f>
        <v>-</v>
      </c>
      <c r="BG76" s="144" t="s">
        <v>51</v>
      </c>
      <c r="BH76" s="145" t="str">
        <f t="shared" ref="BH76:BJ76" si="198">IF(OR(BH10-BH12=0,BH74&gt;=0),"-",IF(AND(BH78&lt;=0,BH87&lt;=0),(-BH74)/(BH10-BH12),IF(AND(BH87&gt;0,BH78&lt;=0),(-BH74-BH87)/(BH10-BH12),IF(AND(BH87&lt;=0,BH78&gt;0),(-BH74-BH78)/(BH10-BH12),(-BH74-BH78-BH87)/(BH10-BH12)))))</f>
        <v>-</v>
      </c>
      <c r="BI76" s="145" t="str">
        <f t="shared" si="198"/>
        <v>-</v>
      </c>
      <c r="BJ76" s="145" t="str">
        <f t="shared" si="198"/>
        <v>-</v>
      </c>
      <c r="BK76" s="144" t="s">
        <v>51</v>
      </c>
      <c r="BL76" s="144" t="s">
        <v>51</v>
      </c>
      <c r="BM76" s="73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</row>
    <row r="77" spans="1:206" s="77" customFormat="1" ht="32.25" customHeight="1">
      <c r="A77" s="422" t="s">
        <v>53</v>
      </c>
      <c r="B77" s="422"/>
      <c r="C77" s="130">
        <f t="shared" ref="C77" si="199">C78+C81+C84+C87</f>
        <v>0</v>
      </c>
      <c r="D77" s="130">
        <f>D78+D81+D84+D87</f>
        <v>0</v>
      </c>
      <c r="E77" s="130">
        <f t="shared" ref="E77:J77" si="200">E78+E81+E84+E87</f>
        <v>0</v>
      </c>
      <c r="F77" s="130">
        <f t="shared" si="200"/>
        <v>0</v>
      </c>
      <c r="G77" s="130">
        <f t="shared" si="200"/>
        <v>0</v>
      </c>
      <c r="H77" s="130">
        <f t="shared" si="200"/>
        <v>0</v>
      </c>
      <c r="I77" s="130">
        <f>I78+I81+I84+I87</f>
        <v>0</v>
      </c>
      <c r="J77" s="130">
        <f t="shared" si="200"/>
        <v>0</v>
      </c>
      <c r="K77" s="130">
        <f>K78+K81+K84+K87</f>
        <v>0</v>
      </c>
      <c r="L77" s="130">
        <f t="shared" ref="L77" si="201">L78+L81+L84+L87</f>
        <v>0</v>
      </c>
      <c r="M77" s="130">
        <f>M78+M81+M84+M87</f>
        <v>0</v>
      </c>
      <c r="N77" s="130">
        <f t="shared" ref="N77" si="202">N78+N81+N84+N87</f>
        <v>0</v>
      </c>
      <c r="O77" s="130">
        <f>O78+O81+O84+O87</f>
        <v>0</v>
      </c>
      <c r="P77" s="130">
        <f t="shared" ref="P77" si="203">P78+P81+P84+P87</f>
        <v>0</v>
      </c>
      <c r="Q77" s="130">
        <f>Q78+Q81+Q84+Q87</f>
        <v>0</v>
      </c>
      <c r="R77" s="130">
        <f t="shared" ref="R77" si="204">R78+R81+R84+R87</f>
        <v>0</v>
      </c>
      <c r="S77" s="130">
        <f>S78+S81+S84+S87</f>
        <v>0</v>
      </c>
      <c r="T77" s="130">
        <f t="shared" ref="T77" si="205">T78+T81+T84+T87</f>
        <v>0</v>
      </c>
      <c r="U77" s="130">
        <f>U78+U81+U84+U87</f>
        <v>0</v>
      </c>
      <c r="V77" s="130">
        <f t="shared" ref="V77" si="206">V78+V81+V84+V87</f>
        <v>0</v>
      </c>
      <c r="W77" s="130">
        <f>W78+W81+W84+W87</f>
        <v>0</v>
      </c>
      <c r="X77" s="130">
        <f t="shared" ref="X77" si="207">X78+X81+X84+X87</f>
        <v>0</v>
      </c>
      <c r="Y77" s="130">
        <f>Y78+Y81+Y84+Y87</f>
        <v>0</v>
      </c>
      <c r="Z77" s="130">
        <f t="shared" ref="Z77:AA77" si="208">Z78+Z81+Z84+Z87</f>
        <v>0</v>
      </c>
      <c r="AA77" s="130">
        <f t="shared" si="208"/>
        <v>0</v>
      </c>
      <c r="AB77" s="143" t="s">
        <v>51</v>
      </c>
      <c r="AC77" s="130">
        <f t="shared" ref="AC77:BH77" si="209">AC78+AC81+AC84+AC87</f>
        <v>0</v>
      </c>
      <c r="AD77" s="130">
        <f t="shared" si="209"/>
        <v>0</v>
      </c>
      <c r="AE77" s="130">
        <f t="shared" si="209"/>
        <v>0</v>
      </c>
      <c r="AF77" s="143" t="s">
        <v>51</v>
      </c>
      <c r="AG77" s="130">
        <f t="shared" ref="AG77" si="210">AG78+AG81+AG84+AG87</f>
        <v>0</v>
      </c>
      <c r="AH77" s="130">
        <f t="shared" si="209"/>
        <v>0</v>
      </c>
      <c r="AI77" s="143" t="s">
        <v>51</v>
      </c>
      <c r="AJ77" s="130">
        <f t="shared" si="209"/>
        <v>0</v>
      </c>
      <c r="AK77" s="130">
        <f t="shared" si="209"/>
        <v>0</v>
      </c>
      <c r="AL77" s="143" t="s">
        <v>51</v>
      </c>
      <c r="AM77" s="130">
        <f t="shared" si="209"/>
        <v>0</v>
      </c>
      <c r="AN77" s="130">
        <f t="shared" si="209"/>
        <v>0</v>
      </c>
      <c r="AO77" s="143" t="s">
        <v>51</v>
      </c>
      <c r="AP77" s="130">
        <f t="shared" si="209"/>
        <v>0</v>
      </c>
      <c r="AQ77" s="130">
        <f t="shared" si="209"/>
        <v>0</v>
      </c>
      <c r="AR77" s="143" t="s">
        <v>51</v>
      </c>
      <c r="AS77" s="130">
        <f t="shared" si="209"/>
        <v>0</v>
      </c>
      <c r="AT77" s="130">
        <f t="shared" si="209"/>
        <v>0</v>
      </c>
      <c r="AU77" s="143" t="s">
        <v>51</v>
      </c>
      <c r="AV77" s="130">
        <f t="shared" si="209"/>
        <v>0</v>
      </c>
      <c r="AW77" s="130">
        <f t="shared" si="209"/>
        <v>0</v>
      </c>
      <c r="AX77" s="143" t="s">
        <v>51</v>
      </c>
      <c r="AY77" s="130">
        <f t="shared" si="209"/>
        <v>0</v>
      </c>
      <c r="AZ77" s="130">
        <f t="shared" si="209"/>
        <v>0</v>
      </c>
      <c r="BA77" s="143" t="s">
        <v>51</v>
      </c>
      <c r="BB77" s="130">
        <f t="shared" si="209"/>
        <v>0</v>
      </c>
      <c r="BC77" s="130">
        <f t="shared" si="209"/>
        <v>0</v>
      </c>
      <c r="BD77" s="143" t="s">
        <v>51</v>
      </c>
      <c r="BE77" s="130">
        <f t="shared" si="209"/>
        <v>0</v>
      </c>
      <c r="BF77" s="130">
        <f t="shared" si="209"/>
        <v>0</v>
      </c>
      <c r="BG77" s="143" t="s">
        <v>51</v>
      </c>
      <c r="BH77" s="130">
        <f t="shared" si="209"/>
        <v>0</v>
      </c>
      <c r="BI77" s="130">
        <f t="shared" ref="BI77:BJ77" si="211">BI78+BI81+BI84+BI87</f>
        <v>0</v>
      </c>
      <c r="BJ77" s="130">
        <f t="shared" si="211"/>
        <v>0</v>
      </c>
      <c r="BK77" s="143" t="s">
        <v>51</v>
      </c>
      <c r="BL77" s="143" t="s">
        <v>51</v>
      </c>
      <c r="BM77" s="168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</row>
    <row r="78" spans="1:206" s="75" customFormat="1" ht="18" customHeight="1">
      <c r="A78" s="430" t="s">
        <v>54</v>
      </c>
      <c r="B78" s="430"/>
      <c r="C78" s="148">
        <f t="shared" ref="C78:AA78" si="212">C79-C80</f>
        <v>0</v>
      </c>
      <c r="D78" s="148">
        <f>D79-D80</f>
        <v>0</v>
      </c>
      <c r="E78" s="148">
        <f t="shared" si="212"/>
        <v>0</v>
      </c>
      <c r="F78" s="148">
        <f t="shared" si="212"/>
        <v>0</v>
      </c>
      <c r="G78" s="148">
        <f t="shared" si="212"/>
        <v>0</v>
      </c>
      <c r="H78" s="148">
        <f t="shared" si="212"/>
        <v>0</v>
      </c>
      <c r="I78" s="148">
        <f t="shared" si="212"/>
        <v>0</v>
      </c>
      <c r="J78" s="148">
        <f t="shared" si="212"/>
        <v>0</v>
      </c>
      <c r="K78" s="148">
        <f t="shared" si="212"/>
        <v>0</v>
      </c>
      <c r="L78" s="148">
        <f t="shared" si="212"/>
        <v>0</v>
      </c>
      <c r="M78" s="148">
        <f t="shared" si="212"/>
        <v>0</v>
      </c>
      <c r="N78" s="148">
        <f t="shared" si="212"/>
        <v>0</v>
      </c>
      <c r="O78" s="148">
        <f t="shared" si="212"/>
        <v>0</v>
      </c>
      <c r="P78" s="148">
        <f t="shared" si="212"/>
        <v>0</v>
      </c>
      <c r="Q78" s="148">
        <f t="shared" si="212"/>
        <v>0</v>
      </c>
      <c r="R78" s="148">
        <f t="shared" si="212"/>
        <v>0</v>
      </c>
      <c r="S78" s="148">
        <f t="shared" si="212"/>
        <v>0</v>
      </c>
      <c r="T78" s="148">
        <f t="shared" si="212"/>
        <v>0</v>
      </c>
      <c r="U78" s="148">
        <f t="shared" si="212"/>
        <v>0</v>
      </c>
      <c r="V78" s="148">
        <f t="shared" si="212"/>
        <v>0</v>
      </c>
      <c r="W78" s="148">
        <f t="shared" si="212"/>
        <v>0</v>
      </c>
      <c r="X78" s="148">
        <f t="shared" si="212"/>
        <v>0</v>
      </c>
      <c r="Y78" s="148">
        <f t="shared" si="212"/>
        <v>0</v>
      </c>
      <c r="Z78" s="148">
        <f t="shared" si="212"/>
        <v>0</v>
      </c>
      <c r="AA78" s="148">
        <f t="shared" si="212"/>
        <v>0</v>
      </c>
      <c r="AB78" s="133">
        <f t="shared" ref="AB78:AB87" si="213">IF(D78=0,1,AA78/D78-1)</f>
        <v>1</v>
      </c>
      <c r="AC78" s="148">
        <f t="shared" ref="AC78:BH78" si="214">AC79-AC80</f>
        <v>0</v>
      </c>
      <c r="AD78" s="148">
        <f t="shared" si="214"/>
        <v>0</v>
      </c>
      <c r="AE78" s="148">
        <f t="shared" si="214"/>
        <v>0</v>
      </c>
      <c r="AF78" s="133">
        <f t="shared" ref="AF78:AF87" si="215">IF(G78=0,1,AE78/G78-1)</f>
        <v>1</v>
      </c>
      <c r="AG78" s="148">
        <f t="shared" ref="AG78" si="216">AG79-AG80</f>
        <v>0</v>
      </c>
      <c r="AH78" s="148">
        <f t="shared" si="214"/>
        <v>0</v>
      </c>
      <c r="AI78" s="133">
        <f t="shared" ref="AI78:AI87" si="217">IF(I78=0,1,AH78/I78-1)</f>
        <v>1</v>
      </c>
      <c r="AJ78" s="148">
        <f t="shared" si="214"/>
        <v>0</v>
      </c>
      <c r="AK78" s="148">
        <f t="shared" si="214"/>
        <v>0</v>
      </c>
      <c r="AL78" s="133">
        <f t="shared" ref="AL78:AL87" si="218">IF(K78=0,1,AK78/K78-1)</f>
        <v>1</v>
      </c>
      <c r="AM78" s="148">
        <f t="shared" si="214"/>
        <v>0</v>
      </c>
      <c r="AN78" s="148">
        <f t="shared" si="214"/>
        <v>0</v>
      </c>
      <c r="AO78" s="133">
        <f t="shared" ref="AO78:AO87" si="219">IF(M78=0,1,AN78/M78-1)</f>
        <v>1</v>
      </c>
      <c r="AP78" s="148">
        <f t="shared" si="214"/>
        <v>0</v>
      </c>
      <c r="AQ78" s="148">
        <f t="shared" si="214"/>
        <v>0</v>
      </c>
      <c r="AR78" s="133">
        <f t="shared" ref="AR78:AR87" si="220">IF(O78=0,1,AQ78/O78-1)</f>
        <v>1</v>
      </c>
      <c r="AS78" s="148">
        <f t="shared" si="214"/>
        <v>0</v>
      </c>
      <c r="AT78" s="148">
        <f t="shared" si="214"/>
        <v>0</v>
      </c>
      <c r="AU78" s="133">
        <f t="shared" ref="AU78:AU87" si="221">IF(Q78=0,1,AT78/Q78-1)</f>
        <v>1</v>
      </c>
      <c r="AV78" s="148">
        <f t="shared" si="214"/>
        <v>0</v>
      </c>
      <c r="AW78" s="148">
        <f t="shared" si="214"/>
        <v>0</v>
      </c>
      <c r="AX78" s="133">
        <f t="shared" ref="AX78:AX87" si="222">IF(S78=0,1,AW78/S78-1)</f>
        <v>1</v>
      </c>
      <c r="AY78" s="148">
        <f t="shared" si="214"/>
        <v>0</v>
      </c>
      <c r="AZ78" s="148">
        <f t="shared" si="214"/>
        <v>0</v>
      </c>
      <c r="BA78" s="133">
        <f t="shared" ref="BA78:BA87" si="223">IF(U78=0,1,AZ78/U78-1)</f>
        <v>1</v>
      </c>
      <c r="BB78" s="148">
        <f t="shared" si="214"/>
        <v>0</v>
      </c>
      <c r="BC78" s="148">
        <f t="shared" si="214"/>
        <v>0</v>
      </c>
      <c r="BD78" s="133">
        <f t="shared" ref="BD78:BD87" si="224">IF(W78=0,1,BC78/W78-1)</f>
        <v>1</v>
      </c>
      <c r="BE78" s="148">
        <f t="shared" si="214"/>
        <v>0</v>
      </c>
      <c r="BF78" s="148">
        <f t="shared" si="214"/>
        <v>0</v>
      </c>
      <c r="BG78" s="133">
        <f t="shared" ref="BG78:BG87" si="225">IF(Y78=0,1,BF78/Y78-1)</f>
        <v>1</v>
      </c>
      <c r="BH78" s="148">
        <f t="shared" si="214"/>
        <v>0</v>
      </c>
      <c r="BI78" s="148">
        <f t="shared" ref="BI78:BJ78" si="226">BI79-BI80</f>
        <v>0</v>
      </c>
      <c r="BJ78" s="148">
        <f t="shared" si="226"/>
        <v>0</v>
      </c>
      <c r="BK78" s="133">
        <f>IF($AA$78=0,1,BJ78/$AA$78-1)</f>
        <v>1</v>
      </c>
      <c r="BL78" s="133">
        <f t="shared" ref="BL78:BL87" si="227">IF($D78=0,1,BJ78/$D78-1)</f>
        <v>1</v>
      </c>
      <c r="BM78" s="169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</row>
    <row r="79" spans="1:206" s="66" customFormat="1" ht="18" customHeight="1">
      <c r="A79" s="429" t="s">
        <v>144</v>
      </c>
      <c r="B79" s="429"/>
      <c r="C79" s="29"/>
      <c r="D79" s="134">
        <f>E79+F79+H79+J79+L79+N79+P79+R79+T79+V79+X79+Z79</f>
        <v>0</v>
      </c>
      <c r="E79" s="29"/>
      <c r="F79" s="29"/>
      <c r="G79" s="137">
        <f>E79+F79</f>
        <v>0</v>
      </c>
      <c r="H79" s="29"/>
      <c r="I79" s="137">
        <f>G79+H79</f>
        <v>0</v>
      </c>
      <c r="J79" s="29"/>
      <c r="K79" s="137">
        <f>I79+J79</f>
        <v>0</v>
      </c>
      <c r="L79" s="29"/>
      <c r="M79" s="137">
        <f>K79+L79</f>
        <v>0</v>
      </c>
      <c r="N79" s="29"/>
      <c r="O79" s="137">
        <f>M79+N79</f>
        <v>0</v>
      </c>
      <c r="P79" s="29"/>
      <c r="Q79" s="137">
        <f>O79+P79</f>
        <v>0</v>
      </c>
      <c r="R79" s="29"/>
      <c r="S79" s="137">
        <f>Q79+R79</f>
        <v>0</v>
      </c>
      <c r="T79" s="29"/>
      <c r="U79" s="137">
        <f>S79+T79</f>
        <v>0</v>
      </c>
      <c r="V79" s="29"/>
      <c r="W79" s="137">
        <f>U79+V79</f>
        <v>0</v>
      </c>
      <c r="X79" s="29"/>
      <c r="Y79" s="137">
        <f>W79+X79</f>
        <v>0</v>
      </c>
      <c r="Z79" s="29"/>
      <c r="AA79" s="29"/>
      <c r="AB79" s="135">
        <f t="shared" si="213"/>
        <v>1</v>
      </c>
      <c r="AC79" s="29"/>
      <c r="AD79" s="29"/>
      <c r="AE79" s="137">
        <f>AC79+AD79</f>
        <v>0</v>
      </c>
      <c r="AF79" s="135">
        <f t="shared" si="215"/>
        <v>1</v>
      </c>
      <c r="AG79" s="29"/>
      <c r="AH79" s="137">
        <f>AE79+AG79</f>
        <v>0</v>
      </c>
      <c r="AI79" s="135">
        <f t="shared" si="217"/>
        <v>1</v>
      </c>
      <c r="AJ79" s="29"/>
      <c r="AK79" s="137">
        <f>AH79+AJ79</f>
        <v>0</v>
      </c>
      <c r="AL79" s="135">
        <f t="shared" si="218"/>
        <v>1</v>
      </c>
      <c r="AM79" s="29"/>
      <c r="AN79" s="137">
        <f>AK79+AM79</f>
        <v>0</v>
      </c>
      <c r="AO79" s="135">
        <f t="shared" si="219"/>
        <v>1</v>
      </c>
      <c r="AP79" s="29"/>
      <c r="AQ79" s="137">
        <f>AN79+AP79</f>
        <v>0</v>
      </c>
      <c r="AR79" s="135">
        <f t="shared" si="220"/>
        <v>1</v>
      </c>
      <c r="AS79" s="29"/>
      <c r="AT79" s="137">
        <f>AQ79+AS79</f>
        <v>0</v>
      </c>
      <c r="AU79" s="135">
        <f t="shared" si="221"/>
        <v>1</v>
      </c>
      <c r="AV79" s="29"/>
      <c r="AW79" s="137">
        <f>AT79+AV79</f>
        <v>0</v>
      </c>
      <c r="AX79" s="135">
        <f t="shared" si="222"/>
        <v>1</v>
      </c>
      <c r="AY79" s="29"/>
      <c r="AZ79" s="137">
        <f>AW79+AY79</f>
        <v>0</v>
      </c>
      <c r="BA79" s="135">
        <f t="shared" si="223"/>
        <v>1</v>
      </c>
      <c r="BB79" s="29"/>
      <c r="BC79" s="137">
        <f>AZ79+BB79</f>
        <v>0</v>
      </c>
      <c r="BD79" s="135">
        <f t="shared" si="224"/>
        <v>1</v>
      </c>
      <c r="BE79" s="29"/>
      <c r="BF79" s="137">
        <f>BC79+BE79</f>
        <v>0</v>
      </c>
      <c r="BG79" s="135">
        <f t="shared" si="225"/>
        <v>1</v>
      </c>
      <c r="BH79" s="137"/>
      <c r="BI79" s="29"/>
      <c r="BJ79" s="29"/>
      <c r="BK79" s="135">
        <f>IF($AA$79=0,1,BJ79/$AA$79-1)</f>
        <v>1</v>
      </c>
      <c r="BL79" s="135">
        <f t="shared" si="227"/>
        <v>1</v>
      </c>
      <c r="BM79" s="167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</row>
    <row r="80" spans="1:206" s="66" customFormat="1" ht="18" customHeight="1">
      <c r="A80" s="429" t="s">
        <v>145</v>
      </c>
      <c r="B80" s="429"/>
      <c r="C80" s="29"/>
      <c r="D80" s="134">
        <f>E80+F80+H80+J80+L80+N80+P80+R80+T80+V80+X80+Z80</f>
        <v>0</v>
      </c>
      <c r="E80" s="29"/>
      <c r="F80" s="29"/>
      <c r="G80" s="137">
        <f>E80+F80</f>
        <v>0</v>
      </c>
      <c r="H80" s="29"/>
      <c r="I80" s="137">
        <f>G80+H80</f>
        <v>0</v>
      </c>
      <c r="J80" s="29"/>
      <c r="K80" s="137">
        <f>I80+J80</f>
        <v>0</v>
      </c>
      <c r="L80" s="29"/>
      <c r="M80" s="137">
        <f>K80+L80</f>
        <v>0</v>
      </c>
      <c r="N80" s="29"/>
      <c r="O80" s="137">
        <f>M80+N80</f>
        <v>0</v>
      </c>
      <c r="P80" s="29"/>
      <c r="Q80" s="137">
        <f>O80+P80</f>
        <v>0</v>
      </c>
      <c r="R80" s="29"/>
      <c r="S80" s="137">
        <f>Q80+R80</f>
        <v>0</v>
      </c>
      <c r="T80" s="29"/>
      <c r="U80" s="137">
        <f>S80+T80</f>
        <v>0</v>
      </c>
      <c r="V80" s="29"/>
      <c r="W80" s="137">
        <f>U80+V80</f>
        <v>0</v>
      </c>
      <c r="X80" s="29"/>
      <c r="Y80" s="137">
        <f>W80+X80</f>
        <v>0</v>
      </c>
      <c r="Z80" s="29"/>
      <c r="AA80" s="29"/>
      <c r="AB80" s="135">
        <f t="shared" si="213"/>
        <v>1</v>
      </c>
      <c r="AC80" s="29"/>
      <c r="AD80" s="29"/>
      <c r="AE80" s="137">
        <f>AC80+AD80</f>
        <v>0</v>
      </c>
      <c r="AF80" s="135">
        <f t="shared" si="215"/>
        <v>1</v>
      </c>
      <c r="AG80" s="29"/>
      <c r="AH80" s="137">
        <f>AE80+AG80</f>
        <v>0</v>
      </c>
      <c r="AI80" s="135">
        <f t="shared" si="217"/>
        <v>1</v>
      </c>
      <c r="AJ80" s="29"/>
      <c r="AK80" s="137">
        <f>AH80+AJ80</f>
        <v>0</v>
      </c>
      <c r="AL80" s="135">
        <f t="shared" si="218"/>
        <v>1</v>
      </c>
      <c r="AM80" s="29"/>
      <c r="AN80" s="137">
        <f>AK80+AM80</f>
        <v>0</v>
      </c>
      <c r="AO80" s="135">
        <f t="shared" si="219"/>
        <v>1</v>
      </c>
      <c r="AP80" s="29"/>
      <c r="AQ80" s="137">
        <f>AN80+AP80</f>
        <v>0</v>
      </c>
      <c r="AR80" s="135">
        <f t="shared" si="220"/>
        <v>1</v>
      </c>
      <c r="AS80" s="29"/>
      <c r="AT80" s="137">
        <f>AQ80+AS80</f>
        <v>0</v>
      </c>
      <c r="AU80" s="135">
        <f t="shared" si="221"/>
        <v>1</v>
      </c>
      <c r="AV80" s="29"/>
      <c r="AW80" s="137">
        <f>AT80+AV80</f>
        <v>0</v>
      </c>
      <c r="AX80" s="135">
        <f t="shared" si="222"/>
        <v>1</v>
      </c>
      <c r="AY80" s="29"/>
      <c r="AZ80" s="137">
        <f>AW80+AY80</f>
        <v>0</v>
      </c>
      <c r="BA80" s="135">
        <f t="shared" si="223"/>
        <v>1</v>
      </c>
      <c r="BB80" s="29"/>
      <c r="BC80" s="137">
        <f>AZ80+BB80</f>
        <v>0</v>
      </c>
      <c r="BD80" s="135">
        <f t="shared" si="224"/>
        <v>1</v>
      </c>
      <c r="BE80" s="29"/>
      <c r="BF80" s="137">
        <f>BC80+BE80</f>
        <v>0</v>
      </c>
      <c r="BG80" s="135">
        <f t="shared" si="225"/>
        <v>1</v>
      </c>
      <c r="BH80" s="137"/>
      <c r="BI80" s="29"/>
      <c r="BJ80" s="29"/>
      <c r="BK80" s="135">
        <f>IF($AA$80=0,1,BJ80/$AA$80-1)</f>
        <v>1</v>
      </c>
      <c r="BL80" s="135">
        <f t="shared" si="227"/>
        <v>1</v>
      </c>
      <c r="BM80" s="167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</row>
    <row r="81" spans="1:206" s="79" customFormat="1" ht="18" customHeight="1">
      <c r="A81" s="430" t="s">
        <v>57</v>
      </c>
      <c r="B81" s="430"/>
      <c r="C81" s="148">
        <f>C82-C83</f>
        <v>0</v>
      </c>
      <c r="D81" s="148">
        <f t="shared" ref="D81:AA81" si="228">D82-D83</f>
        <v>0</v>
      </c>
      <c r="E81" s="148">
        <f t="shared" si="228"/>
        <v>0</v>
      </c>
      <c r="F81" s="148">
        <f t="shared" si="228"/>
        <v>0</v>
      </c>
      <c r="G81" s="148">
        <f t="shared" si="228"/>
        <v>0</v>
      </c>
      <c r="H81" s="148">
        <f t="shared" si="228"/>
        <v>0</v>
      </c>
      <c r="I81" s="148">
        <f t="shared" si="228"/>
        <v>0</v>
      </c>
      <c r="J81" s="148">
        <f t="shared" si="228"/>
        <v>0</v>
      </c>
      <c r="K81" s="148">
        <f t="shared" si="228"/>
        <v>0</v>
      </c>
      <c r="L81" s="148">
        <f t="shared" si="228"/>
        <v>0</v>
      </c>
      <c r="M81" s="148">
        <f t="shared" si="228"/>
        <v>0</v>
      </c>
      <c r="N81" s="148">
        <f t="shared" si="228"/>
        <v>0</v>
      </c>
      <c r="O81" s="148">
        <f t="shared" si="228"/>
        <v>0</v>
      </c>
      <c r="P81" s="148">
        <f t="shared" si="228"/>
        <v>0</v>
      </c>
      <c r="Q81" s="148">
        <f t="shared" si="228"/>
        <v>0</v>
      </c>
      <c r="R81" s="148">
        <f t="shared" si="228"/>
        <v>0</v>
      </c>
      <c r="S81" s="148">
        <f t="shared" si="228"/>
        <v>0</v>
      </c>
      <c r="T81" s="148">
        <f t="shared" si="228"/>
        <v>0</v>
      </c>
      <c r="U81" s="148">
        <f t="shared" si="228"/>
        <v>0</v>
      </c>
      <c r="V81" s="148">
        <f t="shared" si="228"/>
        <v>0</v>
      </c>
      <c r="W81" s="148">
        <f t="shared" si="228"/>
        <v>0</v>
      </c>
      <c r="X81" s="148">
        <f t="shared" si="228"/>
        <v>0</v>
      </c>
      <c r="Y81" s="148">
        <f t="shared" si="228"/>
        <v>0</v>
      </c>
      <c r="Z81" s="148">
        <f t="shared" si="228"/>
        <v>0</v>
      </c>
      <c r="AA81" s="148">
        <f t="shared" si="228"/>
        <v>0</v>
      </c>
      <c r="AB81" s="133">
        <f t="shared" si="213"/>
        <v>1</v>
      </c>
      <c r="AC81" s="148">
        <f t="shared" ref="AC81:BH81" si="229">AC82-AC83</f>
        <v>0</v>
      </c>
      <c r="AD81" s="148">
        <f t="shared" si="229"/>
        <v>0</v>
      </c>
      <c r="AE81" s="148">
        <f t="shared" si="229"/>
        <v>0</v>
      </c>
      <c r="AF81" s="133">
        <f t="shared" si="215"/>
        <v>1</v>
      </c>
      <c r="AG81" s="148">
        <f t="shared" ref="AG81" si="230">AG82-AG83</f>
        <v>0</v>
      </c>
      <c r="AH81" s="148">
        <f t="shared" si="229"/>
        <v>0</v>
      </c>
      <c r="AI81" s="133">
        <f t="shared" si="217"/>
        <v>1</v>
      </c>
      <c r="AJ81" s="148">
        <f t="shared" si="229"/>
        <v>0</v>
      </c>
      <c r="AK81" s="148">
        <f t="shared" si="229"/>
        <v>0</v>
      </c>
      <c r="AL81" s="133">
        <f t="shared" si="218"/>
        <v>1</v>
      </c>
      <c r="AM81" s="148">
        <f t="shared" si="229"/>
        <v>0</v>
      </c>
      <c r="AN81" s="148">
        <f t="shared" si="229"/>
        <v>0</v>
      </c>
      <c r="AO81" s="133">
        <f t="shared" si="219"/>
        <v>1</v>
      </c>
      <c r="AP81" s="148">
        <f t="shared" si="229"/>
        <v>0</v>
      </c>
      <c r="AQ81" s="148">
        <f t="shared" si="229"/>
        <v>0</v>
      </c>
      <c r="AR81" s="133">
        <f t="shared" si="220"/>
        <v>1</v>
      </c>
      <c r="AS81" s="148">
        <f t="shared" si="229"/>
        <v>0</v>
      </c>
      <c r="AT81" s="148">
        <f t="shared" si="229"/>
        <v>0</v>
      </c>
      <c r="AU81" s="133">
        <f t="shared" si="221"/>
        <v>1</v>
      </c>
      <c r="AV81" s="148">
        <f t="shared" si="229"/>
        <v>0</v>
      </c>
      <c r="AW81" s="148">
        <f t="shared" si="229"/>
        <v>0</v>
      </c>
      <c r="AX81" s="133">
        <f t="shared" si="222"/>
        <v>1</v>
      </c>
      <c r="AY81" s="148">
        <f t="shared" si="229"/>
        <v>0</v>
      </c>
      <c r="AZ81" s="148">
        <f t="shared" si="229"/>
        <v>0</v>
      </c>
      <c r="BA81" s="133">
        <f t="shared" si="223"/>
        <v>1</v>
      </c>
      <c r="BB81" s="148">
        <f t="shared" si="229"/>
        <v>0</v>
      </c>
      <c r="BC81" s="148">
        <f t="shared" si="229"/>
        <v>0</v>
      </c>
      <c r="BD81" s="133">
        <f t="shared" si="224"/>
        <v>1</v>
      </c>
      <c r="BE81" s="148">
        <f t="shared" si="229"/>
        <v>0</v>
      </c>
      <c r="BF81" s="148">
        <f t="shared" si="229"/>
        <v>0</v>
      </c>
      <c r="BG81" s="133">
        <f t="shared" si="225"/>
        <v>1</v>
      </c>
      <c r="BH81" s="148">
        <f t="shared" si="229"/>
        <v>0</v>
      </c>
      <c r="BI81" s="148">
        <f t="shared" ref="BI81:BJ81" si="231">BI82-BI83</f>
        <v>0</v>
      </c>
      <c r="BJ81" s="148">
        <f t="shared" si="231"/>
        <v>0</v>
      </c>
      <c r="BK81" s="133">
        <f>IF($AA$81=0,1,BJ81/$AA$81-1)</f>
        <v>1</v>
      </c>
      <c r="BL81" s="133">
        <f t="shared" si="227"/>
        <v>1</v>
      </c>
      <c r="BM81" s="169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</row>
    <row r="82" spans="1:206" s="64" customFormat="1" ht="18" customHeight="1">
      <c r="A82" s="429" t="s">
        <v>144</v>
      </c>
      <c r="B82" s="429"/>
      <c r="C82" s="29"/>
      <c r="D82" s="134">
        <f>E82+F82+H82+J82+L82+N82+P82+R82+T82+V82+X82+Z82</f>
        <v>0</v>
      </c>
      <c r="E82" s="29"/>
      <c r="F82" s="29"/>
      <c r="G82" s="137">
        <f>E82+F82</f>
        <v>0</v>
      </c>
      <c r="H82" s="29"/>
      <c r="I82" s="137">
        <f>G82+H82</f>
        <v>0</v>
      </c>
      <c r="J82" s="29"/>
      <c r="K82" s="137">
        <f>I82+J82</f>
        <v>0</v>
      </c>
      <c r="L82" s="29"/>
      <c r="M82" s="137">
        <f>K82+L82</f>
        <v>0</v>
      </c>
      <c r="N82" s="29"/>
      <c r="O82" s="137">
        <f>M82+N82</f>
        <v>0</v>
      </c>
      <c r="P82" s="29"/>
      <c r="Q82" s="137">
        <f>O82+P82</f>
        <v>0</v>
      </c>
      <c r="R82" s="29"/>
      <c r="S82" s="137">
        <f>Q82+R82</f>
        <v>0</v>
      </c>
      <c r="T82" s="29"/>
      <c r="U82" s="137">
        <f>S82+T82</f>
        <v>0</v>
      </c>
      <c r="V82" s="29"/>
      <c r="W82" s="137">
        <f>U82+V82</f>
        <v>0</v>
      </c>
      <c r="X82" s="29"/>
      <c r="Y82" s="137">
        <f>W82+X82</f>
        <v>0</v>
      </c>
      <c r="Z82" s="29"/>
      <c r="AA82" s="29"/>
      <c r="AB82" s="135">
        <f t="shared" si="213"/>
        <v>1</v>
      </c>
      <c r="AC82" s="29"/>
      <c r="AD82" s="29"/>
      <c r="AE82" s="137">
        <f>AC82+AD82</f>
        <v>0</v>
      </c>
      <c r="AF82" s="135">
        <f t="shared" si="215"/>
        <v>1</v>
      </c>
      <c r="AG82" s="29"/>
      <c r="AH82" s="137">
        <f>AE82+AG82</f>
        <v>0</v>
      </c>
      <c r="AI82" s="135">
        <f t="shared" si="217"/>
        <v>1</v>
      </c>
      <c r="AJ82" s="29"/>
      <c r="AK82" s="137">
        <f>AH82+AJ82</f>
        <v>0</v>
      </c>
      <c r="AL82" s="135">
        <f t="shared" si="218"/>
        <v>1</v>
      </c>
      <c r="AM82" s="29"/>
      <c r="AN82" s="137">
        <f>AK82+AM82</f>
        <v>0</v>
      </c>
      <c r="AO82" s="135">
        <f t="shared" si="219"/>
        <v>1</v>
      </c>
      <c r="AP82" s="29"/>
      <c r="AQ82" s="137">
        <f>AN82+AP82</f>
        <v>0</v>
      </c>
      <c r="AR82" s="135">
        <f t="shared" si="220"/>
        <v>1</v>
      </c>
      <c r="AS82" s="29"/>
      <c r="AT82" s="137">
        <f>AQ82+AS82</f>
        <v>0</v>
      </c>
      <c r="AU82" s="135">
        <f t="shared" si="221"/>
        <v>1</v>
      </c>
      <c r="AV82" s="29"/>
      <c r="AW82" s="137">
        <f>AT82+AV82</f>
        <v>0</v>
      </c>
      <c r="AX82" s="135">
        <f t="shared" si="222"/>
        <v>1</v>
      </c>
      <c r="AY82" s="29"/>
      <c r="AZ82" s="137">
        <f>AW82+AY82</f>
        <v>0</v>
      </c>
      <c r="BA82" s="135">
        <f t="shared" si="223"/>
        <v>1</v>
      </c>
      <c r="BB82" s="29"/>
      <c r="BC82" s="137">
        <f>AZ82+BB82</f>
        <v>0</v>
      </c>
      <c r="BD82" s="135">
        <f t="shared" si="224"/>
        <v>1</v>
      </c>
      <c r="BE82" s="29"/>
      <c r="BF82" s="137">
        <f>BC82+BE82</f>
        <v>0</v>
      </c>
      <c r="BG82" s="135">
        <f t="shared" si="225"/>
        <v>1</v>
      </c>
      <c r="BH82" s="137"/>
      <c r="BI82" s="29"/>
      <c r="BJ82" s="29"/>
      <c r="BK82" s="135">
        <f>IF($AA$82=0,1,BJ82/$AA$82-1)</f>
        <v>1</v>
      </c>
      <c r="BL82" s="135">
        <f t="shared" si="227"/>
        <v>1</v>
      </c>
      <c r="BM82" s="167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</row>
    <row r="83" spans="1:206" s="64" customFormat="1" ht="18" customHeight="1">
      <c r="A83" s="429" t="s">
        <v>146</v>
      </c>
      <c r="B83" s="429"/>
      <c r="C83" s="29"/>
      <c r="D83" s="134">
        <f>E83+F83+H83+J83+L83+N83+P83+R83+T83+V83+X83+Z83</f>
        <v>0</v>
      </c>
      <c r="E83" s="29"/>
      <c r="F83" s="29"/>
      <c r="G83" s="137">
        <f>E83+F83</f>
        <v>0</v>
      </c>
      <c r="H83" s="29"/>
      <c r="I83" s="137">
        <f>G83+H83</f>
        <v>0</v>
      </c>
      <c r="J83" s="29"/>
      <c r="K83" s="137">
        <f>I83+J83</f>
        <v>0</v>
      </c>
      <c r="L83" s="29"/>
      <c r="M83" s="137">
        <f>K83+L83</f>
        <v>0</v>
      </c>
      <c r="N83" s="29"/>
      <c r="O83" s="137">
        <f>M83+N83</f>
        <v>0</v>
      </c>
      <c r="P83" s="29"/>
      <c r="Q83" s="137">
        <f>O83+P83</f>
        <v>0</v>
      </c>
      <c r="R83" s="29"/>
      <c r="S83" s="137">
        <f>Q83+R83</f>
        <v>0</v>
      </c>
      <c r="T83" s="29"/>
      <c r="U83" s="137">
        <f>S83+T83</f>
        <v>0</v>
      </c>
      <c r="V83" s="29"/>
      <c r="W83" s="137">
        <f>U83+V83</f>
        <v>0</v>
      </c>
      <c r="X83" s="29"/>
      <c r="Y83" s="137">
        <f>W83+X83</f>
        <v>0</v>
      </c>
      <c r="Z83" s="29"/>
      <c r="AA83" s="29"/>
      <c r="AB83" s="135">
        <f t="shared" si="213"/>
        <v>1</v>
      </c>
      <c r="AC83" s="29"/>
      <c r="AD83" s="29"/>
      <c r="AE83" s="137">
        <f>AC83+AD83</f>
        <v>0</v>
      </c>
      <c r="AF83" s="135">
        <f t="shared" si="215"/>
        <v>1</v>
      </c>
      <c r="AG83" s="29"/>
      <c r="AH83" s="137">
        <f>AE83+AG83</f>
        <v>0</v>
      </c>
      <c r="AI83" s="135">
        <f t="shared" si="217"/>
        <v>1</v>
      </c>
      <c r="AJ83" s="29"/>
      <c r="AK83" s="137">
        <f>AH83+AJ83</f>
        <v>0</v>
      </c>
      <c r="AL83" s="135">
        <f t="shared" si="218"/>
        <v>1</v>
      </c>
      <c r="AM83" s="29"/>
      <c r="AN83" s="137">
        <f>AK83+AM83</f>
        <v>0</v>
      </c>
      <c r="AO83" s="135">
        <f t="shared" si="219"/>
        <v>1</v>
      </c>
      <c r="AP83" s="29"/>
      <c r="AQ83" s="137">
        <f>AN83+AP83</f>
        <v>0</v>
      </c>
      <c r="AR83" s="135">
        <f t="shared" si="220"/>
        <v>1</v>
      </c>
      <c r="AS83" s="29"/>
      <c r="AT83" s="137">
        <f>AQ83+AS83</f>
        <v>0</v>
      </c>
      <c r="AU83" s="135">
        <f t="shared" si="221"/>
        <v>1</v>
      </c>
      <c r="AV83" s="29"/>
      <c r="AW83" s="137">
        <f>AT83+AV83</f>
        <v>0</v>
      </c>
      <c r="AX83" s="135">
        <f t="shared" si="222"/>
        <v>1</v>
      </c>
      <c r="AY83" s="29"/>
      <c r="AZ83" s="137">
        <f>AW83+AY83</f>
        <v>0</v>
      </c>
      <c r="BA83" s="135">
        <f t="shared" si="223"/>
        <v>1</v>
      </c>
      <c r="BB83" s="29"/>
      <c r="BC83" s="137">
        <f>AZ83+BB83</f>
        <v>0</v>
      </c>
      <c r="BD83" s="135">
        <f t="shared" si="224"/>
        <v>1</v>
      </c>
      <c r="BE83" s="29"/>
      <c r="BF83" s="137">
        <f>BC83+BE83</f>
        <v>0</v>
      </c>
      <c r="BG83" s="135">
        <f t="shared" si="225"/>
        <v>1</v>
      </c>
      <c r="BH83" s="137"/>
      <c r="BI83" s="29"/>
      <c r="BJ83" s="29"/>
      <c r="BK83" s="135">
        <f>IF($AA$83=0,1,BJ83/$AA$83-1)</f>
        <v>1</v>
      </c>
      <c r="BL83" s="135">
        <f t="shared" si="227"/>
        <v>1</v>
      </c>
      <c r="BM83" s="167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</row>
    <row r="84" spans="1:206" s="75" customFormat="1" ht="18" customHeight="1">
      <c r="A84" s="430" t="s">
        <v>58</v>
      </c>
      <c r="B84" s="430"/>
      <c r="C84" s="148">
        <f t="shared" ref="C84:AA84" si="232">C85-C86</f>
        <v>0</v>
      </c>
      <c r="D84" s="148">
        <f t="shared" si="232"/>
        <v>0</v>
      </c>
      <c r="E84" s="148">
        <f t="shared" si="232"/>
        <v>0</v>
      </c>
      <c r="F84" s="148">
        <f t="shared" si="232"/>
        <v>0</v>
      </c>
      <c r="G84" s="148">
        <f t="shared" si="232"/>
        <v>0</v>
      </c>
      <c r="H84" s="148">
        <f t="shared" si="232"/>
        <v>0</v>
      </c>
      <c r="I84" s="148">
        <f t="shared" si="232"/>
        <v>0</v>
      </c>
      <c r="J84" s="148">
        <f t="shared" si="232"/>
        <v>0</v>
      </c>
      <c r="K84" s="148">
        <f t="shared" si="232"/>
        <v>0</v>
      </c>
      <c r="L84" s="148">
        <f t="shared" si="232"/>
        <v>0</v>
      </c>
      <c r="M84" s="148">
        <f t="shared" si="232"/>
        <v>0</v>
      </c>
      <c r="N84" s="148">
        <f t="shared" si="232"/>
        <v>0</v>
      </c>
      <c r="O84" s="148">
        <f t="shared" si="232"/>
        <v>0</v>
      </c>
      <c r="P84" s="148">
        <f t="shared" si="232"/>
        <v>0</v>
      </c>
      <c r="Q84" s="148">
        <f t="shared" si="232"/>
        <v>0</v>
      </c>
      <c r="R84" s="148">
        <f t="shared" si="232"/>
        <v>0</v>
      </c>
      <c r="S84" s="148">
        <f t="shared" si="232"/>
        <v>0</v>
      </c>
      <c r="T84" s="148">
        <f t="shared" si="232"/>
        <v>0</v>
      </c>
      <c r="U84" s="148">
        <f t="shared" si="232"/>
        <v>0</v>
      </c>
      <c r="V84" s="148">
        <f t="shared" si="232"/>
        <v>0</v>
      </c>
      <c r="W84" s="148">
        <f t="shared" si="232"/>
        <v>0</v>
      </c>
      <c r="X84" s="148">
        <f t="shared" si="232"/>
        <v>0</v>
      </c>
      <c r="Y84" s="148">
        <f t="shared" si="232"/>
        <v>0</v>
      </c>
      <c r="Z84" s="148">
        <f t="shared" si="232"/>
        <v>0</v>
      </c>
      <c r="AA84" s="148">
        <f t="shared" si="232"/>
        <v>0</v>
      </c>
      <c r="AB84" s="133">
        <f t="shared" si="213"/>
        <v>1</v>
      </c>
      <c r="AC84" s="148">
        <f t="shared" ref="AC84:BH84" si="233">AC85-AC86</f>
        <v>0</v>
      </c>
      <c r="AD84" s="148">
        <f t="shared" si="233"/>
        <v>0</v>
      </c>
      <c r="AE84" s="148">
        <f t="shared" si="233"/>
        <v>0</v>
      </c>
      <c r="AF84" s="133">
        <f t="shared" si="215"/>
        <v>1</v>
      </c>
      <c r="AG84" s="148">
        <f t="shared" ref="AG84" si="234">AG85-AG86</f>
        <v>0</v>
      </c>
      <c r="AH84" s="148">
        <f t="shared" si="233"/>
        <v>0</v>
      </c>
      <c r="AI84" s="133">
        <f t="shared" si="217"/>
        <v>1</v>
      </c>
      <c r="AJ84" s="148">
        <f t="shared" si="233"/>
        <v>0</v>
      </c>
      <c r="AK84" s="148">
        <f t="shared" si="233"/>
        <v>0</v>
      </c>
      <c r="AL84" s="133">
        <f t="shared" si="218"/>
        <v>1</v>
      </c>
      <c r="AM84" s="148">
        <f t="shared" si="233"/>
        <v>0</v>
      </c>
      <c r="AN84" s="148">
        <f t="shared" si="233"/>
        <v>0</v>
      </c>
      <c r="AO84" s="133">
        <f t="shared" si="219"/>
        <v>1</v>
      </c>
      <c r="AP84" s="148">
        <f t="shared" si="233"/>
        <v>0</v>
      </c>
      <c r="AQ84" s="148">
        <f t="shared" si="233"/>
        <v>0</v>
      </c>
      <c r="AR84" s="133">
        <f t="shared" si="220"/>
        <v>1</v>
      </c>
      <c r="AS84" s="148">
        <f t="shared" si="233"/>
        <v>0</v>
      </c>
      <c r="AT84" s="148">
        <f t="shared" si="233"/>
        <v>0</v>
      </c>
      <c r="AU84" s="133">
        <f t="shared" si="221"/>
        <v>1</v>
      </c>
      <c r="AV84" s="148">
        <f t="shared" si="233"/>
        <v>0</v>
      </c>
      <c r="AW84" s="148">
        <f t="shared" si="233"/>
        <v>0</v>
      </c>
      <c r="AX84" s="133">
        <f t="shared" si="222"/>
        <v>1</v>
      </c>
      <c r="AY84" s="148">
        <f t="shared" si="233"/>
        <v>0</v>
      </c>
      <c r="AZ84" s="148">
        <f t="shared" si="233"/>
        <v>0</v>
      </c>
      <c r="BA84" s="133">
        <f t="shared" si="223"/>
        <v>1</v>
      </c>
      <c r="BB84" s="148">
        <f t="shared" si="233"/>
        <v>0</v>
      </c>
      <c r="BC84" s="148">
        <f t="shared" si="233"/>
        <v>0</v>
      </c>
      <c r="BD84" s="133">
        <f t="shared" si="224"/>
        <v>1</v>
      </c>
      <c r="BE84" s="148">
        <f t="shared" si="233"/>
        <v>0</v>
      </c>
      <c r="BF84" s="148">
        <f t="shared" si="233"/>
        <v>0</v>
      </c>
      <c r="BG84" s="133">
        <f t="shared" si="225"/>
        <v>1</v>
      </c>
      <c r="BH84" s="148">
        <f t="shared" si="233"/>
        <v>0</v>
      </c>
      <c r="BI84" s="148">
        <f t="shared" ref="BI84:BJ84" si="235">BI85-BI86</f>
        <v>0</v>
      </c>
      <c r="BJ84" s="148">
        <f t="shared" si="235"/>
        <v>0</v>
      </c>
      <c r="BK84" s="133">
        <f>IF($AA$84=0,1,BJ84/$AA$84-1)</f>
        <v>1</v>
      </c>
      <c r="BL84" s="133">
        <f t="shared" si="227"/>
        <v>1</v>
      </c>
      <c r="BM84" s="169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</row>
    <row r="85" spans="1:206" s="66" customFormat="1" ht="18" customHeight="1">
      <c r="A85" s="429" t="s">
        <v>147</v>
      </c>
      <c r="B85" s="429"/>
      <c r="C85" s="29"/>
      <c r="D85" s="134">
        <f>E85+F85+H85+J85+L85+N85+P85+R85+T85+V85+X85+Z85</f>
        <v>0</v>
      </c>
      <c r="E85" s="29"/>
      <c r="F85" s="29"/>
      <c r="G85" s="137">
        <f>E85+F85</f>
        <v>0</v>
      </c>
      <c r="H85" s="29"/>
      <c r="I85" s="137">
        <f>G85+H85</f>
        <v>0</v>
      </c>
      <c r="J85" s="29"/>
      <c r="K85" s="137">
        <f>I85+J85</f>
        <v>0</v>
      </c>
      <c r="L85" s="29"/>
      <c r="M85" s="137">
        <f>K85+L85</f>
        <v>0</v>
      </c>
      <c r="N85" s="29"/>
      <c r="O85" s="137">
        <f>M85+N85</f>
        <v>0</v>
      </c>
      <c r="P85" s="29"/>
      <c r="Q85" s="137">
        <f>O85+P85</f>
        <v>0</v>
      </c>
      <c r="R85" s="29"/>
      <c r="S85" s="137">
        <f>Q85+R85</f>
        <v>0</v>
      </c>
      <c r="T85" s="29"/>
      <c r="U85" s="137">
        <f>S85+T85</f>
        <v>0</v>
      </c>
      <c r="V85" s="29"/>
      <c r="W85" s="137">
        <f>U85+V85</f>
        <v>0</v>
      </c>
      <c r="X85" s="29"/>
      <c r="Y85" s="137">
        <f>W85+X85</f>
        <v>0</v>
      </c>
      <c r="Z85" s="29"/>
      <c r="AA85" s="29"/>
      <c r="AB85" s="135">
        <f t="shared" si="213"/>
        <v>1</v>
      </c>
      <c r="AC85" s="29"/>
      <c r="AD85" s="29"/>
      <c r="AE85" s="137">
        <f>AC85+AD85</f>
        <v>0</v>
      </c>
      <c r="AF85" s="135">
        <f t="shared" si="215"/>
        <v>1</v>
      </c>
      <c r="AG85" s="29"/>
      <c r="AH85" s="137">
        <f>AE85+AG85</f>
        <v>0</v>
      </c>
      <c r="AI85" s="135">
        <f t="shared" si="217"/>
        <v>1</v>
      </c>
      <c r="AJ85" s="29"/>
      <c r="AK85" s="137">
        <f>AH85+AJ85</f>
        <v>0</v>
      </c>
      <c r="AL85" s="135">
        <f t="shared" si="218"/>
        <v>1</v>
      </c>
      <c r="AM85" s="29"/>
      <c r="AN85" s="137">
        <f>AK85+AM85</f>
        <v>0</v>
      </c>
      <c r="AO85" s="135">
        <f t="shared" si="219"/>
        <v>1</v>
      </c>
      <c r="AP85" s="29"/>
      <c r="AQ85" s="137">
        <f>AN85+AP85</f>
        <v>0</v>
      </c>
      <c r="AR85" s="135">
        <f t="shared" si="220"/>
        <v>1</v>
      </c>
      <c r="AS85" s="29"/>
      <c r="AT85" s="137">
        <f>AQ85+AS85</f>
        <v>0</v>
      </c>
      <c r="AU85" s="135">
        <f t="shared" si="221"/>
        <v>1</v>
      </c>
      <c r="AV85" s="29"/>
      <c r="AW85" s="137">
        <f>AT85+AV85</f>
        <v>0</v>
      </c>
      <c r="AX85" s="135">
        <f t="shared" si="222"/>
        <v>1</v>
      </c>
      <c r="AY85" s="29"/>
      <c r="AZ85" s="137">
        <f>AW85+AY85</f>
        <v>0</v>
      </c>
      <c r="BA85" s="135">
        <f t="shared" si="223"/>
        <v>1</v>
      </c>
      <c r="BB85" s="29"/>
      <c r="BC85" s="137">
        <f>AZ85+BB85</f>
        <v>0</v>
      </c>
      <c r="BD85" s="135">
        <f t="shared" si="224"/>
        <v>1</v>
      </c>
      <c r="BE85" s="29"/>
      <c r="BF85" s="137">
        <f>BC85+BE85</f>
        <v>0</v>
      </c>
      <c r="BG85" s="135">
        <f t="shared" si="225"/>
        <v>1</v>
      </c>
      <c r="BH85" s="137"/>
      <c r="BI85" s="29"/>
      <c r="BJ85" s="29"/>
      <c r="BK85" s="135">
        <f>IF($AA$85=0,1,BJ85/$AA$85-1)</f>
        <v>1</v>
      </c>
      <c r="BL85" s="135">
        <f t="shared" si="227"/>
        <v>1</v>
      </c>
      <c r="BM85" s="167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</row>
    <row r="86" spans="1:206" s="66" customFormat="1" ht="18" customHeight="1">
      <c r="A86" s="429" t="s">
        <v>148</v>
      </c>
      <c r="B86" s="429"/>
      <c r="C86" s="29"/>
      <c r="D86" s="134">
        <f>E86+F86+H86+J86+L86+N86+P86+R86+T86+V86+X86+Z86</f>
        <v>0</v>
      </c>
      <c r="E86" s="29"/>
      <c r="F86" s="29"/>
      <c r="G86" s="137">
        <f>E86+F86</f>
        <v>0</v>
      </c>
      <c r="H86" s="29"/>
      <c r="I86" s="137">
        <f>G86+H86</f>
        <v>0</v>
      </c>
      <c r="J86" s="29"/>
      <c r="K86" s="137">
        <f>I86+J86</f>
        <v>0</v>
      </c>
      <c r="L86" s="29"/>
      <c r="M86" s="137">
        <f>K86+L86</f>
        <v>0</v>
      </c>
      <c r="N86" s="29"/>
      <c r="O86" s="137">
        <f>M86+N86</f>
        <v>0</v>
      </c>
      <c r="P86" s="29"/>
      <c r="Q86" s="137">
        <f>O86+P86</f>
        <v>0</v>
      </c>
      <c r="R86" s="29"/>
      <c r="S86" s="137">
        <f>Q86+R86</f>
        <v>0</v>
      </c>
      <c r="T86" s="29"/>
      <c r="U86" s="137">
        <f>S86+T86</f>
        <v>0</v>
      </c>
      <c r="V86" s="29"/>
      <c r="W86" s="137">
        <f>U86+V86</f>
        <v>0</v>
      </c>
      <c r="X86" s="29"/>
      <c r="Y86" s="137">
        <f>W86+X86</f>
        <v>0</v>
      </c>
      <c r="Z86" s="29"/>
      <c r="AA86" s="29"/>
      <c r="AB86" s="135">
        <f t="shared" si="213"/>
        <v>1</v>
      </c>
      <c r="AC86" s="29"/>
      <c r="AD86" s="29"/>
      <c r="AE86" s="137">
        <f>AC86+AD86</f>
        <v>0</v>
      </c>
      <c r="AF86" s="135">
        <f t="shared" si="215"/>
        <v>1</v>
      </c>
      <c r="AG86" s="29"/>
      <c r="AH86" s="137">
        <f>AE86+AG86</f>
        <v>0</v>
      </c>
      <c r="AI86" s="135">
        <f t="shared" si="217"/>
        <v>1</v>
      </c>
      <c r="AJ86" s="29"/>
      <c r="AK86" s="137">
        <f>AH86+AJ86</f>
        <v>0</v>
      </c>
      <c r="AL86" s="135">
        <f t="shared" si="218"/>
        <v>1</v>
      </c>
      <c r="AM86" s="29"/>
      <c r="AN86" s="137">
        <f>AK86+AM86</f>
        <v>0</v>
      </c>
      <c r="AO86" s="135">
        <f t="shared" si="219"/>
        <v>1</v>
      </c>
      <c r="AP86" s="29"/>
      <c r="AQ86" s="137">
        <f>AN86+AP86</f>
        <v>0</v>
      </c>
      <c r="AR86" s="135">
        <f t="shared" si="220"/>
        <v>1</v>
      </c>
      <c r="AS86" s="29"/>
      <c r="AT86" s="137">
        <f>AQ86+AS86</f>
        <v>0</v>
      </c>
      <c r="AU86" s="135">
        <f t="shared" si="221"/>
        <v>1</v>
      </c>
      <c r="AV86" s="29"/>
      <c r="AW86" s="137">
        <f>AT86+AV86</f>
        <v>0</v>
      </c>
      <c r="AX86" s="135">
        <f t="shared" si="222"/>
        <v>1</v>
      </c>
      <c r="AY86" s="29"/>
      <c r="AZ86" s="137">
        <f>AW86+AY86</f>
        <v>0</v>
      </c>
      <c r="BA86" s="135">
        <f t="shared" si="223"/>
        <v>1</v>
      </c>
      <c r="BB86" s="29"/>
      <c r="BC86" s="137">
        <f>AZ86+BB86</f>
        <v>0</v>
      </c>
      <c r="BD86" s="135">
        <f t="shared" si="224"/>
        <v>1</v>
      </c>
      <c r="BE86" s="29"/>
      <c r="BF86" s="137">
        <f>BC86+BE86</f>
        <v>0</v>
      </c>
      <c r="BG86" s="135">
        <f t="shared" si="225"/>
        <v>1</v>
      </c>
      <c r="BH86" s="137"/>
      <c r="BI86" s="29"/>
      <c r="BJ86" s="29"/>
      <c r="BK86" s="135">
        <f>IF($AA$86=0,1,BJ86/$AA$86-1)</f>
        <v>1</v>
      </c>
      <c r="BL86" s="135">
        <f t="shared" si="227"/>
        <v>1</v>
      </c>
      <c r="BM86" s="167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</row>
    <row r="87" spans="1:206" s="66" customFormat="1" ht="18" customHeight="1">
      <c r="A87" s="430" t="s">
        <v>61</v>
      </c>
      <c r="B87" s="430"/>
      <c r="C87" s="101">
        <f t="shared" ref="C87:R87" si="236">(C86+C83+C80+C37)-(C9+C79+C82+C85)</f>
        <v>0</v>
      </c>
      <c r="D87" s="148">
        <f t="shared" si="236"/>
        <v>0</v>
      </c>
      <c r="E87" s="101">
        <f t="shared" si="236"/>
        <v>0</v>
      </c>
      <c r="F87" s="101">
        <f t="shared" si="236"/>
        <v>0</v>
      </c>
      <c r="G87" s="148">
        <f t="shared" si="236"/>
        <v>0</v>
      </c>
      <c r="H87" s="101">
        <f t="shared" si="236"/>
        <v>0</v>
      </c>
      <c r="I87" s="148">
        <f t="shared" si="236"/>
        <v>0</v>
      </c>
      <c r="J87" s="101">
        <f t="shared" si="236"/>
        <v>0</v>
      </c>
      <c r="K87" s="148">
        <f t="shared" si="236"/>
        <v>0</v>
      </c>
      <c r="L87" s="101">
        <f t="shared" si="236"/>
        <v>0</v>
      </c>
      <c r="M87" s="148">
        <f t="shared" si="236"/>
        <v>0</v>
      </c>
      <c r="N87" s="101">
        <f t="shared" si="236"/>
        <v>0</v>
      </c>
      <c r="O87" s="148">
        <f t="shared" si="236"/>
        <v>0</v>
      </c>
      <c r="P87" s="101">
        <f t="shared" si="236"/>
        <v>0</v>
      </c>
      <c r="Q87" s="148">
        <f t="shared" si="236"/>
        <v>0</v>
      </c>
      <c r="R87" s="101">
        <f t="shared" si="236"/>
        <v>0</v>
      </c>
      <c r="S87" s="148">
        <f t="shared" ref="S87:AA87" si="237">(S86+S83+S80+S37)-(S9+S79+S82+S85)</f>
        <v>0</v>
      </c>
      <c r="T87" s="101">
        <f t="shared" si="237"/>
        <v>0</v>
      </c>
      <c r="U87" s="148">
        <f t="shared" si="237"/>
        <v>0</v>
      </c>
      <c r="V87" s="101">
        <f t="shared" si="237"/>
        <v>0</v>
      </c>
      <c r="W87" s="148">
        <f t="shared" si="237"/>
        <v>0</v>
      </c>
      <c r="X87" s="101">
        <f t="shared" si="237"/>
        <v>0</v>
      </c>
      <c r="Y87" s="148">
        <f t="shared" si="237"/>
        <v>0</v>
      </c>
      <c r="Z87" s="101">
        <f t="shared" si="237"/>
        <v>0</v>
      </c>
      <c r="AA87" s="101">
        <f t="shared" si="237"/>
        <v>0</v>
      </c>
      <c r="AB87" s="133">
        <f t="shared" si="213"/>
        <v>1</v>
      </c>
      <c r="AC87" s="101">
        <f t="shared" ref="AC87:AE87" si="238">(AC86+AC83+AC80+AC37)-(AC9+AC79+AC82+AC85)</f>
        <v>0</v>
      </c>
      <c r="AD87" s="101">
        <f t="shared" si="238"/>
        <v>0</v>
      </c>
      <c r="AE87" s="148">
        <f t="shared" si="238"/>
        <v>0</v>
      </c>
      <c r="AF87" s="133">
        <f t="shared" si="215"/>
        <v>1</v>
      </c>
      <c r="AG87" s="101">
        <f>(AG86+AG83+AG80+AG37)-(AG9+AG79+AG82+AG85)</f>
        <v>0</v>
      </c>
      <c r="AH87" s="148">
        <f>(AH86+AH83+AH80+AH37)-(AH9+AH79+AH82+AH85)</f>
        <v>0</v>
      </c>
      <c r="AI87" s="133">
        <f t="shared" si="217"/>
        <v>1</v>
      </c>
      <c r="AJ87" s="101">
        <f>(AJ86+AJ83+AJ80+AJ37)-(AJ9+AJ79+AJ82+AJ85)</f>
        <v>0</v>
      </c>
      <c r="AK87" s="148">
        <f>(AK86+AK83+AK80+AK37)-(AK9+AK79+AK82+AK85)</f>
        <v>0</v>
      </c>
      <c r="AL87" s="133">
        <f t="shared" si="218"/>
        <v>1</v>
      </c>
      <c r="AM87" s="101">
        <f>(AM86+AM83+AM80+AM37)-(AM9+AM79+AM82+AM85)</f>
        <v>0</v>
      </c>
      <c r="AN87" s="148">
        <f>(AN86+AN83+AN80+AN37)-(AN9+AN79+AN82+AN85)</f>
        <v>0</v>
      </c>
      <c r="AO87" s="133">
        <f t="shared" si="219"/>
        <v>1</v>
      </c>
      <c r="AP87" s="101">
        <f>(AP86+AP83+AP80+AP37)-(AP9+AP79+AP82+AP85)</f>
        <v>0</v>
      </c>
      <c r="AQ87" s="148">
        <f>(AQ86+AQ83+AQ80+AQ37)-(AQ9+AQ79+AQ82+AQ85)</f>
        <v>0</v>
      </c>
      <c r="AR87" s="133">
        <f t="shared" si="220"/>
        <v>1</v>
      </c>
      <c r="AS87" s="101">
        <f>(AS86+AS83+AS80+AS37)-(AS9+AS79+AS82+AS85)</f>
        <v>0</v>
      </c>
      <c r="AT87" s="148">
        <f>(AT86+AT83+AT80+AT37)-(AT9+AT79+AT82+AT85)</f>
        <v>0</v>
      </c>
      <c r="AU87" s="133">
        <f t="shared" si="221"/>
        <v>1</v>
      </c>
      <c r="AV87" s="101">
        <f>(AV86+AV83+AV80+AV37)-(AV9+AV79+AV82+AV85)</f>
        <v>0</v>
      </c>
      <c r="AW87" s="148">
        <f>(AW86+AW83+AW80+AW37)-(AW9+AW79+AW82+AW85)</f>
        <v>0</v>
      </c>
      <c r="AX87" s="133">
        <f t="shared" si="222"/>
        <v>1</v>
      </c>
      <c r="AY87" s="101">
        <f>(AY86+AY83+AY80+AY37)-(AY9+AY79+AY82+AY85)</f>
        <v>0</v>
      </c>
      <c r="AZ87" s="148">
        <f>(AZ86+AZ83+AZ80+AZ37)-(AZ9+AZ79+AZ82+AZ85)</f>
        <v>0</v>
      </c>
      <c r="BA87" s="133">
        <f t="shared" si="223"/>
        <v>1</v>
      </c>
      <c r="BB87" s="101">
        <f>(BB86+BB83+BB80+BB37)-(BB9+BB79+BB82+BB85)</f>
        <v>0</v>
      </c>
      <c r="BC87" s="148">
        <f>(BC86+BC83+BC80+BC37)-(BC9+BC79+BC82+BC85)</f>
        <v>0</v>
      </c>
      <c r="BD87" s="133">
        <f t="shared" si="224"/>
        <v>1</v>
      </c>
      <c r="BE87" s="101">
        <f>(BE86+BE83+BE80+BE37)-(BE9+BE79+BE82+BE85)</f>
        <v>0</v>
      </c>
      <c r="BF87" s="148">
        <f>(BF86+BF83+BF80+BF37)-(BF9+BF79+BF82+BF85)</f>
        <v>0</v>
      </c>
      <c r="BG87" s="133">
        <f t="shared" si="225"/>
        <v>1</v>
      </c>
      <c r="BH87" s="148">
        <f t="shared" ref="BH87:BJ87" si="239">(BH86+BH83+BH80+BH37)-(BH9+BH79+BH82+BH85)</f>
        <v>0</v>
      </c>
      <c r="BI87" s="148">
        <f t="shared" si="239"/>
        <v>0</v>
      </c>
      <c r="BJ87" s="148">
        <f t="shared" si="239"/>
        <v>0</v>
      </c>
      <c r="BK87" s="133">
        <f>IF($AA$87=0,1,BJ87/$AA$87-1)</f>
        <v>1</v>
      </c>
      <c r="BL87" s="133">
        <f t="shared" si="227"/>
        <v>1</v>
      </c>
      <c r="BM87" s="169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</row>
    <row r="88" spans="1:206" s="72" customFormat="1" ht="51" customHeight="1">
      <c r="A88" s="431" t="s">
        <v>167</v>
      </c>
      <c r="B88" s="431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>
        <f t="shared" ref="AA88" si="240">AA74+AA77</f>
        <v>0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>
        <f t="shared" ref="BI88:BJ88" si="241">BI74+BI77</f>
        <v>0</v>
      </c>
      <c r="BJ88" s="130">
        <f t="shared" si="241"/>
        <v>0</v>
      </c>
      <c r="BK88" s="130" t="s">
        <v>51</v>
      </c>
      <c r="BL88" s="130" t="s">
        <v>51</v>
      </c>
      <c r="BM88" s="168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</row>
    <row r="89" spans="1:206" s="66" customFormat="1" ht="30" customHeight="1">
      <c r="A89" s="432" t="s">
        <v>63</v>
      </c>
      <c r="B89" s="432"/>
      <c r="C89" s="151"/>
      <c r="D89" s="151"/>
      <c r="E89" s="151"/>
      <c r="F89" s="151"/>
      <c r="G89" s="152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2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69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</row>
    <row r="90" spans="1:206" s="82" customFormat="1" ht="19.5" customHeight="1">
      <c r="A90" s="422" t="s">
        <v>136</v>
      </c>
      <c r="B90" s="422"/>
      <c r="C90" s="156"/>
      <c r="D90" s="156"/>
      <c r="E90" s="156"/>
      <c r="F90" s="156"/>
      <c r="G90" s="155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5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68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</row>
    <row r="91" spans="1:206" s="104" customFormat="1" ht="18" customHeight="1">
      <c r="A91" s="428" t="s">
        <v>64</v>
      </c>
      <c r="B91" s="428"/>
      <c r="C91" s="137">
        <f t="shared" ref="C91:F91" si="242">C92+C93+C94</f>
        <v>0</v>
      </c>
      <c r="D91" s="137">
        <f t="shared" si="242"/>
        <v>0</v>
      </c>
      <c r="E91" s="137">
        <f t="shared" si="242"/>
        <v>0</v>
      </c>
      <c r="F91" s="137">
        <f t="shared" si="242"/>
        <v>0</v>
      </c>
      <c r="G91" s="137">
        <f t="shared" ref="G91:Z91" si="243">G92+G93+G94</f>
        <v>0</v>
      </c>
      <c r="H91" s="137">
        <f t="shared" si="243"/>
        <v>0</v>
      </c>
      <c r="I91" s="137">
        <f t="shared" si="243"/>
        <v>0</v>
      </c>
      <c r="J91" s="137">
        <f t="shared" si="243"/>
        <v>0</v>
      </c>
      <c r="K91" s="137">
        <f t="shared" si="243"/>
        <v>0</v>
      </c>
      <c r="L91" s="137">
        <f t="shared" si="243"/>
        <v>0</v>
      </c>
      <c r="M91" s="137">
        <f t="shared" si="243"/>
        <v>0</v>
      </c>
      <c r="N91" s="137">
        <f t="shared" si="243"/>
        <v>0</v>
      </c>
      <c r="O91" s="137">
        <f t="shared" si="243"/>
        <v>0</v>
      </c>
      <c r="P91" s="137">
        <f t="shared" si="243"/>
        <v>0</v>
      </c>
      <c r="Q91" s="137">
        <f t="shared" si="243"/>
        <v>0</v>
      </c>
      <c r="R91" s="137">
        <f t="shared" si="243"/>
        <v>0</v>
      </c>
      <c r="S91" s="137">
        <f t="shared" si="243"/>
        <v>0</v>
      </c>
      <c r="T91" s="137">
        <f t="shared" si="243"/>
        <v>0</v>
      </c>
      <c r="U91" s="137">
        <f t="shared" si="243"/>
        <v>0</v>
      </c>
      <c r="V91" s="137">
        <f t="shared" si="243"/>
        <v>0</v>
      </c>
      <c r="W91" s="137">
        <f t="shared" si="243"/>
        <v>0</v>
      </c>
      <c r="X91" s="137">
        <f t="shared" si="243"/>
        <v>0</v>
      </c>
      <c r="Y91" s="137">
        <f t="shared" si="243"/>
        <v>0</v>
      </c>
      <c r="Z91" s="137">
        <f t="shared" si="243"/>
        <v>0</v>
      </c>
      <c r="AA91" s="137">
        <f>AA92+AA93+AA94</f>
        <v>0</v>
      </c>
      <c r="AB91" s="135">
        <f t="shared" ref="AB91:AB112" si="244">IF(D91=0,1,AA91/D91-1)</f>
        <v>1</v>
      </c>
      <c r="AC91" s="137">
        <f t="shared" ref="AC91:AE91" si="245">AC92+AC93+AC94</f>
        <v>0</v>
      </c>
      <c r="AD91" s="137">
        <f t="shared" si="245"/>
        <v>0</v>
      </c>
      <c r="AE91" s="137">
        <f t="shared" si="245"/>
        <v>0</v>
      </c>
      <c r="AF91" s="135">
        <f t="shared" ref="AF91:AF112" si="246">IF(G91=0,1,AE91/G91-1)</f>
        <v>1</v>
      </c>
      <c r="AG91" s="137">
        <f>AG92+AG93+AG94</f>
        <v>0</v>
      </c>
      <c r="AH91" s="137">
        <f>AH92+AH93+AH94</f>
        <v>0</v>
      </c>
      <c r="AI91" s="135">
        <f t="shared" ref="AI91:AI112" si="247">IF(I91=0,1,AH91/I91-1)</f>
        <v>1</v>
      </c>
      <c r="AJ91" s="137">
        <f>AJ92+AJ93+AJ94</f>
        <v>0</v>
      </c>
      <c r="AK91" s="137">
        <f>AK92+AK93+AK94</f>
        <v>0</v>
      </c>
      <c r="AL91" s="135">
        <f t="shared" ref="AL91:AL112" si="248">IF(K91=0,1,AK91/K91-1)</f>
        <v>1</v>
      </c>
      <c r="AM91" s="137">
        <f>AM92+AM93+AM94</f>
        <v>0</v>
      </c>
      <c r="AN91" s="137">
        <f>AN92+AN93+AN94</f>
        <v>0</v>
      </c>
      <c r="AO91" s="135">
        <f t="shared" ref="AO91:AO112" si="249">IF(M91=0,1,AN91/M91-1)</f>
        <v>1</v>
      </c>
      <c r="AP91" s="137">
        <f>AP92+AP93+AP94</f>
        <v>0</v>
      </c>
      <c r="AQ91" s="137">
        <f>AQ92+AQ93+AQ94</f>
        <v>0</v>
      </c>
      <c r="AR91" s="135">
        <f t="shared" ref="AR91:AR112" si="250">IF(O91=0,1,AQ91/O91-1)</f>
        <v>1</v>
      </c>
      <c r="AS91" s="137">
        <f>AS92+AS93+AS94</f>
        <v>0</v>
      </c>
      <c r="AT91" s="137">
        <f>AT92+AT93+AT94</f>
        <v>0</v>
      </c>
      <c r="AU91" s="135">
        <f t="shared" ref="AU91:AU112" si="251">IF(Q91=0,1,AT91/Q91-1)</f>
        <v>1</v>
      </c>
      <c r="AV91" s="137">
        <f>AV92+AV93+AV94</f>
        <v>0</v>
      </c>
      <c r="AW91" s="137">
        <f>AW92+AW93+AW94</f>
        <v>0</v>
      </c>
      <c r="AX91" s="135">
        <f t="shared" ref="AX91:AX112" si="252">IF(S91=0,1,AW91/S91-1)</f>
        <v>1</v>
      </c>
      <c r="AY91" s="137">
        <f>AY92+AY93+AY94</f>
        <v>0</v>
      </c>
      <c r="AZ91" s="137">
        <f>AZ92+AZ93+AZ94</f>
        <v>0</v>
      </c>
      <c r="BA91" s="135">
        <f t="shared" ref="BA91:BA112" si="253">IF(U91=0,1,AZ91/U91-1)</f>
        <v>1</v>
      </c>
      <c r="BB91" s="137">
        <f>BB92+BB93+BB94</f>
        <v>0</v>
      </c>
      <c r="BC91" s="137">
        <f>BC92+BC93+BC94</f>
        <v>0</v>
      </c>
      <c r="BD91" s="135">
        <f t="shared" ref="BD91:BD112" si="254">IF(W91=0,1,BC91/W91-1)</f>
        <v>1</v>
      </c>
      <c r="BE91" s="137">
        <f>BE92+BE93+BE94</f>
        <v>0</v>
      </c>
      <c r="BF91" s="137">
        <f>BF92+BF93+BF94</f>
        <v>0</v>
      </c>
      <c r="BG91" s="135">
        <f t="shared" ref="BG91:BG112" si="255">IF(Y91=0,1,BF91/Y91-1)</f>
        <v>1</v>
      </c>
      <c r="BH91" s="137">
        <f t="shared" ref="BH91:BJ91" si="256">BH92+BH93+BH94</f>
        <v>0</v>
      </c>
      <c r="BI91" s="137">
        <f t="shared" si="256"/>
        <v>0</v>
      </c>
      <c r="BJ91" s="137">
        <f t="shared" si="256"/>
        <v>0</v>
      </c>
      <c r="BK91" s="135">
        <f>IF($AA$91=0,1,BJ91/$AA$91-1)</f>
        <v>1</v>
      </c>
      <c r="BL91" s="135">
        <f t="shared" ref="BL91:BL112" si="257">IF($D91=0,1,BJ91/$D91-1)</f>
        <v>1</v>
      </c>
      <c r="BM91" s="167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</row>
    <row r="92" spans="1:206" s="106" customFormat="1" ht="18" customHeight="1">
      <c r="A92" s="426" t="s">
        <v>38</v>
      </c>
      <c r="B92" s="426"/>
      <c r="C92" s="29"/>
      <c r="D92" s="134">
        <f>E92+F92+H92+J92+L92+N92+P92+R92+T92+V92+X92+Z92</f>
        <v>0</v>
      </c>
      <c r="E92" s="29"/>
      <c r="F92" s="29"/>
      <c r="G92" s="137">
        <f t="shared" ref="G92:G112" si="258">E92+F92</f>
        <v>0</v>
      </c>
      <c r="H92" s="29"/>
      <c r="I92" s="137">
        <f t="shared" ref="I92:I100" si="259">G92+H92</f>
        <v>0</v>
      </c>
      <c r="J92" s="29"/>
      <c r="K92" s="137">
        <f t="shared" ref="K92:K112" si="260">I92+J92</f>
        <v>0</v>
      </c>
      <c r="L92" s="29"/>
      <c r="M92" s="137">
        <f t="shared" ref="M92:M112" si="261">K92+L92</f>
        <v>0</v>
      </c>
      <c r="N92" s="29"/>
      <c r="O92" s="137">
        <f t="shared" ref="O92:O112" si="262">M92+N92</f>
        <v>0</v>
      </c>
      <c r="P92" s="29"/>
      <c r="Q92" s="137">
        <f t="shared" ref="Q92:Q112" si="263">O92+P92</f>
        <v>0</v>
      </c>
      <c r="R92" s="29"/>
      <c r="S92" s="137">
        <f t="shared" ref="S92:S112" si="264">Q92+R92</f>
        <v>0</v>
      </c>
      <c r="T92" s="29"/>
      <c r="U92" s="137">
        <f t="shared" ref="U92:U112" si="265">S92+T92</f>
        <v>0</v>
      </c>
      <c r="V92" s="29"/>
      <c r="W92" s="137">
        <f t="shared" ref="W92:W112" si="266">U92+V92</f>
        <v>0</v>
      </c>
      <c r="X92" s="29"/>
      <c r="Y92" s="137">
        <f t="shared" ref="Y92:Y112" si="267">W92+X92</f>
        <v>0</v>
      </c>
      <c r="Z92" s="29"/>
      <c r="AA92" s="29"/>
      <c r="AB92" s="135">
        <f t="shared" si="244"/>
        <v>1</v>
      </c>
      <c r="AC92" s="29"/>
      <c r="AD92" s="29"/>
      <c r="AE92" s="137">
        <f t="shared" ref="AE92:AE112" si="268">AC92+AD92</f>
        <v>0</v>
      </c>
      <c r="AF92" s="135">
        <f t="shared" si="246"/>
        <v>1</v>
      </c>
      <c r="AG92" s="29"/>
      <c r="AH92" s="137">
        <f t="shared" ref="AH92:AH112" si="269">AE92+AG92</f>
        <v>0</v>
      </c>
      <c r="AI92" s="135">
        <f t="shared" si="247"/>
        <v>1</v>
      </c>
      <c r="AJ92" s="29"/>
      <c r="AK92" s="137">
        <f t="shared" ref="AK92:AK112" si="270">AH92+AJ92</f>
        <v>0</v>
      </c>
      <c r="AL92" s="135">
        <f t="shared" si="248"/>
        <v>1</v>
      </c>
      <c r="AM92" s="29"/>
      <c r="AN92" s="137">
        <f t="shared" ref="AN92:AN112" si="271">AK92+AM92</f>
        <v>0</v>
      </c>
      <c r="AO92" s="135">
        <f t="shared" si="249"/>
        <v>1</v>
      </c>
      <c r="AP92" s="29"/>
      <c r="AQ92" s="137">
        <f t="shared" ref="AQ92:AQ112" si="272">AN92+AP92</f>
        <v>0</v>
      </c>
      <c r="AR92" s="135">
        <f t="shared" si="250"/>
        <v>1</v>
      </c>
      <c r="AS92" s="29"/>
      <c r="AT92" s="137">
        <f t="shared" ref="AT92:AT112" si="273">AQ92+AS92</f>
        <v>0</v>
      </c>
      <c r="AU92" s="135">
        <f t="shared" si="251"/>
        <v>1</v>
      </c>
      <c r="AV92" s="29"/>
      <c r="AW92" s="137">
        <f t="shared" ref="AW92:AW112" si="274">AT92+AV92</f>
        <v>0</v>
      </c>
      <c r="AX92" s="135">
        <f t="shared" si="252"/>
        <v>1</v>
      </c>
      <c r="AY92" s="29"/>
      <c r="AZ92" s="137">
        <f t="shared" ref="AZ92:AZ112" si="275">AW92+AY92</f>
        <v>0</v>
      </c>
      <c r="BA92" s="135">
        <f t="shared" si="253"/>
        <v>1</v>
      </c>
      <c r="BB92" s="29"/>
      <c r="BC92" s="137">
        <f t="shared" ref="BC92:BC112" si="276">AZ92+BB92</f>
        <v>0</v>
      </c>
      <c r="BD92" s="135">
        <f t="shared" si="254"/>
        <v>1</v>
      </c>
      <c r="BE92" s="29"/>
      <c r="BF92" s="137">
        <f t="shared" ref="BF92:BF112" si="277">BC92+BE92</f>
        <v>0</v>
      </c>
      <c r="BG92" s="135">
        <f t="shared" si="255"/>
        <v>1</v>
      </c>
      <c r="BH92" s="29"/>
      <c r="BI92" s="29"/>
      <c r="BJ92" s="29"/>
      <c r="BK92" s="135">
        <f>IF($AA$92=0,1,BJ92/$AA$92-1)</f>
        <v>1</v>
      </c>
      <c r="BL92" s="135">
        <f t="shared" si="257"/>
        <v>1</v>
      </c>
      <c r="BM92" s="167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</row>
    <row r="93" spans="1:206" s="106" customFormat="1" ht="18" customHeight="1">
      <c r="A93" s="429" t="s">
        <v>143</v>
      </c>
      <c r="B93" s="429"/>
      <c r="C93" s="29"/>
      <c r="D93" s="134">
        <f>E93+F93+H93+J93+L93+N93+P93+R93+T93+V93+X93+Z93</f>
        <v>0</v>
      </c>
      <c r="E93" s="29"/>
      <c r="F93" s="29"/>
      <c r="G93" s="137">
        <f t="shared" si="258"/>
        <v>0</v>
      </c>
      <c r="H93" s="29"/>
      <c r="I93" s="137">
        <f t="shared" si="259"/>
        <v>0</v>
      </c>
      <c r="J93" s="29"/>
      <c r="K93" s="137">
        <f t="shared" si="260"/>
        <v>0</v>
      </c>
      <c r="L93" s="29"/>
      <c r="M93" s="137">
        <f t="shared" si="261"/>
        <v>0</v>
      </c>
      <c r="N93" s="29"/>
      <c r="O93" s="137">
        <f t="shared" si="262"/>
        <v>0</v>
      </c>
      <c r="P93" s="29"/>
      <c r="Q93" s="137">
        <f t="shared" si="263"/>
        <v>0</v>
      </c>
      <c r="R93" s="29"/>
      <c r="S93" s="137">
        <f t="shared" si="264"/>
        <v>0</v>
      </c>
      <c r="T93" s="29"/>
      <c r="U93" s="137">
        <f t="shared" si="265"/>
        <v>0</v>
      </c>
      <c r="V93" s="29"/>
      <c r="W93" s="137">
        <f t="shared" si="266"/>
        <v>0</v>
      </c>
      <c r="X93" s="29"/>
      <c r="Y93" s="137">
        <f t="shared" si="267"/>
        <v>0</v>
      </c>
      <c r="Z93" s="29"/>
      <c r="AA93" s="29"/>
      <c r="AB93" s="135">
        <f t="shared" si="244"/>
        <v>1</v>
      </c>
      <c r="AC93" s="29"/>
      <c r="AD93" s="29"/>
      <c r="AE93" s="137">
        <f t="shared" si="268"/>
        <v>0</v>
      </c>
      <c r="AF93" s="135">
        <f t="shared" si="246"/>
        <v>1</v>
      </c>
      <c r="AG93" s="29"/>
      <c r="AH93" s="137">
        <f t="shared" si="269"/>
        <v>0</v>
      </c>
      <c r="AI93" s="135">
        <f t="shared" si="247"/>
        <v>1</v>
      </c>
      <c r="AJ93" s="29"/>
      <c r="AK93" s="137">
        <f t="shared" si="270"/>
        <v>0</v>
      </c>
      <c r="AL93" s="135">
        <f t="shared" si="248"/>
        <v>1</v>
      </c>
      <c r="AM93" s="29"/>
      <c r="AN93" s="137">
        <f t="shared" si="271"/>
        <v>0</v>
      </c>
      <c r="AO93" s="135">
        <f t="shared" si="249"/>
        <v>1</v>
      </c>
      <c r="AP93" s="29"/>
      <c r="AQ93" s="137">
        <f t="shared" si="272"/>
        <v>0</v>
      </c>
      <c r="AR93" s="135">
        <f t="shared" si="250"/>
        <v>1</v>
      </c>
      <c r="AS93" s="29"/>
      <c r="AT93" s="137">
        <f t="shared" si="273"/>
        <v>0</v>
      </c>
      <c r="AU93" s="135">
        <f t="shared" si="251"/>
        <v>1</v>
      </c>
      <c r="AV93" s="29"/>
      <c r="AW93" s="137">
        <f t="shared" si="274"/>
        <v>0</v>
      </c>
      <c r="AX93" s="135">
        <f t="shared" si="252"/>
        <v>1</v>
      </c>
      <c r="AY93" s="29"/>
      <c r="AZ93" s="137">
        <f t="shared" si="275"/>
        <v>0</v>
      </c>
      <c r="BA93" s="135">
        <f t="shared" si="253"/>
        <v>1</v>
      </c>
      <c r="BB93" s="29"/>
      <c r="BC93" s="137">
        <f t="shared" si="276"/>
        <v>0</v>
      </c>
      <c r="BD93" s="135">
        <f t="shared" si="254"/>
        <v>1</v>
      </c>
      <c r="BE93" s="29"/>
      <c r="BF93" s="137">
        <f t="shared" si="277"/>
        <v>0</v>
      </c>
      <c r="BG93" s="135">
        <f t="shared" si="255"/>
        <v>1</v>
      </c>
      <c r="BH93" s="29"/>
      <c r="BI93" s="29"/>
      <c r="BJ93" s="29"/>
      <c r="BK93" s="135">
        <f>IF($AA$93=0,1,BJ93/$AA$93-1)</f>
        <v>1</v>
      </c>
      <c r="BL93" s="135">
        <f t="shared" si="257"/>
        <v>1</v>
      </c>
      <c r="BM93" s="167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</row>
    <row r="94" spans="1:206" s="106" customFormat="1" ht="18" customHeight="1">
      <c r="A94" s="426" t="s">
        <v>65</v>
      </c>
      <c r="B94" s="426"/>
      <c r="C94" s="134">
        <f t="shared" ref="C94:F94" si="278">C95+C96+C97+C98+C99+C100</f>
        <v>0</v>
      </c>
      <c r="D94" s="134">
        <f t="shared" si="278"/>
        <v>0</v>
      </c>
      <c r="E94" s="134">
        <f t="shared" si="278"/>
        <v>0</v>
      </c>
      <c r="F94" s="134">
        <f t="shared" si="278"/>
        <v>0</v>
      </c>
      <c r="G94" s="137">
        <f t="shared" si="258"/>
        <v>0</v>
      </c>
      <c r="H94" s="134">
        <f>H95+H96+H97+H98+H99+H100</f>
        <v>0</v>
      </c>
      <c r="I94" s="137">
        <f t="shared" si="259"/>
        <v>0</v>
      </c>
      <c r="J94" s="134">
        <f>J95+J96+J97+J98+J99+J100</f>
        <v>0</v>
      </c>
      <c r="K94" s="137">
        <f t="shared" si="260"/>
        <v>0</v>
      </c>
      <c r="L94" s="134">
        <f>L95+L96+L97+L98+L99+L100</f>
        <v>0</v>
      </c>
      <c r="M94" s="137">
        <f t="shared" si="261"/>
        <v>0</v>
      </c>
      <c r="N94" s="134">
        <f>N95+N96+N97+N98+N99+N100</f>
        <v>0</v>
      </c>
      <c r="O94" s="137">
        <f t="shared" si="262"/>
        <v>0</v>
      </c>
      <c r="P94" s="134">
        <f>P95+P96+P97+P98+P99+P100</f>
        <v>0</v>
      </c>
      <c r="Q94" s="137">
        <f t="shared" si="263"/>
        <v>0</v>
      </c>
      <c r="R94" s="134">
        <f>R95+R96+R97+R98+R99+R100</f>
        <v>0</v>
      </c>
      <c r="S94" s="137">
        <f t="shared" si="264"/>
        <v>0</v>
      </c>
      <c r="T94" s="134">
        <f>T95+T96+T97+T98+T99+T100</f>
        <v>0</v>
      </c>
      <c r="U94" s="137">
        <f t="shared" si="265"/>
        <v>0</v>
      </c>
      <c r="V94" s="134">
        <f>V95+V96+V97+V98+V99+V100</f>
        <v>0</v>
      </c>
      <c r="W94" s="137">
        <f t="shared" si="266"/>
        <v>0</v>
      </c>
      <c r="X94" s="134">
        <f>X95+X96+X97+X98+X99+X100</f>
        <v>0</v>
      </c>
      <c r="Y94" s="137">
        <f t="shared" si="267"/>
        <v>0</v>
      </c>
      <c r="Z94" s="134">
        <f>Z95+Z96+Z97+Z98+Z99+Z100</f>
        <v>0</v>
      </c>
      <c r="AA94" s="137"/>
      <c r="AB94" s="135">
        <f t="shared" si="244"/>
        <v>1</v>
      </c>
      <c r="AC94" s="134">
        <f>AC95+AC96+AC97+AC98+AC99+AC100</f>
        <v>0</v>
      </c>
      <c r="AD94" s="134">
        <f>AD95+AD96+AD97+AD98+AD99+AD100</f>
        <v>0</v>
      </c>
      <c r="AE94" s="137">
        <f t="shared" si="268"/>
        <v>0</v>
      </c>
      <c r="AF94" s="135">
        <f t="shared" si="246"/>
        <v>1</v>
      </c>
      <c r="AG94" s="134">
        <f>AG95+AG96+AG97+AG98+AG99+AG100</f>
        <v>0</v>
      </c>
      <c r="AH94" s="137">
        <f t="shared" si="269"/>
        <v>0</v>
      </c>
      <c r="AI94" s="135">
        <f t="shared" si="247"/>
        <v>1</v>
      </c>
      <c r="AJ94" s="134">
        <f>AJ95+AJ96+AJ97+AJ98+AJ99+AJ100</f>
        <v>0</v>
      </c>
      <c r="AK94" s="137">
        <f t="shared" si="270"/>
        <v>0</v>
      </c>
      <c r="AL94" s="135">
        <f t="shared" si="248"/>
        <v>1</v>
      </c>
      <c r="AM94" s="134">
        <f>AM95+AM96+AM97+AM98+AM99+AM100</f>
        <v>0</v>
      </c>
      <c r="AN94" s="137">
        <f t="shared" si="271"/>
        <v>0</v>
      </c>
      <c r="AO94" s="135">
        <f t="shared" si="249"/>
        <v>1</v>
      </c>
      <c r="AP94" s="134">
        <f>AP95+AP96+AP97+AP98+AP99+AP100</f>
        <v>0</v>
      </c>
      <c r="AQ94" s="137">
        <f t="shared" si="272"/>
        <v>0</v>
      </c>
      <c r="AR94" s="135">
        <f t="shared" si="250"/>
        <v>1</v>
      </c>
      <c r="AS94" s="134">
        <f>AS95+AS96+AS97+AS98+AS99+AS100</f>
        <v>0</v>
      </c>
      <c r="AT94" s="137">
        <f t="shared" si="273"/>
        <v>0</v>
      </c>
      <c r="AU94" s="135">
        <f t="shared" si="251"/>
        <v>1</v>
      </c>
      <c r="AV94" s="134">
        <f>AV95+AV96+AV97+AV98+AV99+AV100</f>
        <v>0</v>
      </c>
      <c r="AW94" s="137">
        <f t="shared" si="274"/>
        <v>0</v>
      </c>
      <c r="AX94" s="135">
        <f t="shared" si="252"/>
        <v>1</v>
      </c>
      <c r="AY94" s="134">
        <f>AY95+AY96+AY97+AY98+AY99+AY100</f>
        <v>0</v>
      </c>
      <c r="AZ94" s="137">
        <f t="shared" si="275"/>
        <v>0</v>
      </c>
      <c r="BA94" s="135">
        <f t="shared" si="253"/>
        <v>1</v>
      </c>
      <c r="BB94" s="134">
        <f>BB95+BB96+BB97+BB98+BB99+BB100</f>
        <v>0</v>
      </c>
      <c r="BC94" s="137">
        <f t="shared" si="276"/>
        <v>0</v>
      </c>
      <c r="BD94" s="135">
        <f t="shared" si="254"/>
        <v>1</v>
      </c>
      <c r="BE94" s="134">
        <f>BE95+BE96+BE97+BE98+BE99+BE100</f>
        <v>0</v>
      </c>
      <c r="BF94" s="137">
        <f t="shared" si="277"/>
        <v>0</v>
      </c>
      <c r="BG94" s="135">
        <f t="shared" si="255"/>
        <v>1</v>
      </c>
      <c r="BH94" s="134">
        <f>BH95+BH96+BH97+BH98+BH99+BH100</f>
        <v>0</v>
      </c>
      <c r="BI94" s="134">
        <f t="shared" ref="BI94:BJ94" si="279">BI95+BI96+BI97+BI98+BI99+BI100</f>
        <v>0</v>
      </c>
      <c r="BJ94" s="134">
        <f t="shared" si="279"/>
        <v>0</v>
      </c>
      <c r="BK94" s="135">
        <f>IF($AA$94=0,1,BJ94/$AA$94-1)</f>
        <v>1</v>
      </c>
      <c r="BL94" s="135">
        <f t="shared" si="257"/>
        <v>1</v>
      </c>
      <c r="BM94" s="167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</row>
    <row r="95" spans="1:206" s="106" customFormat="1" ht="18" customHeight="1">
      <c r="A95" s="427" t="s">
        <v>67</v>
      </c>
      <c r="B95" s="427"/>
      <c r="C95" s="29"/>
      <c r="D95" s="134">
        <f t="shared" ref="D95:D100" si="280">E95+F95+H95+J95+L95+N95+P95+R95+T95+V95+X95+Z95</f>
        <v>0</v>
      </c>
      <c r="E95" s="29"/>
      <c r="F95" s="29"/>
      <c r="G95" s="137">
        <f t="shared" si="258"/>
        <v>0</v>
      </c>
      <c r="H95" s="29"/>
      <c r="I95" s="137">
        <f t="shared" si="259"/>
        <v>0</v>
      </c>
      <c r="J95" s="29"/>
      <c r="K95" s="137">
        <f t="shared" si="260"/>
        <v>0</v>
      </c>
      <c r="L95" s="29"/>
      <c r="M95" s="137">
        <f t="shared" si="261"/>
        <v>0</v>
      </c>
      <c r="N95" s="29"/>
      <c r="O95" s="137">
        <f t="shared" si="262"/>
        <v>0</v>
      </c>
      <c r="P95" s="29"/>
      <c r="Q95" s="137">
        <f t="shared" si="263"/>
        <v>0</v>
      </c>
      <c r="R95" s="29"/>
      <c r="S95" s="137">
        <f t="shared" si="264"/>
        <v>0</v>
      </c>
      <c r="T95" s="29"/>
      <c r="U95" s="137">
        <f t="shared" si="265"/>
        <v>0</v>
      </c>
      <c r="V95" s="29"/>
      <c r="W95" s="137">
        <f t="shared" si="266"/>
        <v>0</v>
      </c>
      <c r="X95" s="29"/>
      <c r="Y95" s="137">
        <f t="shared" si="267"/>
        <v>0</v>
      </c>
      <c r="Z95" s="29"/>
      <c r="AA95" s="29"/>
      <c r="AB95" s="135">
        <f t="shared" si="244"/>
        <v>1</v>
      </c>
      <c r="AC95" s="29"/>
      <c r="AD95" s="29"/>
      <c r="AE95" s="137">
        <f t="shared" si="268"/>
        <v>0</v>
      </c>
      <c r="AF95" s="135">
        <f t="shared" si="246"/>
        <v>1</v>
      </c>
      <c r="AG95" s="29"/>
      <c r="AH95" s="137">
        <f t="shared" si="269"/>
        <v>0</v>
      </c>
      <c r="AI95" s="135">
        <f t="shared" si="247"/>
        <v>1</v>
      </c>
      <c r="AJ95" s="29"/>
      <c r="AK95" s="137">
        <f t="shared" si="270"/>
        <v>0</v>
      </c>
      <c r="AL95" s="135">
        <f t="shared" si="248"/>
        <v>1</v>
      </c>
      <c r="AM95" s="29"/>
      <c r="AN95" s="137">
        <f t="shared" si="271"/>
        <v>0</v>
      </c>
      <c r="AO95" s="135">
        <f t="shared" si="249"/>
        <v>1</v>
      </c>
      <c r="AP95" s="29"/>
      <c r="AQ95" s="137">
        <f t="shared" si="272"/>
        <v>0</v>
      </c>
      <c r="AR95" s="135">
        <f t="shared" si="250"/>
        <v>1</v>
      </c>
      <c r="AS95" s="29"/>
      <c r="AT95" s="137">
        <f t="shared" si="273"/>
        <v>0</v>
      </c>
      <c r="AU95" s="135">
        <f t="shared" si="251"/>
        <v>1</v>
      </c>
      <c r="AV95" s="29"/>
      <c r="AW95" s="137">
        <f t="shared" si="274"/>
        <v>0</v>
      </c>
      <c r="AX95" s="135">
        <f t="shared" si="252"/>
        <v>1</v>
      </c>
      <c r="AY95" s="29"/>
      <c r="AZ95" s="137">
        <f t="shared" si="275"/>
        <v>0</v>
      </c>
      <c r="BA95" s="135">
        <f t="shared" si="253"/>
        <v>1</v>
      </c>
      <c r="BB95" s="29"/>
      <c r="BC95" s="137">
        <f t="shared" si="276"/>
        <v>0</v>
      </c>
      <c r="BD95" s="135">
        <f t="shared" si="254"/>
        <v>1</v>
      </c>
      <c r="BE95" s="29"/>
      <c r="BF95" s="137">
        <f t="shared" si="277"/>
        <v>0</v>
      </c>
      <c r="BG95" s="135">
        <f t="shared" si="255"/>
        <v>1</v>
      </c>
      <c r="BH95" s="29"/>
      <c r="BI95" s="29"/>
      <c r="BJ95" s="29"/>
      <c r="BK95" s="135">
        <f>IF($AA$95=0,1,BJ95/$AA$95-1)</f>
        <v>1</v>
      </c>
      <c r="BL95" s="135">
        <f t="shared" si="257"/>
        <v>1</v>
      </c>
      <c r="BM95" s="167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</row>
    <row r="96" spans="1:206" s="106" customFormat="1" ht="18" customHeight="1">
      <c r="A96" s="427" t="s">
        <v>34</v>
      </c>
      <c r="B96" s="427"/>
      <c r="C96" s="29"/>
      <c r="D96" s="134">
        <f t="shared" si="280"/>
        <v>0</v>
      </c>
      <c r="E96" s="29"/>
      <c r="F96" s="29"/>
      <c r="G96" s="137">
        <f t="shared" si="258"/>
        <v>0</v>
      </c>
      <c r="H96" s="29"/>
      <c r="I96" s="137">
        <f t="shared" si="259"/>
        <v>0</v>
      </c>
      <c r="J96" s="29"/>
      <c r="K96" s="137">
        <f t="shared" si="260"/>
        <v>0</v>
      </c>
      <c r="L96" s="29"/>
      <c r="M96" s="137">
        <f t="shared" si="261"/>
        <v>0</v>
      </c>
      <c r="N96" s="29"/>
      <c r="O96" s="137">
        <f t="shared" si="262"/>
        <v>0</v>
      </c>
      <c r="P96" s="29"/>
      <c r="Q96" s="137">
        <f t="shared" si="263"/>
        <v>0</v>
      </c>
      <c r="R96" s="29"/>
      <c r="S96" s="137">
        <f t="shared" si="264"/>
        <v>0</v>
      </c>
      <c r="T96" s="29"/>
      <c r="U96" s="137">
        <f t="shared" si="265"/>
        <v>0</v>
      </c>
      <c r="V96" s="29"/>
      <c r="W96" s="137">
        <f t="shared" si="266"/>
        <v>0</v>
      </c>
      <c r="X96" s="29"/>
      <c r="Y96" s="137">
        <f t="shared" si="267"/>
        <v>0</v>
      </c>
      <c r="Z96" s="29"/>
      <c r="AA96" s="29"/>
      <c r="AB96" s="135">
        <f t="shared" si="244"/>
        <v>1</v>
      </c>
      <c r="AC96" s="29"/>
      <c r="AD96" s="29"/>
      <c r="AE96" s="137">
        <f t="shared" si="268"/>
        <v>0</v>
      </c>
      <c r="AF96" s="135">
        <f t="shared" si="246"/>
        <v>1</v>
      </c>
      <c r="AG96" s="29"/>
      <c r="AH96" s="137">
        <f t="shared" si="269"/>
        <v>0</v>
      </c>
      <c r="AI96" s="135">
        <f t="shared" si="247"/>
        <v>1</v>
      </c>
      <c r="AJ96" s="29"/>
      <c r="AK96" s="137">
        <f t="shared" si="270"/>
        <v>0</v>
      </c>
      <c r="AL96" s="135">
        <f t="shared" si="248"/>
        <v>1</v>
      </c>
      <c r="AM96" s="29"/>
      <c r="AN96" s="137">
        <f t="shared" si="271"/>
        <v>0</v>
      </c>
      <c r="AO96" s="135">
        <f t="shared" si="249"/>
        <v>1</v>
      </c>
      <c r="AP96" s="29"/>
      <c r="AQ96" s="137">
        <f t="shared" si="272"/>
        <v>0</v>
      </c>
      <c r="AR96" s="135">
        <f t="shared" si="250"/>
        <v>1</v>
      </c>
      <c r="AS96" s="29"/>
      <c r="AT96" s="137">
        <f t="shared" si="273"/>
        <v>0</v>
      </c>
      <c r="AU96" s="135">
        <f t="shared" si="251"/>
        <v>1</v>
      </c>
      <c r="AV96" s="29"/>
      <c r="AW96" s="137">
        <f t="shared" si="274"/>
        <v>0</v>
      </c>
      <c r="AX96" s="135">
        <f t="shared" si="252"/>
        <v>1</v>
      </c>
      <c r="AY96" s="29"/>
      <c r="AZ96" s="137">
        <f t="shared" si="275"/>
        <v>0</v>
      </c>
      <c r="BA96" s="135">
        <f t="shared" si="253"/>
        <v>1</v>
      </c>
      <c r="BB96" s="29"/>
      <c r="BC96" s="137">
        <f t="shared" si="276"/>
        <v>0</v>
      </c>
      <c r="BD96" s="135">
        <f t="shared" si="254"/>
        <v>1</v>
      </c>
      <c r="BE96" s="29"/>
      <c r="BF96" s="137">
        <f t="shared" si="277"/>
        <v>0</v>
      </c>
      <c r="BG96" s="135">
        <f t="shared" si="255"/>
        <v>1</v>
      </c>
      <c r="BH96" s="29"/>
      <c r="BI96" s="29"/>
      <c r="BJ96" s="29"/>
      <c r="BK96" s="135">
        <f>IF($AA$96=0,1,BJ96/$AA$96-1)</f>
        <v>1</v>
      </c>
      <c r="BL96" s="135">
        <f t="shared" si="257"/>
        <v>1</v>
      </c>
      <c r="BM96" s="167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</row>
    <row r="97" spans="1:206" s="106" customFormat="1" ht="18" customHeight="1">
      <c r="A97" s="427" t="s">
        <v>34</v>
      </c>
      <c r="B97" s="427"/>
      <c r="C97" s="29"/>
      <c r="D97" s="134">
        <f t="shared" si="280"/>
        <v>0</v>
      </c>
      <c r="E97" s="29"/>
      <c r="F97" s="29"/>
      <c r="G97" s="137">
        <f t="shared" si="258"/>
        <v>0</v>
      </c>
      <c r="H97" s="29"/>
      <c r="I97" s="137">
        <f t="shared" si="259"/>
        <v>0</v>
      </c>
      <c r="J97" s="29"/>
      <c r="K97" s="137">
        <f t="shared" si="260"/>
        <v>0</v>
      </c>
      <c r="L97" s="29"/>
      <c r="M97" s="137">
        <f t="shared" si="261"/>
        <v>0</v>
      </c>
      <c r="N97" s="29"/>
      <c r="O97" s="137">
        <f t="shared" si="262"/>
        <v>0</v>
      </c>
      <c r="P97" s="29"/>
      <c r="Q97" s="137">
        <f t="shared" si="263"/>
        <v>0</v>
      </c>
      <c r="R97" s="29"/>
      <c r="S97" s="137">
        <f t="shared" si="264"/>
        <v>0</v>
      </c>
      <c r="T97" s="29"/>
      <c r="U97" s="137">
        <f t="shared" si="265"/>
        <v>0</v>
      </c>
      <c r="V97" s="29"/>
      <c r="W97" s="137">
        <f t="shared" si="266"/>
        <v>0</v>
      </c>
      <c r="X97" s="29"/>
      <c r="Y97" s="137">
        <f t="shared" si="267"/>
        <v>0</v>
      </c>
      <c r="Z97" s="29"/>
      <c r="AA97" s="29"/>
      <c r="AB97" s="135">
        <f t="shared" si="244"/>
        <v>1</v>
      </c>
      <c r="AC97" s="29"/>
      <c r="AD97" s="29"/>
      <c r="AE97" s="137">
        <f t="shared" si="268"/>
        <v>0</v>
      </c>
      <c r="AF97" s="135">
        <f t="shared" si="246"/>
        <v>1</v>
      </c>
      <c r="AG97" s="29"/>
      <c r="AH97" s="137">
        <f t="shared" si="269"/>
        <v>0</v>
      </c>
      <c r="AI97" s="135">
        <f t="shared" si="247"/>
        <v>1</v>
      </c>
      <c r="AJ97" s="29"/>
      <c r="AK97" s="137">
        <f t="shared" si="270"/>
        <v>0</v>
      </c>
      <c r="AL97" s="135">
        <f t="shared" si="248"/>
        <v>1</v>
      </c>
      <c r="AM97" s="29"/>
      <c r="AN97" s="137">
        <f t="shared" si="271"/>
        <v>0</v>
      </c>
      <c r="AO97" s="135">
        <f t="shared" si="249"/>
        <v>1</v>
      </c>
      <c r="AP97" s="29"/>
      <c r="AQ97" s="137">
        <f t="shared" si="272"/>
        <v>0</v>
      </c>
      <c r="AR97" s="135">
        <f t="shared" si="250"/>
        <v>1</v>
      </c>
      <c r="AS97" s="29"/>
      <c r="AT97" s="137">
        <f t="shared" si="273"/>
        <v>0</v>
      </c>
      <c r="AU97" s="135">
        <f t="shared" si="251"/>
        <v>1</v>
      </c>
      <c r="AV97" s="29"/>
      <c r="AW97" s="137">
        <f t="shared" si="274"/>
        <v>0</v>
      </c>
      <c r="AX97" s="135">
        <f t="shared" si="252"/>
        <v>1</v>
      </c>
      <c r="AY97" s="29"/>
      <c r="AZ97" s="137">
        <f t="shared" si="275"/>
        <v>0</v>
      </c>
      <c r="BA97" s="135">
        <f t="shared" si="253"/>
        <v>1</v>
      </c>
      <c r="BB97" s="29"/>
      <c r="BC97" s="137">
        <f t="shared" si="276"/>
        <v>0</v>
      </c>
      <c r="BD97" s="135">
        <f t="shared" si="254"/>
        <v>1</v>
      </c>
      <c r="BE97" s="29"/>
      <c r="BF97" s="137">
        <f t="shared" si="277"/>
        <v>0</v>
      </c>
      <c r="BG97" s="135">
        <f t="shared" si="255"/>
        <v>1</v>
      </c>
      <c r="BH97" s="29"/>
      <c r="BI97" s="29"/>
      <c r="BJ97" s="29"/>
      <c r="BK97" s="135">
        <f t="shared" ref="BK97:BK100" si="281">IF($AA$96=0,1,BJ97/$AA$96-1)</f>
        <v>1</v>
      </c>
      <c r="BL97" s="135">
        <f t="shared" si="257"/>
        <v>1</v>
      </c>
      <c r="BM97" s="167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</row>
    <row r="98" spans="1:206" s="106" customFormat="1" ht="18" customHeight="1">
      <c r="A98" s="427" t="s">
        <v>34</v>
      </c>
      <c r="B98" s="427"/>
      <c r="C98" s="29"/>
      <c r="D98" s="134">
        <f t="shared" si="280"/>
        <v>0</v>
      </c>
      <c r="E98" s="29"/>
      <c r="F98" s="29"/>
      <c r="G98" s="137">
        <f t="shared" si="258"/>
        <v>0</v>
      </c>
      <c r="H98" s="29"/>
      <c r="I98" s="137">
        <f t="shared" si="259"/>
        <v>0</v>
      </c>
      <c r="J98" s="29"/>
      <c r="K98" s="137">
        <f t="shared" si="260"/>
        <v>0</v>
      </c>
      <c r="L98" s="29"/>
      <c r="M98" s="137">
        <f t="shared" si="261"/>
        <v>0</v>
      </c>
      <c r="N98" s="29"/>
      <c r="O98" s="137">
        <f t="shared" si="262"/>
        <v>0</v>
      </c>
      <c r="P98" s="29"/>
      <c r="Q98" s="137">
        <f t="shared" si="263"/>
        <v>0</v>
      </c>
      <c r="R98" s="29"/>
      <c r="S98" s="137">
        <f t="shared" si="264"/>
        <v>0</v>
      </c>
      <c r="T98" s="29"/>
      <c r="U98" s="137">
        <f t="shared" si="265"/>
        <v>0</v>
      </c>
      <c r="V98" s="29"/>
      <c r="W98" s="137">
        <f t="shared" si="266"/>
        <v>0</v>
      </c>
      <c r="X98" s="29"/>
      <c r="Y98" s="137">
        <f t="shared" si="267"/>
        <v>0</v>
      </c>
      <c r="Z98" s="29"/>
      <c r="AA98" s="29"/>
      <c r="AB98" s="135">
        <f t="shared" si="244"/>
        <v>1</v>
      </c>
      <c r="AC98" s="29"/>
      <c r="AD98" s="29"/>
      <c r="AE98" s="137">
        <f t="shared" si="268"/>
        <v>0</v>
      </c>
      <c r="AF98" s="135">
        <f t="shared" si="246"/>
        <v>1</v>
      </c>
      <c r="AG98" s="29"/>
      <c r="AH98" s="137">
        <f t="shared" si="269"/>
        <v>0</v>
      </c>
      <c r="AI98" s="135">
        <f t="shared" si="247"/>
        <v>1</v>
      </c>
      <c r="AJ98" s="29"/>
      <c r="AK98" s="137">
        <f t="shared" si="270"/>
        <v>0</v>
      </c>
      <c r="AL98" s="135">
        <f t="shared" si="248"/>
        <v>1</v>
      </c>
      <c r="AM98" s="29"/>
      <c r="AN98" s="137">
        <f t="shared" si="271"/>
        <v>0</v>
      </c>
      <c r="AO98" s="135">
        <f t="shared" si="249"/>
        <v>1</v>
      </c>
      <c r="AP98" s="29"/>
      <c r="AQ98" s="137">
        <f t="shared" si="272"/>
        <v>0</v>
      </c>
      <c r="AR98" s="135">
        <f t="shared" si="250"/>
        <v>1</v>
      </c>
      <c r="AS98" s="29"/>
      <c r="AT98" s="137">
        <f t="shared" si="273"/>
        <v>0</v>
      </c>
      <c r="AU98" s="135">
        <f t="shared" si="251"/>
        <v>1</v>
      </c>
      <c r="AV98" s="29"/>
      <c r="AW98" s="137">
        <f t="shared" si="274"/>
        <v>0</v>
      </c>
      <c r="AX98" s="135">
        <f t="shared" si="252"/>
        <v>1</v>
      </c>
      <c r="AY98" s="29"/>
      <c r="AZ98" s="137">
        <f t="shared" si="275"/>
        <v>0</v>
      </c>
      <c r="BA98" s="135">
        <f t="shared" si="253"/>
        <v>1</v>
      </c>
      <c r="BB98" s="29"/>
      <c r="BC98" s="137">
        <f t="shared" si="276"/>
        <v>0</v>
      </c>
      <c r="BD98" s="135">
        <f t="shared" si="254"/>
        <v>1</v>
      </c>
      <c r="BE98" s="29"/>
      <c r="BF98" s="137">
        <f t="shared" si="277"/>
        <v>0</v>
      </c>
      <c r="BG98" s="135">
        <f t="shared" si="255"/>
        <v>1</v>
      </c>
      <c r="BH98" s="29"/>
      <c r="BI98" s="29"/>
      <c r="BJ98" s="29"/>
      <c r="BK98" s="135">
        <f t="shared" si="281"/>
        <v>1</v>
      </c>
      <c r="BL98" s="135">
        <f t="shared" si="257"/>
        <v>1</v>
      </c>
      <c r="BM98" s="167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</row>
    <row r="99" spans="1:206" s="106" customFormat="1" ht="18" customHeight="1">
      <c r="A99" s="427" t="s">
        <v>34</v>
      </c>
      <c r="B99" s="427"/>
      <c r="C99" s="29"/>
      <c r="D99" s="134">
        <f t="shared" si="280"/>
        <v>0</v>
      </c>
      <c r="E99" s="29"/>
      <c r="F99" s="29"/>
      <c r="G99" s="137">
        <f t="shared" si="258"/>
        <v>0</v>
      </c>
      <c r="H99" s="29"/>
      <c r="I99" s="137">
        <f t="shared" si="259"/>
        <v>0</v>
      </c>
      <c r="J99" s="29"/>
      <c r="K99" s="137">
        <f t="shared" si="260"/>
        <v>0</v>
      </c>
      <c r="L99" s="29"/>
      <c r="M99" s="137">
        <f t="shared" si="261"/>
        <v>0</v>
      </c>
      <c r="N99" s="29"/>
      <c r="O99" s="137">
        <f t="shared" si="262"/>
        <v>0</v>
      </c>
      <c r="P99" s="29"/>
      <c r="Q99" s="137">
        <f t="shared" si="263"/>
        <v>0</v>
      </c>
      <c r="R99" s="29"/>
      <c r="S99" s="137">
        <f t="shared" si="264"/>
        <v>0</v>
      </c>
      <c r="T99" s="29"/>
      <c r="U99" s="137">
        <f t="shared" si="265"/>
        <v>0</v>
      </c>
      <c r="V99" s="29"/>
      <c r="W99" s="137">
        <f t="shared" si="266"/>
        <v>0</v>
      </c>
      <c r="X99" s="29"/>
      <c r="Y99" s="137">
        <f t="shared" si="267"/>
        <v>0</v>
      </c>
      <c r="Z99" s="29"/>
      <c r="AA99" s="29"/>
      <c r="AB99" s="135">
        <f t="shared" si="244"/>
        <v>1</v>
      </c>
      <c r="AC99" s="29"/>
      <c r="AD99" s="29"/>
      <c r="AE99" s="137">
        <f t="shared" si="268"/>
        <v>0</v>
      </c>
      <c r="AF99" s="135">
        <f t="shared" si="246"/>
        <v>1</v>
      </c>
      <c r="AG99" s="29"/>
      <c r="AH99" s="137">
        <f t="shared" si="269"/>
        <v>0</v>
      </c>
      <c r="AI99" s="135">
        <f t="shared" si="247"/>
        <v>1</v>
      </c>
      <c r="AJ99" s="29"/>
      <c r="AK99" s="137">
        <f t="shared" si="270"/>
        <v>0</v>
      </c>
      <c r="AL99" s="135">
        <f t="shared" si="248"/>
        <v>1</v>
      </c>
      <c r="AM99" s="29"/>
      <c r="AN99" s="137">
        <f t="shared" si="271"/>
        <v>0</v>
      </c>
      <c r="AO99" s="135">
        <f t="shared" si="249"/>
        <v>1</v>
      </c>
      <c r="AP99" s="29"/>
      <c r="AQ99" s="137">
        <f t="shared" si="272"/>
        <v>0</v>
      </c>
      <c r="AR99" s="135">
        <f t="shared" si="250"/>
        <v>1</v>
      </c>
      <c r="AS99" s="29"/>
      <c r="AT99" s="137">
        <f t="shared" si="273"/>
        <v>0</v>
      </c>
      <c r="AU99" s="135">
        <f t="shared" si="251"/>
        <v>1</v>
      </c>
      <c r="AV99" s="29"/>
      <c r="AW99" s="137">
        <f t="shared" si="274"/>
        <v>0</v>
      </c>
      <c r="AX99" s="135">
        <f t="shared" si="252"/>
        <v>1</v>
      </c>
      <c r="AY99" s="29"/>
      <c r="AZ99" s="137">
        <f t="shared" si="275"/>
        <v>0</v>
      </c>
      <c r="BA99" s="135">
        <f t="shared" si="253"/>
        <v>1</v>
      </c>
      <c r="BB99" s="29"/>
      <c r="BC99" s="137">
        <f t="shared" si="276"/>
        <v>0</v>
      </c>
      <c r="BD99" s="135">
        <f t="shared" si="254"/>
        <v>1</v>
      </c>
      <c r="BE99" s="29"/>
      <c r="BF99" s="137">
        <f t="shared" si="277"/>
        <v>0</v>
      </c>
      <c r="BG99" s="135">
        <f t="shared" si="255"/>
        <v>1</v>
      </c>
      <c r="BH99" s="29"/>
      <c r="BI99" s="29"/>
      <c r="BJ99" s="29"/>
      <c r="BK99" s="135">
        <f t="shared" si="281"/>
        <v>1</v>
      </c>
      <c r="BL99" s="135">
        <f t="shared" si="257"/>
        <v>1</v>
      </c>
      <c r="BM99" s="167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</row>
    <row r="100" spans="1:206" ht="16.5" customHeight="1">
      <c r="A100" s="427" t="s">
        <v>34</v>
      </c>
      <c r="B100" s="427"/>
      <c r="C100" s="29"/>
      <c r="D100" s="134">
        <f t="shared" si="280"/>
        <v>0</v>
      </c>
      <c r="E100" s="29"/>
      <c r="F100" s="29"/>
      <c r="G100" s="137">
        <f t="shared" si="258"/>
        <v>0</v>
      </c>
      <c r="H100" s="29"/>
      <c r="I100" s="137">
        <f t="shared" si="259"/>
        <v>0</v>
      </c>
      <c r="J100" s="29"/>
      <c r="K100" s="137">
        <f t="shared" si="260"/>
        <v>0</v>
      </c>
      <c r="L100" s="29"/>
      <c r="M100" s="137">
        <f t="shared" si="261"/>
        <v>0</v>
      </c>
      <c r="N100" s="29"/>
      <c r="O100" s="137">
        <f t="shared" si="262"/>
        <v>0</v>
      </c>
      <c r="P100" s="29"/>
      <c r="Q100" s="137">
        <f t="shared" si="263"/>
        <v>0</v>
      </c>
      <c r="R100" s="29"/>
      <c r="S100" s="137">
        <f t="shared" si="264"/>
        <v>0</v>
      </c>
      <c r="T100" s="29"/>
      <c r="U100" s="137">
        <f t="shared" si="265"/>
        <v>0</v>
      </c>
      <c r="V100" s="29"/>
      <c r="W100" s="137">
        <f t="shared" si="266"/>
        <v>0</v>
      </c>
      <c r="X100" s="29"/>
      <c r="Y100" s="137">
        <f t="shared" si="267"/>
        <v>0</v>
      </c>
      <c r="Z100" s="29"/>
      <c r="AA100" s="29"/>
      <c r="AB100" s="135">
        <f t="shared" si="244"/>
        <v>1</v>
      </c>
      <c r="AC100" s="29"/>
      <c r="AD100" s="29"/>
      <c r="AE100" s="137">
        <f t="shared" si="268"/>
        <v>0</v>
      </c>
      <c r="AF100" s="135">
        <f t="shared" si="246"/>
        <v>1</v>
      </c>
      <c r="AG100" s="29"/>
      <c r="AH100" s="137">
        <f t="shared" si="269"/>
        <v>0</v>
      </c>
      <c r="AI100" s="135">
        <f t="shared" si="247"/>
        <v>1</v>
      </c>
      <c r="AJ100" s="29"/>
      <c r="AK100" s="137">
        <f t="shared" si="270"/>
        <v>0</v>
      </c>
      <c r="AL100" s="135">
        <f t="shared" si="248"/>
        <v>1</v>
      </c>
      <c r="AM100" s="29"/>
      <c r="AN100" s="137">
        <f t="shared" si="271"/>
        <v>0</v>
      </c>
      <c r="AO100" s="135">
        <f t="shared" si="249"/>
        <v>1</v>
      </c>
      <c r="AP100" s="29"/>
      <c r="AQ100" s="137">
        <f t="shared" si="272"/>
        <v>0</v>
      </c>
      <c r="AR100" s="135">
        <f t="shared" si="250"/>
        <v>1</v>
      </c>
      <c r="AS100" s="29"/>
      <c r="AT100" s="137">
        <f t="shared" si="273"/>
        <v>0</v>
      </c>
      <c r="AU100" s="135">
        <f t="shared" si="251"/>
        <v>1</v>
      </c>
      <c r="AV100" s="29"/>
      <c r="AW100" s="137">
        <f t="shared" si="274"/>
        <v>0</v>
      </c>
      <c r="AX100" s="135">
        <f t="shared" si="252"/>
        <v>1</v>
      </c>
      <c r="AY100" s="29"/>
      <c r="AZ100" s="137">
        <f t="shared" si="275"/>
        <v>0</v>
      </c>
      <c r="BA100" s="135">
        <f t="shared" si="253"/>
        <v>1</v>
      </c>
      <c r="BB100" s="29"/>
      <c r="BC100" s="137">
        <f t="shared" si="276"/>
        <v>0</v>
      </c>
      <c r="BD100" s="135">
        <f t="shared" si="254"/>
        <v>1</v>
      </c>
      <c r="BE100" s="29"/>
      <c r="BF100" s="137">
        <f t="shared" si="277"/>
        <v>0</v>
      </c>
      <c r="BG100" s="135">
        <f t="shared" si="255"/>
        <v>1</v>
      </c>
      <c r="BH100" s="29"/>
      <c r="BI100" s="29"/>
      <c r="BJ100" s="29"/>
      <c r="BK100" s="135">
        <f t="shared" si="281"/>
        <v>1</v>
      </c>
      <c r="BL100" s="135">
        <f t="shared" si="257"/>
        <v>1</v>
      </c>
    </row>
    <row r="101" spans="1:206" s="104" customFormat="1" ht="18" customHeight="1">
      <c r="A101" s="428" t="s">
        <v>68</v>
      </c>
      <c r="B101" s="428"/>
      <c r="C101" s="137">
        <f t="shared" ref="C101:F101" si="282">C102+C103+C104+C105+C106+C107+C108+C112+C109+C110+C111</f>
        <v>0</v>
      </c>
      <c r="D101" s="137">
        <f t="shared" si="282"/>
        <v>0</v>
      </c>
      <c r="E101" s="137">
        <f t="shared" si="282"/>
        <v>0</v>
      </c>
      <c r="F101" s="137">
        <f t="shared" si="282"/>
        <v>0</v>
      </c>
      <c r="G101" s="137">
        <f t="shared" si="258"/>
        <v>0</v>
      </c>
      <c r="H101" s="137">
        <f>H102+H103+H104+H105+H106+H107+H108+H112+H109+H110+H111</f>
        <v>0</v>
      </c>
      <c r="I101" s="137">
        <f t="shared" ref="I101" si="283">I102+I103+I104+I105+I106+I107+I108+I112</f>
        <v>0</v>
      </c>
      <c r="J101" s="137">
        <f>J102+J103+J104+J105+J106+J107+J108+J112+J109+J110+J111</f>
        <v>0</v>
      </c>
      <c r="K101" s="137">
        <f t="shared" si="260"/>
        <v>0</v>
      </c>
      <c r="L101" s="137">
        <f>L102+L103+L104+L105+L106+L107+L108+L112+L109+L110+L111</f>
        <v>0</v>
      </c>
      <c r="M101" s="137">
        <f t="shared" si="261"/>
        <v>0</v>
      </c>
      <c r="N101" s="137">
        <f>N102+N103+N104+N105+N106+N107+N108+N112+N109+N110+N111</f>
        <v>0</v>
      </c>
      <c r="O101" s="137">
        <f t="shared" si="262"/>
        <v>0</v>
      </c>
      <c r="P101" s="137">
        <f>P102+P103+P104+P105+P106+P107+P108+P112+P109+P110+P111</f>
        <v>0</v>
      </c>
      <c r="Q101" s="137">
        <f t="shared" si="263"/>
        <v>0</v>
      </c>
      <c r="R101" s="137">
        <f>R102+R103+R104+R105+R106+R107+R108+R112+R109+R110+R111</f>
        <v>0</v>
      </c>
      <c r="S101" s="137">
        <f t="shared" si="264"/>
        <v>0</v>
      </c>
      <c r="T101" s="137">
        <f>T102+T103+T104+T105+T106+T107+T108+T112+T109+T110+T111</f>
        <v>0</v>
      </c>
      <c r="U101" s="137">
        <f t="shared" si="265"/>
        <v>0</v>
      </c>
      <c r="V101" s="137">
        <f>V102+V103+V104+V105+V106+V107+V108+V112+V109+V110+V111</f>
        <v>0</v>
      </c>
      <c r="W101" s="137">
        <f t="shared" si="266"/>
        <v>0</v>
      </c>
      <c r="X101" s="137">
        <f>X102+X103+X104+X105+X106+X107+X108+X112+X109+X110+X111</f>
        <v>0</v>
      </c>
      <c r="Y101" s="137">
        <f t="shared" si="267"/>
        <v>0</v>
      </c>
      <c r="Z101" s="137">
        <f>Z102+Z103+Z104+Z105+Z106+Z107+Z108+Z112+Z109+Z110+Z111</f>
        <v>0</v>
      </c>
      <c r="AA101" s="137">
        <f t="shared" ref="AA101" si="284">AA102+AA103+AA104+AA105+AA106+AA107+AA108+AA112</f>
        <v>0</v>
      </c>
      <c r="AB101" s="135">
        <f t="shared" si="244"/>
        <v>1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268"/>
        <v>0</v>
      </c>
      <c r="AF101" s="135">
        <f t="shared" si="246"/>
        <v>1</v>
      </c>
      <c r="AG101" s="137">
        <f>AG102+AG103+AG104+AG105+AG106+AG107+AG108+AG112+AG109+AG110+AG111</f>
        <v>0</v>
      </c>
      <c r="AH101" s="137">
        <f t="shared" si="269"/>
        <v>0</v>
      </c>
      <c r="AI101" s="135">
        <f t="shared" si="247"/>
        <v>1</v>
      </c>
      <c r="AJ101" s="137">
        <f>AJ102+AJ103+AJ104+AJ105+AJ106+AJ107+AJ108+AJ112+AJ109+AJ110+AJ111</f>
        <v>0</v>
      </c>
      <c r="AK101" s="137">
        <f t="shared" si="270"/>
        <v>0</v>
      </c>
      <c r="AL101" s="135">
        <f t="shared" si="248"/>
        <v>1</v>
      </c>
      <c r="AM101" s="137">
        <f>AM102+AM103+AM104+AM105+AM106+AM107+AM108+AM112+AM109+AM110+AM111</f>
        <v>0</v>
      </c>
      <c r="AN101" s="137">
        <f t="shared" si="271"/>
        <v>0</v>
      </c>
      <c r="AO101" s="135">
        <f t="shared" si="249"/>
        <v>1</v>
      </c>
      <c r="AP101" s="137">
        <f>AP102+AP103+AP104+AP105+AP106+AP107+AP108+AP112+AP109+AP110+AP111</f>
        <v>0</v>
      </c>
      <c r="AQ101" s="137">
        <f t="shared" si="272"/>
        <v>0</v>
      </c>
      <c r="AR101" s="135">
        <f t="shared" si="250"/>
        <v>1</v>
      </c>
      <c r="AS101" s="137">
        <f>AS102+AS103+AS104+AS105+AS106+AS107+AS108+AS112+AS109+AS110+AS111</f>
        <v>0</v>
      </c>
      <c r="AT101" s="137">
        <f t="shared" si="273"/>
        <v>0</v>
      </c>
      <c r="AU101" s="135">
        <f t="shared" si="251"/>
        <v>1</v>
      </c>
      <c r="AV101" s="137">
        <f>AV102+AV103+AV104+AV105+AV106+AV107+AV108+AV112+AV109+AV110+AV111</f>
        <v>0</v>
      </c>
      <c r="AW101" s="137">
        <f t="shared" si="274"/>
        <v>0</v>
      </c>
      <c r="AX101" s="135">
        <f t="shared" si="252"/>
        <v>1</v>
      </c>
      <c r="AY101" s="137">
        <f>AY102+AY103+AY104+AY105+AY106+AY107+AY108+AY112+AY109+AY110+AY111</f>
        <v>0</v>
      </c>
      <c r="AZ101" s="137">
        <f t="shared" si="275"/>
        <v>0</v>
      </c>
      <c r="BA101" s="135">
        <f t="shared" si="253"/>
        <v>1</v>
      </c>
      <c r="BB101" s="137">
        <f>BB102+BB103+BB104+BB105+BB106+BB107+BB108+BB112+BB109+BB110+BB111</f>
        <v>0</v>
      </c>
      <c r="BC101" s="137">
        <f t="shared" si="276"/>
        <v>0</v>
      </c>
      <c r="BD101" s="135">
        <f t="shared" si="254"/>
        <v>1</v>
      </c>
      <c r="BE101" s="137">
        <f>BE102+BE103+BE104+BE105+BE106+BE107+BE108+BE112+BE109+BE110+BE111</f>
        <v>0</v>
      </c>
      <c r="BF101" s="137">
        <f t="shared" si="277"/>
        <v>0</v>
      </c>
      <c r="BG101" s="135">
        <f t="shared" si="255"/>
        <v>1</v>
      </c>
      <c r="BH101" s="137">
        <f>BH102+BH103+BH104+BH105+BH106+BH107+BH108+BH112+BH109+BH110+BH111</f>
        <v>0</v>
      </c>
      <c r="BI101" s="137">
        <f t="shared" ref="BI101:BJ101" si="285">BI102+BI103+BI104+BI105+BI106+BI107+BI108+BI112</f>
        <v>0</v>
      </c>
      <c r="BJ101" s="137">
        <f t="shared" si="285"/>
        <v>0</v>
      </c>
      <c r="BK101" s="135">
        <f>IF($AA$101=0,1,BJ101/$AA$101-1)</f>
        <v>1</v>
      </c>
      <c r="BL101" s="135">
        <f t="shared" si="257"/>
        <v>1</v>
      </c>
      <c r="BM101" s="167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</row>
    <row r="102" spans="1:206" s="104" customFormat="1" ht="19.5" customHeight="1">
      <c r="A102" s="426">
        <v>243</v>
      </c>
      <c r="B102" s="426"/>
      <c r="C102" s="29"/>
      <c r="D102" s="134">
        <f t="shared" ref="D102:D112" si="286">E102+F102+H102+J102+L102+N102+P102+R102+T102+V102+X102+Z102</f>
        <v>0</v>
      </c>
      <c r="E102" s="29"/>
      <c r="F102" s="29"/>
      <c r="G102" s="137">
        <f t="shared" si="258"/>
        <v>0</v>
      </c>
      <c r="H102" s="29"/>
      <c r="I102" s="137">
        <f t="shared" ref="I102:I112" si="287">F102+E102</f>
        <v>0</v>
      </c>
      <c r="J102" s="29"/>
      <c r="K102" s="137">
        <f t="shared" si="260"/>
        <v>0</v>
      </c>
      <c r="L102" s="29"/>
      <c r="M102" s="137">
        <f t="shared" si="261"/>
        <v>0</v>
      </c>
      <c r="N102" s="29"/>
      <c r="O102" s="137">
        <f t="shared" si="262"/>
        <v>0</v>
      </c>
      <c r="P102" s="29"/>
      <c r="Q102" s="137">
        <f t="shared" si="263"/>
        <v>0</v>
      </c>
      <c r="R102" s="29"/>
      <c r="S102" s="137">
        <f t="shared" si="264"/>
        <v>0</v>
      </c>
      <c r="T102" s="29"/>
      <c r="U102" s="137">
        <f t="shared" si="265"/>
        <v>0</v>
      </c>
      <c r="V102" s="29"/>
      <c r="W102" s="137">
        <f t="shared" si="266"/>
        <v>0</v>
      </c>
      <c r="X102" s="29"/>
      <c r="Y102" s="137">
        <f t="shared" si="267"/>
        <v>0</v>
      </c>
      <c r="Z102" s="29"/>
      <c r="AA102" s="29"/>
      <c r="AB102" s="135">
        <f t="shared" si="244"/>
        <v>1</v>
      </c>
      <c r="AC102" s="29"/>
      <c r="AD102" s="29"/>
      <c r="AE102" s="137">
        <f t="shared" si="268"/>
        <v>0</v>
      </c>
      <c r="AF102" s="135">
        <f t="shared" si="246"/>
        <v>1</v>
      </c>
      <c r="AG102" s="29"/>
      <c r="AH102" s="137">
        <f t="shared" si="269"/>
        <v>0</v>
      </c>
      <c r="AI102" s="135">
        <f t="shared" si="247"/>
        <v>1</v>
      </c>
      <c r="AJ102" s="29"/>
      <c r="AK102" s="137">
        <f t="shared" si="270"/>
        <v>0</v>
      </c>
      <c r="AL102" s="135">
        <f t="shared" si="248"/>
        <v>1</v>
      </c>
      <c r="AM102" s="29"/>
      <c r="AN102" s="137">
        <f t="shared" si="271"/>
        <v>0</v>
      </c>
      <c r="AO102" s="135">
        <f t="shared" si="249"/>
        <v>1</v>
      </c>
      <c r="AP102" s="29"/>
      <c r="AQ102" s="137">
        <f t="shared" si="272"/>
        <v>0</v>
      </c>
      <c r="AR102" s="135">
        <f t="shared" si="250"/>
        <v>1</v>
      </c>
      <c r="AS102" s="29"/>
      <c r="AT102" s="137">
        <f t="shared" si="273"/>
        <v>0</v>
      </c>
      <c r="AU102" s="135">
        <f t="shared" si="251"/>
        <v>1</v>
      </c>
      <c r="AV102" s="29"/>
      <c r="AW102" s="137">
        <f t="shared" si="274"/>
        <v>0</v>
      </c>
      <c r="AX102" s="135">
        <f t="shared" si="252"/>
        <v>1</v>
      </c>
      <c r="AY102" s="29"/>
      <c r="AZ102" s="137">
        <f t="shared" si="275"/>
        <v>0</v>
      </c>
      <c r="BA102" s="135">
        <f t="shared" si="253"/>
        <v>1</v>
      </c>
      <c r="BB102" s="29"/>
      <c r="BC102" s="137">
        <f t="shared" si="276"/>
        <v>0</v>
      </c>
      <c r="BD102" s="135">
        <f t="shared" si="254"/>
        <v>1</v>
      </c>
      <c r="BE102" s="29"/>
      <c r="BF102" s="137">
        <f t="shared" si="277"/>
        <v>0</v>
      </c>
      <c r="BG102" s="135">
        <f t="shared" si="255"/>
        <v>1</v>
      </c>
      <c r="BH102" s="29"/>
      <c r="BI102" s="29"/>
      <c r="BJ102" s="29">
        <v>0</v>
      </c>
      <c r="BK102" s="135">
        <f>IF($AA$102=0,1,BJ102/$AA$102-1)</f>
        <v>1</v>
      </c>
      <c r="BL102" s="135">
        <f t="shared" si="257"/>
        <v>1</v>
      </c>
      <c r="BM102" s="167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</row>
    <row r="103" spans="1:206" s="106" customFormat="1" ht="18" customHeight="1">
      <c r="A103" s="426">
        <v>244</v>
      </c>
      <c r="B103" s="426"/>
      <c r="C103" s="29"/>
      <c r="D103" s="134">
        <f t="shared" si="286"/>
        <v>0</v>
      </c>
      <c r="E103" s="29"/>
      <c r="F103" s="29"/>
      <c r="G103" s="137">
        <f t="shared" si="258"/>
        <v>0</v>
      </c>
      <c r="H103" s="29"/>
      <c r="I103" s="137">
        <f t="shared" si="287"/>
        <v>0</v>
      </c>
      <c r="J103" s="29"/>
      <c r="K103" s="137">
        <f t="shared" si="260"/>
        <v>0</v>
      </c>
      <c r="L103" s="29"/>
      <c r="M103" s="137">
        <f t="shared" si="261"/>
        <v>0</v>
      </c>
      <c r="N103" s="29"/>
      <c r="O103" s="137">
        <f t="shared" si="262"/>
        <v>0</v>
      </c>
      <c r="P103" s="29"/>
      <c r="Q103" s="137">
        <f t="shared" si="263"/>
        <v>0</v>
      </c>
      <c r="R103" s="29"/>
      <c r="S103" s="137">
        <f t="shared" si="264"/>
        <v>0</v>
      </c>
      <c r="T103" s="29"/>
      <c r="U103" s="137">
        <f t="shared" si="265"/>
        <v>0</v>
      </c>
      <c r="V103" s="29"/>
      <c r="W103" s="137">
        <f t="shared" si="266"/>
        <v>0</v>
      </c>
      <c r="X103" s="29"/>
      <c r="Y103" s="137">
        <f t="shared" si="267"/>
        <v>0</v>
      </c>
      <c r="Z103" s="29"/>
      <c r="AA103" s="29"/>
      <c r="AB103" s="135">
        <f t="shared" si="244"/>
        <v>1</v>
      </c>
      <c r="AC103" s="29"/>
      <c r="AD103" s="29"/>
      <c r="AE103" s="137">
        <f t="shared" si="268"/>
        <v>0</v>
      </c>
      <c r="AF103" s="135">
        <f t="shared" si="246"/>
        <v>1</v>
      </c>
      <c r="AG103" s="29"/>
      <c r="AH103" s="137">
        <f t="shared" si="269"/>
        <v>0</v>
      </c>
      <c r="AI103" s="135">
        <f t="shared" si="247"/>
        <v>1</v>
      </c>
      <c r="AJ103" s="29"/>
      <c r="AK103" s="137">
        <f t="shared" si="270"/>
        <v>0</v>
      </c>
      <c r="AL103" s="135">
        <f t="shared" si="248"/>
        <v>1</v>
      </c>
      <c r="AM103" s="29"/>
      <c r="AN103" s="137">
        <f t="shared" si="271"/>
        <v>0</v>
      </c>
      <c r="AO103" s="135">
        <f t="shared" si="249"/>
        <v>1</v>
      </c>
      <c r="AP103" s="29"/>
      <c r="AQ103" s="137">
        <f t="shared" si="272"/>
        <v>0</v>
      </c>
      <c r="AR103" s="135">
        <f t="shared" si="250"/>
        <v>1</v>
      </c>
      <c r="AS103" s="29"/>
      <c r="AT103" s="137">
        <f t="shared" si="273"/>
        <v>0</v>
      </c>
      <c r="AU103" s="135">
        <f t="shared" si="251"/>
        <v>1</v>
      </c>
      <c r="AV103" s="29"/>
      <c r="AW103" s="137">
        <f t="shared" si="274"/>
        <v>0</v>
      </c>
      <c r="AX103" s="135">
        <f t="shared" si="252"/>
        <v>1</v>
      </c>
      <c r="AY103" s="29"/>
      <c r="AZ103" s="137">
        <f t="shared" si="275"/>
        <v>0</v>
      </c>
      <c r="BA103" s="135">
        <f t="shared" si="253"/>
        <v>1</v>
      </c>
      <c r="BB103" s="29"/>
      <c r="BC103" s="137">
        <f t="shared" si="276"/>
        <v>0</v>
      </c>
      <c r="BD103" s="135">
        <f t="shared" si="254"/>
        <v>1</v>
      </c>
      <c r="BE103" s="29"/>
      <c r="BF103" s="137">
        <f t="shared" si="277"/>
        <v>0</v>
      </c>
      <c r="BG103" s="135">
        <f t="shared" si="255"/>
        <v>1</v>
      </c>
      <c r="BH103" s="29"/>
      <c r="BI103" s="29"/>
      <c r="BJ103" s="29">
        <v>0</v>
      </c>
      <c r="BK103" s="135">
        <f>IF($AA$103=0,1,BJ103/$AA$103-1)</f>
        <v>1</v>
      </c>
      <c r="BL103" s="135">
        <f t="shared" si="257"/>
        <v>1</v>
      </c>
      <c r="BM103" s="167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</row>
    <row r="104" spans="1:206" s="106" customFormat="1" ht="18" customHeight="1">
      <c r="A104" s="426">
        <v>414</v>
      </c>
      <c r="B104" s="426"/>
      <c r="C104" s="29"/>
      <c r="D104" s="134">
        <f t="shared" si="286"/>
        <v>0</v>
      </c>
      <c r="E104" s="29"/>
      <c r="F104" s="29"/>
      <c r="G104" s="137">
        <f t="shared" si="258"/>
        <v>0</v>
      </c>
      <c r="H104" s="29"/>
      <c r="I104" s="137">
        <f t="shared" si="287"/>
        <v>0</v>
      </c>
      <c r="J104" s="29"/>
      <c r="K104" s="137">
        <f t="shared" si="260"/>
        <v>0</v>
      </c>
      <c r="L104" s="29"/>
      <c r="M104" s="137">
        <f t="shared" si="261"/>
        <v>0</v>
      </c>
      <c r="N104" s="29"/>
      <c r="O104" s="137">
        <f t="shared" si="262"/>
        <v>0</v>
      </c>
      <c r="P104" s="29"/>
      <c r="Q104" s="137">
        <f t="shared" si="263"/>
        <v>0</v>
      </c>
      <c r="R104" s="29"/>
      <c r="S104" s="137">
        <f t="shared" si="264"/>
        <v>0</v>
      </c>
      <c r="T104" s="29"/>
      <c r="U104" s="137">
        <f t="shared" si="265"/>
        <v>0</v>
      </c>
      <c r="V104" s="29"/>
      <c r="W104" s="137">
        <f t="shared" si="266"/>
        <v>0</v>
      </c>
      <c r="X104" s="29"/>
      <c r="Y104" s="137">
        <f t="shared" si="267"/>
        <v>0</v>
      </c>
      <c r="Z104" s="29"/>
      <c r="AA104" s="29"/>
      <c r="AB104" s="135">
        <f t="shared" si="244"/>
        <v>1</v>
      </c>
      <c r="AC104" s="29"/>
      <c r="AD104" s="29"/>
      <c r="AE104" s="137">
        <f t="shared" si="268"/>
        <v>0</v>
      </c>
      <c r="AF104" s="135">
        <f t="shared" si="246"/>
        <v>1</v>
      </c>
      <c r="AG104" s="29"/>
      <c r="AH104" s="137">
        <f t="shared" si="269"/>
        <v>0</v>
      </c>
      <c r="AI104" s="135">
        <f t="shared" si="247"/>
        <v>1</v>
      </c>
      <c r="AJ104" s="29"/>
      <c r="AK104" s="137">
        <f t="shared" si="270"/>
        <v>0</v>
      </c>
      <c r="AL104" s="135">
        <f t="shared" si="248"/>
        <v>1</v>
      </c>
      <c r="AM104" s="29"/>
      <c r="AN104" s="137">
        <f t="shared" si="271"/>
        <v>0</v>
      </c>
      <c r="AO104" s="135">
        <f t="shared" si="249"/>
        <v>1</v>
      </c>
      <c r="AP104" s="29"/>
      <c r="AQ104" s="137">
        <f t="shared" si="272"/>
        <v>0</v>
      </c>
      <c r="AR104" s="135">
        <f t="shared" si="250"/>
        <v>1</v>
      </c>
      <c r="AS104" s="29"/>
      <c r="AT104" s="137">
        <f t="shared" si="273"/>
        <v>0</v>
      </c>
      <c r="AU104" s="135">
        <f t="shared" si="251"/>
        <v>1</v>
      </c>
      <c r="AV104" s="29"/>
      <c r="AW104" s="137">
        <f t="shared" si="274"/>
        <v>0</v>
      </c>
      <c r="AX104" s="135">
        <f t="shared" si="252"/>
        <v>1</v>
      </c>
      <c r="AY104" s="29"/>
      <c r="AZ104" s="137">
        <f t="shared" si="275"/>
        <v>0</v>
      </c>
      <c r="BA104" s="135">
        <f t="shared" si="253"/>
        <v>1</v>
      </c>
      <c r="BB104" s="29"/>
      <c r="BC104" s="137">
        <f t="shared" si="276"/>
        <v>0</v>
      </c>
      <c r="BD104" s="135">
        <f t="shared" si="254"/>
        <v>1</v>
      </c>
      <c r="BE104" s="29"/>
      <c r="BF104" s="137">
        <f t="shared" si="277"/>
        <v>0</v>
      </c>
      <c r="BG104" s="135">
        <f t="shared" si="255"/>
        <v>1</v>
      </c>
      <c r="BH104" s="29"/>
      <c r="BI104" s="29"/>
      <c r="BJ104" s="29">
        <v>0</v>
      </c>
      <c r="BK104" s="135">
        <f>IF($AA$104=0,1,BJ104/$AA$104-1)</f>
        <v>1</v>
      </c>
      <c r="BL104" s="135">
        <f t="shared" si="257"/>
        <v>1</v>
      </c>
      <c r="BM104" s="167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</row>
    <row r="105" spans="1:206" s="106" customFormat="1" ht="18" customHeight="1">
      <c r="A105" s="426">
        <v>521</v>
      </c>
      <c r="B105" s="426"/>
      <c r="C105" s="29"/>
      <c r="D105" s="134">
        <f t="shared" si="286"/>
        <v>0</v>
      </c>
      <c r="E105" s="29"/>
      <c r="F105" s="29"/>
      <c r="G105" s="137">
        <f t="shared" si="258"/>
        <v>0</v>
      </c>
      <c r="H105" s="29"/>
      <c r="I105" s="137">
        <f t="shared" si="287"/>
        <v>0</v>
      </c>
      <c r="J105" s="29"/>
      <c r="K105" s="137">
        <f t="shared" si="260"/>
        <v>0</v>
      </c>
      <c r="L105" s="29"/>
      <c r="M105" s="137">
        <f t="shared" si="261"/>
        <v>0</v>
      </c>
      <c r="N105" s="29"/>
      <c r="O105" s="137">
        <f t="shared" si="262"/>
        <v>0</v>
      </c>
      <c r="P105" s="29"/>
      <c r="Q105" s="137">
        <f t="shared" si="263"/>
        <v>0</v>
      </c>
      <c r="R105" s="29"/>
      <c r="S105" s="137">
        <f t="shared" si="264"/>
        <v>0</v>
      </c>
      <c r="T105" s="29"/>
      <c r="U105" s="137">
        <f t="shared" si="265"/>
        <v>0</v>
      </c>
      <c r="V105" s="29"/>
      <c r="W105" s="137">
        <f t="shared" si="266"/>
        <v>0</v>
      </c>
      <c r="X105" s="29"/>
      <c r="Y105" s="137">
        <f t="shared" si="267"/>
        <v>0</v>
      </c>
      <c r="Z105" s="29"/>
      <c r="AA105" s="29"/>
      <c r="AB105" s="135">
        <f t="shared" si="244"/>
        <v>1</v>
      </c>
      <c r="AC105" s="29"/>
      <c r="AD105" s="29"/>
      <c r="AE105" s="137">
        <f t="shared" si="268"/>
        <v>0</v>
      </c>
      <c r="AF105" s="135">
        <f t="shared" si="246"/>
        <v>1</v>
      </c>
      <c r="AG105" s="29"/>
      <c r="AH105" s="137">
        <f t="shared" si="269"/>
        <v>0</v>
      </c>
      <c r="AI105" s="135">
        <f t="shared" si="247"/>
        <v>1</v>
      </c>
      <c r="AJ105" s="29"/>
      <c r="AK105" s="137">
        <f t="shared" si="270"/>
        <v>0</v>
      </c>
      <c r="AL105" s="135">
        <f t="shared" si="248"/>
        <v>1</v>
      </c>
      <c r="AM105" s="29"/>
      <c r="AN105" s="137">
        <f t="shared" si="271"/>
        <v>0</v>
      </c>
      <c r="AO105" s="135">
        <f t="shared" si="249"/>
        <v>1</v>
      </c>
      <c r="AP105" s="29"/>
      <c r="AQ105" s="137">
        <f t="shared" si="272"/>
        <v>0</v>
      </c>
      <c r="AR105" s="135">
        <f t="shared" si="250"/>
        <v>1</v>
      </c>
      <c r="AS105" s="29"/>
      <c r="AT105" s="137">
        <f t="shared" si="273"/>
        <v>0</v>
      </c>
      <c r="AU105" s="135">
        <f t="shared" si="251"/>
        <v>1</v>
      </c>
      <c r="AV105" s="29"/>
      <c r="AW105" s="137">
        <f t="shared" si="274"/>
        <v>0</v>
      </c>
      <c r="AX105" s="135">
        <f t="shared" si="252"/>
        <v>1</v>
      </c>
      <c r="AY105" s="29"/>
      <c r="AZ105" s="137">
        <f t="shared" si="275"/>
        <v>0</v>
      </c>
      <c r="BA105" s="135">
        <f t="shared" si="253"/>
        <v>1</v>
      </c>
      <c r="BB105" s="29"/>
      <c r="BC105" s="137">
        <f t="shared" si="276"/>
        <v>0</v>
      </c>
      <c r="BD105" s="135">
        <f t="shared" si="254"/>
        <v>1</v>
      </c>
      <c r="BE105" s="29"/>
      <c r="BF105" s="137">
        <f t="shared" si="277"/>
        <v>0</v>
      </c>
      <c r="BG105" s="135">
        <f t="shared" si="255"/>
        <v>1</v>
      </c>
      <c r="BH105" s="29"/>
      <c r="BI105" s="29"/>
      <c r="BJ105" s="29">
        <v>0</v>
      </c>
      <c r="BK105" s="135">
        <f>IF($AA$105=0,1,BJ105/$AA$105-1)</f>
        <v>1</v>
      </c>
      <c r="BL105" s="135">
        <f t="shared" si="257"/>
        <v>1</v>
      </c>
      <c r="BM105" s="167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</row>
    <row r="106" spans="1:206" s="106" customFormat="1" ht="18" customHeight="1">
      <c r="A106" s="426">
        <v>831</v>
      </c>
      <c r="B106" s="426"/>
      <c r="C106" s="29"/>
      <c r="D106" s="134">
        <f t="shared" si="286"/>
        <v>0</v>
      </c>
      <c r="E106" s="29"/>
      <c r="F106" s="29"/>
      <c r="G106" s="137">
        <f t="shared" si="258"/>
        <v>0</v>
      </c>
      <c r="H106" s="29"/>
      <c r="I106" s="137">
        <f t="shared" si="287"/>
        <v>0</v>
      </c>
      <c r="J106" s="29"/>
      <c r="K106" s="137">
        <f t="shared" si="260"/>
        <v>0</v>
      </c>
      <c r="L106" s="29"/>
      <c r="M106" s="137">
        <f t="shared" si="261"/>
        <v>0</v>
      </c>
      <c r="N106" s="29"/>
      <c r="O106" s="137">
        <f t="shared" si="262"/>
        <v>0</v>
      </c>
      <c r="P106" s="29"/>
      <c r="Q106" s="137">
        <f t="shared" si="263"/>
        <v>0</v>
      </c>
      <c r="R106" s="29"/>
      <c r="S106" s="137">
        <f t="shared" si="264"/>
        <v>0</v>
      </c>
      <c r="T106" s="29"/>
      <c r="U106" s="137">
        <f t="shared" si="265"/>
        <v>0</v>
      </c>
      <c r="V106" s="29"/>
      <c r="W106" s="137">
        <f t="shared" si="266"/>
        <v>0</v>
      </c>
      <c r="X106" s="29"/>
      <c r="Y106" s="137">
        <f t="shared" si="267"/>
        <v>0</v>
      </c>
      <c r="Z106" s="29"/>
      <c r="AA106" s="29"/>
      <c r="AB106" s="135">
        <f t="shared" si="244"/>
        <v>1</v>
      </c>
      <c r="AC106" s="29"/>
      <c r="AD106" s="29"/>
      <c r="AE106" s="137">
        <f t="shared" si="268"/>
        <v>0</v>
      </c>
      <c r="AF106" s="135">
        <f t="shared" si="246"/>
        <v>1</v>
      </c>
      <c r="AG106" s="29"/>
      <c r="AH106" s="137">
        <f t="shared" si="269"/>
        <v>0</v>
      </c>
      <c r="AI106" s="135">
        <f t="shared" si="247"/>
        <v>1</v>
      </c>
      <c r="AJ106" s="29"/>
      <c r="AK106" s="137">
        <f t="shared" si="270"/>
        <v>0</v>
      </c>
      <c r="AL106" s="135">
        <f t="shared" si="248"/>
        <v>1</v>
      </c>
      <c r="AM106" s="29"/>
      <c r="AN106" s="137">
        <f t="shared" si="271"/>
        <v>0</v>
      </c>
      <c r="AO106" s="135">
        <f t="shared" si="249"/>
        <v>1</v>
      </c>
      <c r="AP106" s="29"/>
      <c r="AQ106" s="137">
        <f t="shared" si="272"/>
        <v>0</v>
      </c>
      <c r="AR106" s="135">
        <f t="shared" si="250"/>
        <v>1</v>
      </c>
      <c r="AS106" s="29"/>
      <c r="AT106" s="137">
        <f t="shared" si="273"/>
        <v>0</v>
      </c>
      <c r="AU106" s="135">
        <f t="shared" si="251"/>
        <v>1</v>
      </c>
      <c r="AV106" s="29"/>
      <c r="AW106" s="137">
        <f t="shared" si="274"/>
        <v>0</v>
      </c>
      <c r="AX106" s="135">
        <f t="shared" si="252"/>
        <v>1</v>
      </c>
      <c r="AY106" s="29"/>
      <c r="AZ106" s="137">
        <f t="shared" si="275"/>
        <v>0</v>
      </c>
      <c r="BA106" s="135">
        <f t="shared" si="253"/>
        <v>1</v>
      </c>
      <c r="BB106" s="29"/>
      <c r="BC106" s="137">
        <f t="shared" si="276"/>
        <v>0</v>
      </c>
      <c r="BD106" s="135">
        <f t="shared" si="254"/>
        <v>1</v>
      </c>
      <c r="BE106" s="29"/>
      <c r="BF106" s="137">
        <f t="shared" si="277"/>
        <v>0</v>
      </c>
      <c r="BG106" s="135">
        <f t="shared" si="255"/>
        <v>1</v>
      </c>
      <c r="BH106" s="29"/>
      <c r="BI106" s="29"/>
      <c r="BJ106" s="29">
        <v>0</v>
      </c>
      <c r="BK106" s="135">
        <f t="shared" ref="BK106:BK112" si="288">IF($AA$105=0,1,BJ106/$AA$105-1)</f>
        <v>1</v>
      </c>
      <c r="BL106" s="135">
        <f t="shared" si="257"/>
        <v>1</v>
      </c>
      <c r="BM106" s="167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</row>
    <row r="107" spans="1:206" s="106" customFormat="1" ht="18" customHeight="1">
      <c r="A107" s="426">
        <v>851</v>
      </c>
      <c r="B107" s="426"/>
      <c r="C107" s="29"/>
      <c r="D107" s="134">
        <f t="shared" si="286"/>
        <v>0</v>
      </c>
      <c r="E107" s="29"/>
      <c r="F107" s="29"/>
      <c r="G107" s="137">
        <f t="shared" si="258"/>
        <v>0</v>
      </c>
      <c r="H107" s="29"/>
      <c r="I107" s="137">
        <f t="shared" si="287"/>
        <v>0</v>
      </c>
      <c r="J107" s="29"/>
      <c r="K107" s="137">
        <f t="shared" si="260"/>
        <v>0</v>
      </c>
      <c r="L107" s="29"/>
      <c r="M107" s="137">
        <f t="shared" si="261"/>
        <v>0</v>
      </c>
      <c r="N107" s="29"/>
      <c r="O107" s="137">
        <f t="shared" si="262"/>
        <v>0</v>
      </c>
      <c r="P107" s="29"/>
      <c r="Q107" s="137">
        <f t="shared" si="263"/>
        <v>0</v>
      </c>
      <c r="R107" s="29"/>
      <c r="S107" s="137">
        <f t="shared" si="264"/>
        <v>0</v>
      </c>
      <c r="T107" s="29"/>
      <c r="U107" s="137">
        <f t="shared" si="265"/>
        <v>0</v>
      </c>
      <c r="V107" s="29"/>
      <c r="W107" s="137">
        <f t="shared" si="266"/>
        <v>0</v>
      </c>
      <c r="X107" s="29"/>
      <c r="Y107" s="137">
        <f t="shared" si="267"/>
        <v>0</v>
      </c>
      <c r="Z107" s="29"/>
      <c r="AA107" s="29"/>
      <c r="AB107" s="135">
        <f t="shared" si="244"/>
        <v>1</v>
      </c>
      <c r="AC107" s="29"/>
      <c r="AD107" s="29"/>
      <c r="AE107" s="137">
        <f t="shared" si="268"/>
        <v>0</v>
      </c>
      <c r="AF107" s="135">
        <f t="shared" si="246"/>
        <v>1</v>
      </c>
      <c r="AG107" s="29"/>
      <c r="AH107" s="137">
        <f t="shared" si="269"/>
        <v>0</v>
      </c>
      <c r="AI107" s="135">
        <f t="shared" si="247"/>
        <v>1</v>
      </c>
      <c r="AJ107" s="29"/>
      <c r="AK107" s="137">
        <f t="shared" si="270"/>
        <v>0</v>
      </c>
      <c r="AL107" s="135">
        <f t="shared" si="248"/>
        <v>1</v>
      </c>
      <c r="AM107" s="29"/>
      <c r="AN107" s="137">
        <f t="shared" si="271"/>
        <v>0</v>
      </c>
      <c r="AO107" s="135">
        <f t="shared" si="249"/>
        <v>1</v>
      </c>
      <c r="AP107" s="29"/>
      <c r="AQ107" s="137">
        <f t="shared" si="272"/>
        <v>0</v>
      </c>
      <c r="AR107" s="135">
        <f t="shared" si="250"/>
        <v>1</v>
      </c>
      <c r="AS107" s="29"/>
      <c r="AT107" s="137">
        <f t="shared" si="273"/>
        <v>0</v>
      </c>
      <c r="AU107" s="135">
        <f t="shared" si="251"/>
        <v>1</v>
      </c>
      <c r="AV107" s="29"/>
      <c r="AW107" s="137">
        <f t="shared" si="274"/>
        <v>0</v>
      </c>
      <c r="AX107" s="135">
        <f t="shared" si="252"/>
        <v>1</v>
      </c>
      <c r="AY107" s="29"/>
      <c r="AZ107" s="137">
        <f t="shared" si="275"/>
        <v>0</v>
      </c>
      <c r="BA107" s="135">
        <f t="shared" si="253"/>
        <v>1</v>
      </c>
      <c r="BB107" s="29"/>
      <c r="BC107" s="137">
        <f t="shared" si="276"/>
        <v>0</v>
      </c>
      <c r="BD107" s="135">
        <f t="shared" si="254"/>
        <v>1</v>
      </c>
      <c r="BE107" s="29"/>
      <c r="BF107" s="137">
        <f t="shared" si="277"/>
        <v>0</v>
      </c>
      <c r="BG107" s="135">
        <f t="shared" si="255"/>
        <v>1</v>
      </c>
      <c r="BH107" s="29"/>
      <c r="BI107" s="29"/>
      <c r="BJ107" s="29">
        <v>0</v>
      </c>
      <c r="BK107" s="135">
        <f t="shared" si="288"/>
        <v>1</v>
      </c>
      <c r="BL107" s="135">
        <f t="shared" si="257"/>
        <v>1</v>
      </c>
      <c r="BM107" s="167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</row>
    <row r="108" spans="1:206" s="106" customFormat="1" ht="18" customHeight="1">
      <c r="A108" s="426">
        <v>853</v>
      </c>
      <c r="B108" s="426"/>
      <c r="C108" s="29"/>
      <c r="D108" s="134">
        <f t="shared" si="286"/>
        <v>0</v>
      </c>
      <c r="E108" s="29"/>
      <c r="F108" s="29"/>
      <c r="G108" s="137">
        <f t="shared" si="258"/>
        <v>0</v>
      </c>
      <c r="H108" s="29"/>
      <c r="I108" s="137">
        <f t="shared" si="287"/>
        <v>0</v>
      </c>
      <c r="J108" s="29"/>
      <c r="K108" s="137">
        <f t="shared" si="260"/>
        <v>0</v>
      </c>
      <c r="L108" s="29"/>
      <c r="M108" s="137">
        <f t="shared" si="261"/>
        <v>0</v>
      </c>
      <c r="N108" s="29"/>
      <c r="O108" s="137">
        <f t="shared" si="262"/>
        <v>0</v>
      </c>
      <c r="P108" s="29"/>
      <c r="Q108" s="137">
        <f t="shared" si="263"/>
        <v>0</v>
      </c>
      <c r="R108" s="29"/>
      <c r="S108" s="137">
        <f t="shared" si="264"/>
        <v>0</v>
      </c>
      <c r="T108" s="29"/>
      <c r="U108" s="137">
        <f t="shared" si="265"/>
        <v>0</v>
      </c>
      <c r="V108" s="29"/>
      <c r="W108" s="137">
        <f t="shared" si="266"/>
        <v>0</v>
      </c>
      <c r="X108" s="29"/>
      <c r="Y108" s="137">
        <f t="shared" si="267"/>
        <v>0</v>
      </c>
      <c r="Z108" s="29"/>
      <c r="AA108" s="29"/>
      <c r="AB108" s="135">
        <f t="shared" si="244"/>
        <v>1</v>
      </c>
      <c r="AC108" s="29"/>
      <c r="AD108" s="29"/>
      <c r="AE108" s="137">
        <f t="shared" si="268"/>
        <v>0</v>
      </c>
      <c r="AF108" s="135">
        <f t="shared" si="246"/>
        <v>1</v>
      </c>
      <c r="AG108" s="29"/>
      <c r="AH108" s="137">
        <f t="shared" si="269"/>
        <v>0</v>
      </c>
      <c r="AI108" s="135">
        <f t="shared" si="247"/>
        <v>1</v>
      </c>
      <c r="AJ108" s="29"/>
      <c r="AK108" s="137">
        <f t="shared" si="270"/>
        <v>0</v>
      </c>
      <c r="AL108" s="135">
        <f t="shared" si="248"/>
        <v>1</v>
      </c>
      <c r="AM108" s="29"/>
      <c r="AN108" s="137">
        <f t="shared" si="271"/>
        <v>0</v>
      </c>
      <c r="AO108" s="135">
        <f t="shared" si="249"/>
        <v>1</v>
      </c>
      <c r="AP108" s="29"/>
      <c r="AQ108" s="137">
        <f t="shared" si="272"/>
        <v>0</v>
      </c>
      <c r="AR108" s="135">
        <f t="shared" si="250"/>
        <v>1</v>
      </c>
      <c r="AS108" s="29"/>
      <c r="AT108" s="137">
        <f t="shared" si="273"/>
        <v>0</v>
      </c>
      <c r="AU108" s="135">
        <f t="shared" si="251"/>
        <v>1</v>
      </c>
      <c r="AV108" s="29"/>
      <c r="AW108" s="137">
        <f t="shared" si="274"/>
        <v>0</v>
      </c>
      <c r="AX108" s="135">
        <f t="shared" si="252"/>
        <v>1</v>
      </c>
      <c r="AY108" s="29"/>
      <c r="AZ108" s="137">
        <f t="shared" si="275"/>
        <v>0</v>
      </c>
      <c r="BA108" s="135">
        <f t="shared" si="253"/>
        <v>1</v>
      </c>
      <c r="BB108" s="29"/>
      <c r="BC108" s="137">
        <f t="shared" si="276"/>
        <v>0</v>
      </c>
      <c r="BD108" s="135">
        <f t="shared" si="254"/>
        <v>1</v>
      </c>
      <c r="BE108" s="29"/>
      <c r="BF108" s="137">
        <f t="shared" si="277"/>
        <v>0</v>
      </c>
      <c r="BG108" s="135">
        <f t="shared" si="255"/>
        <v>1</v>
      </c>
      <c r="BH108" s="29"/>
      <c r="BI108" s="29"/>
      <c r="BJ108" s="29">
        <v>0</v>
      </c>
      <c r="BK108" s="135">
        <f t="shared" si="288"/>
        <v>1</v>
      </c>
      <c r="BL108" s="135">
        <f t="shared" si="257"/>
        <v>1</v>
      </c>
      <c r="BM108" s="167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</row>
    <row r="109" spans="1:206" s="106" customFormat="1" ht="18" customHeight="1">
      <c r="A109" s="426"/>
      <c r="B109" s="426"/>
      <c r="C109" s="29"/>
      <c r="D109" s="134">
        <f t="shared" si="286"/>
        <v>0</v>
      </c>
      <c r="E109" s="29"/>
      <c r="F109" s="29"/>
      <c r="G109" s="137">
        <f t="shared" si="258"/>
        <v>0</v>
      </c>
      <c r="H109" s="29"/>
      <c r="I109" s="137">
        <f t="shared" si="287"/>
        <v>0</v>
      </c>
      <c r="J109" s="29"/>
      <c r="K109" s="137">
        <f t="shared" si="260"/>
        <v>0</v>
      </c>
      <c r="L109" s="29"/>
      <c r="M109" s="137">
        <f t="shared" si="261"/>
        <v>0</v>
      </c>
      <c r="N109" s="29"/>
      <c r="O109" s="137">
        <f t="shared" si="262"/>
        <v>0</v>
      </c>
      <c r="P109" s="29"/>
      <c r="Q109" s="137">
        <f t="shared" si="263"/>
        <v>0</v>
      </c>
      <c r="R109" s="29"/>
      <c r="S109" s="137">
        <f t="shared" si="264"/>
        <v>0</v>
      </c>
      <c r="T109" s="29"/>
      <c r="U109" s="137">
        <f t="shared" si="265"/>
        <v>0</v>
      </c>
      <c r="V109" s="29"/>
      <c r="W109" s="137">
        <f t="shared" si="266"/>
        <v>0</v>
      </c>
      <c r="X109" s="29"/>
      <c r="Y109" s="137">
        <f t="shared" si="267"/>
        <v>0</v>
      </c>
      <c r="Z109" s="29"/>
      <c r="AA109" s="29"/>
      <c r="AB109" s="135">
        <f t="shared" si="244"/>
        <v>1</v>
      </c>
      <c r="AC109" s="29"/>
      <c r="AD109" s="29"/>
      <c r="AE109" s="137">
        <f t="shared" si="268"/>
        <v>0</v>
      </c>
      <c r="AF109" s="135">
        <f t="shared" si="246"/>
        <v>1</v>
      </c>
      <c r="AG109" s="29"/>
      <c r="AH109" s="137">
        <f t="shared" si="269"/>
        <v>0</v>
      </c>
      <c r="AI109" s="135">
        <f t="shared" si="247"/>
        <v>1</v>
      </c>
      <c r="AJ109" s="29"/>
      <c r="AK109" s="137">
        <f t="shared" si="270"/>
        <v>0</v>
      </c>
      <c r="AL109" s="135">
        <f t="shared" si="248"/>
        <v>1</v>
      </c>
      <c r="AM109" s="29"/>
      <c r="AN109" s="137">
        <f t="shared" si="271"/>
        <v>0</v>
      </c>
      <c r="AO109" s="135">
        <f t="shared" si="249"/>
        <v>1</v>
      </c>
      <c r="AP109" s="29"/>
      <c r="AQ109" s="137">
        <f t="shared" si="272"/>
        <v>0</v>
      </c>
      <c r="AR109" s="135">
        <f t="shared" si="250"/>
        <v>1</v>
      </c>
      <c r="AS109" s="29"/>
      <c r="AT109" s="137">
        <f t="shared" si="273"/>
        <v>0</v>
      </c>
      <c r="AU109" s="135">
        <f t="shared" si="251"/>
        <v>1</v>
      </c>
      <c r="AV109" s="29"/>
      <c r="AW109" s="137">
        <f t="shared" si="274"/>
        <v>0</v>
      </c>
      <c r="AX109" s="135">
        <f t="shared" si="252"/>
        <v>1</v>
      </c>
      <c r="AY109" s="29"/>
      <c r="AZ109" s="137">
        <f t="shared" si="275"/>
        <v>0</v>
      </c>
      <c r="BA109" s="135">
        <f t="shared" si="253"/>
        <v>1</v>
      </c>
      <c r="BB109" s="29"/>
      <c r="BC109" s="137">
        <f t="shared" si="276"/>
        <v>0</v>
      </c>
      <c r="BD109" s="135">
        <f t="shared" si="254"/>
        <v>1</v>
      </c>
      <c r="BE109" s="29"/>
      <c r="BF109" s="137">
        <f t="shared" si="277"/>
        <v>0</v>
      </c>
      <c r="BG109" s="135">
        <f t="shared" si="255"/>
        <v>1</v>
      </c>
      <c r="BH109" s="29"/>
      <c r="BI109" s="29"/>
      <c r="BJ109" s="29">
        <v>0</v>
      </c>
      <c r="BK109" s="135">
        <f t="shared" si="288"/>
        <v>1</v>
      </c>
      <c r="BL109" s="135">
        <f t="shared" si="257"/>
        <v>1</v>
      </c>
      <c r="BM109" s="167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</row>
    <row r="110" spans="1:206" s="106" customFormat="1" ht="18" customHeight="1">
      <c r="A110" s="426"/>
      <c r="B110" s="426"/>
      <c r="C110" s="29"/>
      <c r="D110" s="134">
        <f t="shared" si="286"/>
        <v>0</v>
      </c>
      <c r="E110" s="29"/>
      <c r="F110" s="29"/>
      <c r="G110" s="137">
        <f t="shared" si="258"/>
        <v>0</v>
      </c>
      <c r="H110" s="29"/>
      <c r="I110" s="137">
        <f t="shared" si="287"/>
        <v>0</v>
      </c>
      <c r="J110" s="29"/>
      <c r="K110" s="137">
        <f t="shared" si="260"/>
        <v>0</v>
      </c>
      <c r="L110" s="29"/>
      <c r="M110" s="137">
        <f t="shared" si="261"/>
        <v>0</v>
      </c>
      <c r="N110" s="29"/>
      <c r="O110" s="137">
        <f t="shared" si="262"/>
        <v>0</v>
      </c>
      <c r="P110" s="29"/>
      <c r="Q110" s="137">
        <f t="shared" si="263"/>
        <v>0</v>
      </c>
      <c r="R110" s="29"/>
      <c r="S110" s="137">
        <f t="shared" si="264"/>
        <v>0</v>
      </c>
      <c r="T110" s="29"/>
      <c r="U110" s="137">
        <f t="shared" si="265"/>
        <v>0</v>
      </c>
      <c r="V110" s="29"/>
      <c r="W110" s="137">
        <f t="shared" si="266"/>
        <v>0</v>
      </c>
      <c r="X110" s="29"/>
      <c r="Y110" s="137">
        <f t="shared" si="267"/>
        <v>0</v>
      </c>
      <c r="Z110" s="29"/>
      <c r="AA110" s="29"/>
      <c r="AB110" s="135">
        <f t="shared" si="244"/>
        <v>1</v>
      </c>
      <c r="AC110" s="29"/>
      <c r="AD110" s="29"/>
      <c r="AE110" s="137">
        <f t="shared" si="268"/>
        <v>0</v>
      </c>
      <c r="AF110" s="135">
        <f t="shared" si="246"/>
        <v>1</v>
      </c>
      <c r="AG110" s="29"/>
      <c r="AH110" s="137">
        <f t="shared" si="269"/>
        <v>0</v>
      </c>
      <c r="AI110" s="135">
        <f t="shared" si="247"/>
        <v>1</v>
      </c>
      <c r="AJ110" s="29"/>
      <c r="AK110" s="137">
        <f t="shared" si="270"/>
        <v>0</v>
      </c>
      <c r="AL110" s="135">
        <f t="shared" si="248"/>
        <v>1</v>
      </c>
      <c r="AM110" s="29"/>
      <c r="AN110" s="137">
        <f t="shared" si="271"/>
        <v>0</v>
      </c>
      <c r="AO110" s="135">
        <f t="shared" si="249"/>
        <v>1</v>
      </c>
      <c r="AP110" s="29"/>
      <c r="AQ110" s="137">
        <f t="shared" si="272"/>
        <v>0</v>
      </c>
      <c r="AR110" s="135">
        <f t="shared" si="250"/>
        <v>1</v>
      </c>
      <c r="AS110" s="29"/>
      <c r="AT110" s="137">
        <f t="shared" si="273"/>
        <v>0</v>
      </c>
      <c r="AU110" s="135">
        <f t="shared" si="251"/>
        <v>1</v>
      </c>
      <c r="AV110" s="29"/>
      <c r="AW110" s="137">
        <f t="shared" si="274"/>
        <v>0</v>
      </c>
      <c r="AX110" s="135">
        <f t="shared" si="252"/>
        <v>1</v>
      </c>
      <c r="AY110" s="29"/>
      <c r="AZ110" s="137">
        <f t="shared" si="275"/>
        <v>0</v>
      </c>
      <c r="BA110" s="135">
        <f t="shared" si="253"/>
        <v>1</v>
      </c>
      <c r="BB110" s="29"/>
      <c r="BC110" s="137">
        <f t="shared" si="276"/>
        <v>0</v>
      </c>
      <c r="BD110" s="135">
        <f t="shared" si="254"/>
        <v>1</v>
      </c>
      <c r="BE110" s="29"/>
      <c r="BF110" s="137">
        <f t="shared" si="277"/>
        <v>0</v>
      </c>
      <c r="BG110" s="135">
        <f t="shared" si="255"/>
        <v>1</v>
      </c>
      <c r="BH110" s="29"/>
      <c r="BI110" s="29"/>
      <c r="BJ110" s="29">
        <v>0</v>
      </c>
      <c r="BK110" s="135">
        <f t="shared" si="288"/>
        <v>1</v>
      </c>
      <c r="BL110" s="135">
        <f t="shared" si="257"/>
        <v>1</v>
      </c>
      <c r="BM110" s="167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</row>
    <row r="111" spans="1:206" s="106" customFormat="1" ht="18" customHeight="1">
      <c r="A111" s="426"/>
      <c r="B111" s="426"/>
      <c r="C111" s="29"/>
      <c r="D111" s="134">
        <f t="shared" si="286"/>
        <v>0</v>
      </c>
      <c r="E111" s="29"/>
      <c r="F111" s="29"/>
      <c r="G111" s="137">
        <f t="shared" si="258"/>
        <v>0</v>
      </c>
      <c r="H111" s="29"/>
      <c r="I111" s="137">
        <f t="shared" si="287"/>
        <v>0</v>
      </c>
      <c r="J111" s="29"/>
      <c r="K111" s="137">
        <f t="shared" si="260"/>
        <v>0</v>
      </c>
      <c r="L111" s="29"/>
      <c r="M111" s="137">
        <f t="shared" si="261"/>
        <v>0</v>
      </c>
      <c r="N111" s="29"/>
      <c r="O111" s="137">
        <f t="shared" si="262"/>
        <v>0</v>
      </c>
      <c r="P111" s="29"/>
      <c r="Q111" s="137">
        <f t="shared" si="263"/>
        <v>0</v>
      </c>
      <c r="R111" s="29"/>
      <c r="S111" s="137">
        <f t="shared" si="264"/>
        <v>0</v>
      </c>
      <c r="T111" s="29"/>
      <c r="U111" s="137">
        <f t="shared" si="265"/>
        <v>0</v>
      </c>
      <c r="V111" s="29"/>
      <c r="W111" s="137">
        <f t="shared" si="266"/>
        <v>0</v>
      </c>
      <c r="X111" s="29"/>
      <c r="Y111" s="137">
        <f t="shared" si="267"/>
        <v>0</v>
      </c>
      <c r="Z111" s="29"/>
      <c r="AA111" s="29"/>
      <c r="AB111" s="135">
        <f t="shared" si="244"/>
        <v>1</v>
      </c>
      <c r="AC111" s="29"/>
      <c r="AD111" s="29"/>
      <c r="AE111" s="137">
        <f t="shared" si="268"/>
        <v>0</v>
      </c>
      <c r="AF111" s="135">
        <f t="shared" si="246"/>
        <v>1</v>
      </c>
      <c r="AG111" s="29"/>
      <c r="AH111" s="137">
        <f t="shared" si="269"/>
        <v>0</v>
      </c>
      <c r="AI111" s="135">
        <f t="shared" si="247"/>
        <v>1</v>
      </c>
      <c r="AJ111" s="29"/>
      <c r="AK111" s="137">
        <f t="shared" si="270"/>
        <v>0</v>
      </c>
      <c r="AL111" s="135">
        <f t="shared" si="248"/>
        <v>1</v>
      </c>
      <c r="AM111" s="29"/>
      <c r="AN111" s="137">
        <f t="shared" si="271"/>
        <v>0</v>
      </c>
      <c r="AO111" s="135">
        <f t="shared" si="249"/>
        <v>1</v>
      </c>
      <c r="AP111" s="29"/>
      <c r="AQ111" s="137">
        <f t="shared" si="272"/>
        <v>0</v>
      </c>
      <c r="AR111" s="135">
        <f t="shared" si="250"/>
        <v>1</v>
      </c>
      <c r="AS111" s="29"/>
      <c r="AT111" s="137">
        <f t="shared" si="273"/>
        <v>0</v>
      </c>
      <c r="AU111" s="135">
        <f t="shared" si="251"/>
        <v>1</v>
      </c>
      <c r="AV111" s="29"/>
      <c r="AW111" s="137">
        <f t="shared" si="274"/>
        <v>0</v>
      </c>
      <c r="AX111" s="135">
        <f t="shared" si="252"/>
        <v>1</v>
      </c>
      <c r="AY111" s="29"/>
      <c r="AZ111" s="137">
        <f t="shared" si="275"/>
        <v>0</v>
      </c>
      <c r="BA111" s="135">
        <f t="shared" si="253"/>
        <v>1</v>
      </c>
      <c r="BB111" s="29"/>
      <c r="BC111" s="137">
        <f t="shared" si="276"/>
        <v>0</v>
      </c>
      <c r="BD111" s="135">
        <f t="shared" si="254"/>
        <v>1</v>
      </c>
      <c r="BE111" s="29"/>
      <c r="BF111" s="137">
        <f t="shared" si="277"/>
        <v>0</v>
      </c>
      <c r="BG111" s="135">
        <f t="shared" si="255"/>
        <v>1</v>
      </c>
      <c r="BH111" s="29"/>
      <c r="BI111" s="29"/>
      <c r="BJ111" s="29">
        <v>0</v>
      </c>
      <c r="BK111" s="135">
        <f t="shared" si="288"/>
        <v>1</v>
      </c>
      <c r="BL111" s="135">
        <f t="shared" si="257"/>
        <v>1</v>
      </c>
      <c r="BM111" s="167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</row>
    <row r="112" spans="1:206" s="106" customFormat="1" ht="18" customHeight="1">
      <c r="A112" s="426"/>
      <c r="B112" s="426"/>
      <c r="C112" s="29"/>
      <c r="D112" s="134">
        <f t="shared" si="286"/>
        <v>0</v>
      </c>
      <c r="E112" s="29"/>
      <c r="F112" s="29"/>
      <c r="G112" s="137">
        <f t="shared" si="258"/>
        <v>0</v>
      </c>
      <c r="H112" s="29"/>
      <c r="I112" s="137">
        <f t="shared" si="287"/>
        <v>0</v>
      </c>
      <c r="J112" s="29"/>
      <c r="K112" s="137">
        <f t="shared" si="260"/>
        <v>0</v>
      </c>
      <c r="L112" s="29"/>
      <c r="M112" s="137">
        <f t="shared" si="261"/>
        <v>0</v>
      </c>
      <c r="N112" s="29"/>
      <c r="O112" s="137">
        <f t="shared" si="262"/>
        <v>0</v>
      </c>
      <c r="P112" s="29"/>
      <c r="Q112" s="137">
        <f t="shared" si="263"/>
        <v>0</v>
      </c>
      <c r="R112" s="29"/>
      <c r="S112" s="137">
        <f t="shared" si="264"/>
        <v>0</v>
      </c>
      <c r="T112" s="29"/>
      <c r="U112" s="137">
        <f t="shared" si="265"/>
        <v>0</v>
      </c>
      <c r="V112" s="29"/>
      <c r="W112" s="137">
        <f t="shared" si="266"/>
        <v>0</v>
      </c>
      <c r="X112" s="29"/>
      <c r="Y112" s="137">
        <f t="shared" si="267"/>
        <v>0</v>
      </c>
      <c r="Z112" s="29"/>
      <c r="AA112" s="29"/>
      <c r="AB112" s="135">
        <f t="shared" si="244"/>
        <v>1</v>
      </c>
      <c r="AC112" s="29"/>
      <c r="AD112" s="29"/>
      <c r="AE112" s="137">
        <f t="shared" si="268"/>
        <v>0</v>
      </c>
      <c r="AF112" s="135">
        <f t="shared" si="246"/>
        <v>1</v>
      </c>
      <c r="AG112" s="29"/>
      <c r="AH112" s="137">
        <f t="shared" si="269"/>
        <v>0</v>
      </c>
      <c r="AI112" s="135">
        <f t="shared" si="247"/>
        <v>1</v>
      </c>
      <c r="AJ112" s="29"/>
      <c r="AK112" s="137">
        <f t="shared" si="270"/>
        <v>0</v>
      </c>
      <c r="AL112" s="135">
        <f t="shared" si="248"/>
        <v>1</v>
      </c>
      <c r="AM112" s="29"/>
      <c r="AN112" s="137">
        <f t="shared" si="271"/>
        <v>0</v>
      </c>
      <c r="AO112" s="135">
        <f t="shared" si="249"/>
        <v>1</v>
      </c>
      <c r="AP112" s="29"/>
      <c r="AQ112" s="137">
        <f t="shared" si="272"/>
        <v>0</v>
      </c>
      <c r="AR112" s="135">
        <f t="shared" si="250"/>
        <v>1</v>
      </c>
      <c r="AS112" s="29"/>
      <c r="AT112" s="137">
        <f t="shared" si="273"/>
        <v>0</v>
      </c>
      <c r="AU112" s="135">
        <f t="shared" si="251"/>
        <v>1</v>
      </c>
      <c r="AV112" s="29"/>
      <c r="AW112" s="137">
        <f t="shared" si="274"/>
        <v>0</v>
      </c>
      <c r="AX112" s="135">
        <f t="shared" si="252"/>
        <v>1</v>
      </c>
      <c r="AY112" s="29"/>
      <c r="AZ112" s="137">
        <f t="shared" si="275"/>
        <v>0</v>
      </c>
      <c r="BA112" s="135">
        <f t="shared" si="253"/>
        <v>1</v>
      </c>
      <c r="BB112" s="29"/>
      <c r="BC112" s="137">
        <f t="shared" si="276"/>
        <v>0</v>
      </c>
      <c r="BD112" s="135">
        <f t="shared" si="254"/>
        <v>1</v>
      </c>
      <c r="BE112" s="29"/>
      <c r="BF112" s="137">
        <f t="shared" si="277"/>
        <v>0</v>
      </c>
      <c r="BG112" s="135">
        <f t="shared" si="255"/>
        <v>1</v>
      </c>
      <c r="BH112" s="29"/>
      <c r="BI112" s="29"/>
      <c r="BJ112" s="29">
        <v>0</v>
      </c>
      <c r="BK112" s="135">
        <f t="shared" si="288"/>
        <v>1</v>
      </c>
      <c r="BL112" s="135">
        <f t="shared" si="257"/>
        <v>1</v>
      </c>
      <c r="BM112" s="167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</row>
    <row r="113" spans="1:206" s="160" customFormat="1" ht="69" customHeight="1">
      <c r="A113" s="288"/>
      <c r="B113" s="288"/>
      <c r="C113" s="190" t="str">
        <f>BJ113</f>
        <v>на 1 января  очередного финансового года</v>
      </c>
      <c r="D113" s="190" t="str">
        <f>C113</f>
        <v>на 1 января  очередного финансового года</v>
      </c>
      <c r="E113" s="178" t="s">
        <v>69</v>
      </c>
      <c r="F113" s="178" t="s">
        <v>70</v>
      </c>
      <c r="G113" s="177" t="s">
        <v>151</v>
      </c>
      <c r="H113" s="178" t="s">
        <v>14</v>
      </c>
      <c r="I113" s="177" t="s">
        <v>151</v>
      </c>
      <c r="J113" s="178" t="s">
        <v>137</v>
      </c>
      <c r="K113" s="177" t="s">
        <v>151</v>
      </c>
      <c r="L113" s="178" t="s">
        <v>138</v>
      </c>
      <c r="M113" s="177" t="s">
        <v>151</v>
      </c>
      <c r="N113" s="178" t="s">
        <v>83</v>
      </c>
      <c r="O113" s="177" t="s">
        <v>151</v>
      </c>
      <c r="P113" s="178" t="s">
        <v>84</v>
      </c>
      <c r="Q113" s="177" t="s">
        <v>151</v>
      </c>
      <c r="R113" s="178" t="s">
        <v>85</v>
      </c>
      <c r="S113" s="177" t="s">
        <v>151</v>
      </c>
      <c r="T113" s="178" t="s">
        <v>86</v>
      </c>
      <c r="U113" s="177" t="s">
        <v>151</v>
      </c>
      <c r="V113" s="178" t="s">
        <v>87</v>
      </c>
      <c r="W113" s="177" t="s">
        <v>151</v>
      </c>
      <c r="X113" s="178" t="s">
        <v>88</v>
      </c>
      <c r="Y113" s="177" t="s">
        <v>151</v>
      </c>
      <c r="Z113" s="190" t="str">
        <f>D113</f>
        <v>на 1 января  очередного финансового года</v>
      </c>
      <c r="AA113" s="190" t="s">
        <v>71</v>
      </c>
      <c r="AB113" s="177" t="str">
        <f>AB6</f>
        <v>Темп роста (снижения) к исполнено за отчетный год, %</v>
      </c>
      <c r="AC113" s="178" t="s">
        <v>69</v>
      </c>
      <c r="AD113" s="178" t="s">
        <v>70</v>
      </c>
      <c r="AE113" s="177" t="s">
        <v>152</v>
      </c>
      <c r="AF113" s="177" t="str">
        <f>AF7</f>
        <v>Темп роста (снижения) к исполнено за отчетный год, %</v>
      </c>
      <c r="AG113" s="178" t="s">
        <v>14</v>
      </c>
      <c r="AH113" s="177" t="s">
        <v>152</v>
      </c>
      <c r="AI113" s="177" t="str">
        <f>AI7</f>
        <v>Темп роста (снижения) к исполнено за отчетный год, %</v>
      </c>
      <c r="AJ113" s="178" t="s">
        <v>81</v>
      </c>
      <c r="AK113" s="177" t="s">
        <v>152</v>
      </c>
      <c r="AL113" s="177" t="str">
        <f>AL7</f>
        <v>Темп роста (снижения) к исполнено за отчетный год, %</v>
      </c>
      <c r="AM113" s="178" t="s">
        <v>82</v>
      </c>
      <c r="AN113" s="177" t="s">
        <v>152</v>
      </c>
      <c r="AO113" s="177" t="str">
        <f>AO7</f>
        <v>Темп роста (снижения) к исполнено за отчетный год, %</v>
      </c>
      <c r="AP113" s="178" t="s">
        <v>83</v>
      </c>
      <c r="AQ113" s="177" t="s">
        <v>152</v>
      </c>
      <c r="AR113" s="177" t="str">
        <f>AR7</f>
        <v>Темп роста (снижения) к исполнено за отчетный год, %</v>
      </c>
      <c r="AS113" s="178" t="s">
        <v>84</v>
      </c>
      <c r="AT113" s="177" t="s">
        <v>152</v>
      </c>
      <c r="AU113" s="177" t="str">
        <f>AU7</f>
        <v>Темп роста (снижения) к исполнено за отчетный год, %</v>
      </c>
      <c r="AV113" s="178" t="s">
        <v>85</v>
      </c>
      <c r="AW113" s="177" t="s">
        <v>152</v>
      </c>
      <c r="AX113" s="177" t="str">
        <f>AX7</f>
        <v>Темп роста (снижения) к исполнено за отчетный год, %</v>
      </c>
      <c r="AY113" s="178" t="s">
        <v>86</v>
      </c>
      <c r="AZ113" s="177" t="s">
        <v>152</v>
      </c>
      <c r="BA113" s="177" t="str">
        <f>BA7</f>
        <v>Темп роста (снижения) к исполнено за отчетный год, %</v>
      </c>
      <c r="BB113" s="178" t="s">
        <v>87</v>
      </c>
      <c r="BC113" s="177" t="s">
        <v>152</v>
      </c>
      <c r="BD113" s="177" t="str">
        <f>BD7</f>
        <v>Темп роста (снижения) к исполнено за отчетный год, %</v>
      </c>
      <c r="BE113" s="178" t="s">
        <v>88</v>
      </c>
      <c r="BF113" s="177" t="s">
        <v>152</v>
      </c>
      <c r="BG113" s="177" t="str">
        <f>BG7</f>
        <v>Темп роста (снижения) к исполнено за отчетный год, %</v>
      </c>
      <c r="BH113" s="177" t="str">
        <f>AA113</f>
        <v>на 1 января  очередного финансового года</v>
      </c>
      <c r="BI113" s="177" t="str">
        <f>BI7</f>
        <v>Ожидаемая оценка на __________</v>
      </c>
      <c r="BJ113" s="177" t="s">
        <v>71</v>
      </c>
      <c r="BK113" s="177" t="str">
        <f>BK6</f>
        <v>Темп роста (снижения) к утверждено на текущий год, %</v>
      </c>
      <c r="BL113" s="177" t="str">
        <f>BL6</f>
        <v>Темп роста (снижения) к исполнено за отчетный год, %</v>
      </c>
      <c r="BM113" s="123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</row>
    <row r="114" spans="1:206" s="18" customFormat="1" ht="16.5">
      <c r="A114" s="421" t="s">
        <v>153</v>
      </c>
      <c r="B114" s="421"/>
      <c r="C114" s="17"/>
      <c r="D114" s="17"/>
      <c r="E114" s="17">
        <f>D114+E78+E81</f>
        <v>0</v>
      </c>
      <c r="F114" s="17">
        <f>E114+F78+F81</f>
        <v>0</v>
      </c>
      <c r="G114" s="17">
        <f>F114-$C114</f>
        <v>0</v>
      </c>
      <c r="H114" s="17">
        <f>G114+H78+H81</f>
        <v>0</v>
      </c>
      <c r="I114" s="17">
        <f>H114-$C114</f>
        <v>0</v>
      </c>
      <c r="J114" s="17">
        <f>I114+J78+J81</f>
        <v>0</v>
      </c>
      <c r="K114" s="17">
        <f>J114-$C114</f>
        <v>0</v>
      </c>
      <c r="L114" s="17">
        <f>K114+L78+L81</f>
        <v>0</v>
      </c>
      <c r="M114" s="17">
        <f>L114-$C114</f>
        <v>0</v>
      </c>
      <c r="N114" s="17">
        <f>M114+N78+N81</f>
        <v>0</v>
      </c>
      <c r="O114" s="17">
        <f>N114-$C114</f>
        <v>0</v>
      </c>
      <c r="P114" s="17">
        <f>O114+P78+P81</f>
        <v>0</v>
      </c>
      <c r="Q114" s="17">
        <f>P114-$C114</f>
        <v>0</v>
      </c>
      <c r="R114" s="17">
        <f>Q114+R78+R81</f>
        <v>0</v>
      </c>
      <c r="S114" s="17">
        <f>R114-$C114</f>
        <v>0</v>
      </c>
      <c r="T114" s="17">
        <f>S114+T78+T81</f>
        <v>0</v>
      </c>
      <c r="U114" s="17">
        <f>T114-$C114</f>
        <v>0</v>
      </c>
      <c r="V114" s="17">
        <f>U114+V78+V81</f>
        <v>0</v>
      </c>
      <c r="W114" s="17">
        <f>V114-$C114</f>
        <v>0</v>
      </c>
      <c r="X114" s="17">
        <f>W114+X78+X81</f>
        <v>0</v>
      </c>
      <c r="Y114" s="17">
        <f>X114-$C114</f>
        <v>0</v>
      </c>
      <c r="Z114" s="17">
        <f>Y114+Z78+Z81</f>
        <v>0</v>
      </c>
      <c r="AA114" s="17"/>
      <c r="AB114" s="131">
        <f>IF(D114=0,1,AA114/D114-1)</f>
        <v>1</v>
      </c>
      <c r="AC114" s="17">
        <f>D114+AC78-AC81</f>
        <v>0</v>
      </c>
      <c r="AD114" s="17">
        <f>AC114+AD78+AD81</f>
        <v>0</v>
      </c>
      <c r="AE114" s="17">
        <f>AD114-$D114</f>
        <v>0</v>
      </c>
      <c r="AF114" s="131">
        <f>IF(B114=0,1,AE114/B114-1)</f>
        <v>1</v>
      </c>
      <c r="AG114" s="17">
        <f>AE114+AG78+AG81</f>
        <v>0</v>
      </c>
      <c r="AH114" s="17">
        <f>AG114-$D114</f>
        <v>0</v>
      </c>
      <c r="AI114" s="131">
        <f>IF(E114=0,1,AH114/E114-1)</f>
        <v>1</v>
      </c>
      <c r="AJ114" s="17">
        <f>AH114+AJ78+AJ81</f>
        <v>0</v>
      </c>
      <c r="AK114" s="17">
        <f>AJ114-$D114</f>
        <v>0</v>
      </c>
      <c r="AL114" s="131">
        <f>IF(H114=0,1,AK114/H114-1)</f>
        <v>1</v>
      </c>
      <c r="AM114" s="17">
        <f>AK114+AM78+AM81</f>
        <v>0</v>
      </c>
      <c r="AN114" s="17">
        <f>AM114-$D114</f>
        <v>0</v>
      </c>
      <c r="AO114" s="131">
        <f>IF(K114=0,1,AN114/K114-1)</f>
        <v>1</v>
      </c>
      <c r="AP114" s="17">
        <f>AN114+AP78+AP81</f>
        <v>0</v>
      </c>
      <c r="AQ114" s="17">
        <f>AP114-$D114</f>
        <v>0</v>
      </c>
      <c r="AR114" s="131">
        <f>IF(N114=0,1,AQ114/N114-1)</f>
        <v>1</v>
      </c>
      <c r="AS114" s="17">
        <f>AQ114+AS78+AS81</f>
        <v>0</v>
      </c>
      <c r="AT114" s="17">
        <f>AS114-$D114</f>
        <v>0</v>
      </c>
      <c r="AU114" s="131">
        <f>IF(Q114=0,1,AT114/Q114-1)</f>
        <v>1</v>
      </c>
      <c r="AV114" s="17">
        <f>AT114+AV78+AV81</f>
        <v>0</v>
      </c>
      <c r="AW114" s="17">
        <f>AV114-$D114</f>
        <v>0</v>
      </c>
      <c r="AX114" s="131">
        <f>IF(T114=0,1,AW114/T114-1)</f>
        <v>1</v>
      </c>
      <c r="AY114" s="17">
        <f>AW114+AY78+AY81</f>
        <v>0</v>
      </c>
      <c r="AZ114" s="17">
        <f>AY114-$D114</f>
        <v>0</v>
      </c>
      <c r="BA114" s="131">
        <f>IF(W114=0,1,AZ114/W114-1)</f>
        <v>1</v>
      </c>
      <c r="BB114" s="17">
        <f>AZ114+BB78+BB81</f>
        <v>0</v>
      </c>
      <c r="BC114" s="17">
        <f>BB114-$D114</f>
        <v>0</v>
      </c>
      <c r="BD114" s="131">
        <f>IF(Z114=0,1,BC114/Z114-1)</f>
        <v>1</v>
      </c>
      <c r="BE114" s="17">
        <f>BC114+BE78+BE81</f>
        <v>0</v>
      </c>
      <c r="BF114" s="17">
        <f>BE114-$D114</f>
        <v>0</v>
      </c>
      <c r="BG114" s="131">
        <f>IF(AC114=0,1,BF114/AC114-1)</f>
        <v>1</v>
      </c>
      <c r="BH114" s="17">
        <f>BF114+BH78+BH81</f>
        <v>0</v>
      </c>
      <c r="BI114" s="17"/>
      <c r="BJ114" s="17">
        <f>D114+BJ78+BJ81</f>
        <v>0</v>
      </c>
      <c r="BK114" s="131">
        <f>IF($AA$87=0,1,BJ114/$AA$87-1)</f>
        <v>1</v>
      </c>
      <c r="BL114" s="131">
        <f>IF($D114=0,1,BJ114/$D114-1)</f>
        <v>1</v>
      </c>
      <c r="BM114" s="170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</row>
    <row r="115" spans="1:206" s="64" customFormat="1" ht="16.5">
      <c r="A115" s="292" t="s">
        <v>154</v>
      </c>
      <c r="B115" s="293"/>
      <c r="C115" s="29"/>
      <c r="D115" s="134">
        <f t="shared" ref="D115:D117" si="289">E115+F115+H115+J115+L115+N115+P115+R115+T115+V115+X115+Z115</f>
        <v>0</v>
      </c>
      <c r="E115" s="29"/>
      <c r="F115" s="29"/>
      <c r="G115" s="137">
        <f>F115-$C115</f>
        <v>0</v>
      </c>
      <c r="H115" s="29"/>
      <c r="I115" s="137">
        <f>H115-$C115</f>
        <v>0</v>
      </c>
      <c r="J115" s="29"/>
      <c r="K115" s="137">
        <f>J115-$C115</f>
        <v>0</v>
      </c>
      <c r="L115" s="29"/>
      <c r="M115" s="137">
        <f>L115-$C115</f>
        <v>0</v>
      </c>
      <c r="N115" s="29"/>
      <c r="O115" s="137">
        <f>N115-$C115</f>
        <v>0</v>
      </c>
      <c r="P115" s="29"/>
      <c r="Q115" s="137">
        <f>P115-$C115</f>
        <v>0</v>
      </c>
      <c r="R115" s="29"/>
      <c r="S115" s="137">
        <f>R115-$C115</f>
        <v>0</v>
      </c>
      <c r="T115" s="29"/>
      <c r="U115" s="137">
        <f>T115-$C115</f>
        <v>0</v>
      </c>
      <c r="V115" s="29"/>
      <c r="W115" s="137">
        <f>V115-$C115</f>
        <v>0</v>
      </c>
      <c r="X115" s="29"/>
      <c r="Y115" s="137">
        <f>X115-$C115</f>
        <v>0</v>
      </c>
      <c r="Z115" s="29"/>
      <c r="AA115" s="29"/>
      <c r="AB115" s="135">
        <f t="shared" ref="AB115:AB117" si="290">IF(D115=0,1,AA115/D115-1)</f>
        <v>1</v>
      </c>
      <c r="AC115" s="29"/>
      <c r="AD115" s="29"/>
      <c r="AE115" s="29">
        <f>AD115-$D115</f>
        <v>0</v>
      </c>
      <c r="AF115" s="135">
        <f t="shared" ref="AF115:AF117" si="291">IF(B115=0,1,AE115/B115-1)</f>
        <v>1</v>
      </c>
      <c r="AG115" s="29"/>
      <c r="AH115" s="29">
        <f>AG115-$D115</f>
        <v>0</v>
      </c>
      <c r="AI115" s="135">
        <f t="shared" ref="AI115:AI117" si="292">IF(E115=0,1,AH115/E115-1)</f>
        <v>1</v>
      </c>
      <c r="AJ115" s="29"/>
      <c r="AK115" s="29">
        <f>AJ115-$D115</f>
        <v>0</v>
      </c>
      <c r="AL115" s="135">
        <f t="shared" ref="AL115:AL117" si="293">IF(H115=0,1,AK115/H115-1)</f>
        <v>1</v>
      </c>
      <c r="AM115" s="29"/>
      <c r="AN115" s="29">
        <f>AM115-$D115</f>
        <v>0</v>
      </c>
      <c r="AO115" s="135">
        <f t="shared" ref="AO115:AO117" si="294">IF(K115=0,1,AN115/K115-1)</f>
        <v>1</v>
      </c>
      <c r="AP115" s="29"/>
      <c r="AQ115" s="29">
        <f>AP115-$D115</f>
        <v>0</v>
      </c>
      <c r="AR115" s="135">
        <f t="shared" ref="AR115:AR117" si="295">IF(N115=0,1,AQ115/N115-1)</f>
        <v>1</v>
      </c>
      <c r="AS115" s="29"/>
      <c r="AT115" s="29">
        <f>AS115-$D115</f>
        <v>0</v>
      </c>
      <c r="AU115" s="135">
        <f t="shared" ref="AU115:AU117" si="296">IF(Q115=0,1,AT115/Q115-1)</f>
        <v>1</v>
      </c>
      <c r="AV115" s="29"/>
      <c r="AW115" s="29">
        <f>AV115-$D115</f>
        <v>0</v>
      </c>
      <c r="AX115" s="135">
        <f t="shared" ref="AX115:AX117" si="297">IF(T115=0,1,AW115/T115-1)</f>
        <v>1</v>
      </c>
      <c r="AY115" s="29"/>
      <c r="AZ115" s="29">
        <f>AY115-$D115</f>
        <v>0</v>
      </c>
      <c r="BA115" s="135">
        <f t="shared" ref="BA115:BA117" si="298">IF(W115=0,1,AZ115/W115-1)</f>
        <v>1</v>
      </c>
      <c r="BB115" s="29"/>
      <c r="BC115" s="29">
        <f>BB115-$D115</f>
        <v>0</v>
      </c>
      <c r="BD115" s="135">
        <f t="shared" ref="BD115:BD117" si="299">IF(Z115=0,1,BC115/Z115-1)</f>
        <v>1</v>
      </c>
      <c r="BE115" s="29"/>
      <c r="BF115" s="29">
        <f>BE115-$D115</f>
        <v>0</v>
      </c>
      <c r="BG115" s="135">
        <f t="shared" ref="BG115:BG117" si="300">IF(AC115=0,1,BF115/AC115-1)</f>
        <v>1</v>
      </c>
      <c r="BH115" s="29"/>
      <c r="BI115" s="137"/>
      <c r="BJ115" s="137"/>
      <c r="BK115" s="135">
        <f t="shared" ref="BK115:BK117" si="301">IF($AA$80=0,1,BJ115/$AA$80-1)</f>
        <v>1</v>
      </c>
      <c r="BL115" s="135">
        <f t="shared" ref="BL115:BL117" si="302">IF($D115=0,1,BJ115/$D115-1)</f>
        <v>1</v>
      </c>
      <c r="BM115" s="176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  <c r="DE115" s="63"/>
      <c r="DF115" s="63"/>
      <c r="DG115" s="63"/>
      <c r="DH115" s="63"/>
      <c r="DI115" s="63"/>
      <c r="DJ115" s="63"/>
      <c r="DK115" s="63"/>
      <c r="DL115" s="63"/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</row>
    <row r="116" spans="1:206" s="64" customFormat="1" ht="16.5">
      <c r="A116" s="292" t="s">
        <v>155</v>
      </c>
      <c r="B116" s="293"/>
      <c r="C116" s="29"/>
      <c r="D116" s="134">
        <f t="shared" si="289"/>
        <v>0</v>
      </c>
      <c r="E116" s="29"/>
      <c r="F116" s="29"/>
      <c r="G116" s="137">
        <f t="shared" ref="G116:G117" si="303">F116-$C116</f>
        <v>0</v>
      </c>
      <c r="H116" s="29"/>
      <c r="I116" s="137">
        <f t="shared" ref="I116:K117" si="304">H116-$C116</f>
        <v>0</v>
      </c>
      <c r="J116" s="29"/>
      <c r="K116" s="137">
        <f t="shared" si="304"/>
        <v>0</v>
      </c>
      <c r="L116" s="29"/>
      <c r="M116" s="137">
        <f t="shared" ref="M116" si="305">L116-$C116</f>
        <v>0</v>
      </c>
      <c r="N116" s="29"/>
      <c r="O116" s="137">
        <f t="shared" ref="O116" si="306">N116-$C116</f>
        <v>0</v>
      </c>
      <c r="P116" s="29"/>
      <c r="Q116" s="137">
        <f t="shared" ref="Q116" si="307">P116-$C116</f>
        <v>0</v>
      </c>
      <c r="R116" s="29"/>
      <c r="S116" s="137">
        <f t="shared" ref="S116" si="308">R116-$C116</f>
        <v>0</v>
      </c>
      <c r="T116" s="29"/>
      <c r="U116" s="137">
        <f t="shared" ref="U116" si="309">T116-$C116</f>
        <v>0</v>
      </c>
      <c r="V116" s="29"/>
      <c r="W116" s="137">
        <f t="shared" ref="W116" si="310">V116-$C116</f>
        <v>0</v>
      </c>
      <c r="X116" s="29"/>
      <c r="Y116" s="137">
        <f t="shared" ref="Y116" si="311">X116-$C116</f>
        <v>0</v>
      </c>
      <c r="Z116" s="29"/>
      <c r="AA116" s="29"/>
      <c r="AB116" s="135">
        <f t="shared" si="290"/>
        <v>1</v>
      </c>
      <c r="AC116" s="29"/>
      <c r="AD116" s="29"/>
      <c r="AE116" s="29">
        <f t="shared" ref="AE116:AE117" si="312">AD116-$D116</f>
        <v>0</v>
      </c>
      <c r="AF116" s="135">
        <f t="shared" si="291"/>
        <v>1</v>
      </c>
      <c r="AG116" s="29"/>
      <c r="AH116" s="29">
        <f t="shared" ref="AH116:AH117" si="313">AG116-$D116</f>
        <v>0</v>
      </c>
      <c r="AI116" s="135">
        <f t="shared" si="292"/>
        <v>1</v>
      </c>
      <c r="AJ116" s="29"/>
      <c r="AK116" s="29">
        <f t="shared" ref="AK116:AK117" si="314">AJ116-$D116</f>
        <v>0</v>
      </c>
      <c r="AL116" s="135">
        <f t="shared" si="293"/>
        <v>1</v>
      </c>
      <c r="AM116" s="29"/>
      <c r="AN116" s="29">
        <f t="shared" ref="AN116:AN117" si="315">AM116-$D116</f>
        <v>0</v>
      </c>
      <c r="AO116" s="135">
        <f t="shared" si="294"/>
        <v>1</v>
      </c>
      <c r="AP116" s="29"/>
      <c r="AQ116" s="29">
        <f t="shared" ref="AQ116:AQ117" si="316">AP116-$D116</f>
        <v>0</v>
      </c>
      <c r="AR116" s="135">
        <f t="shared" si="295"/>
        <v>1</v>
      </c>
      <c r="AS116" s="29"/>
      <c r="AT116" s="29">
        <f t="shared" ref="AT116:AT117" si="317">AS116-$D116</f>
        <v>0</v>
      </c>
      <c r="AU116" s="135">
        <f t="shared" si="296"/>
        <v>1</v>
      </c>
      <c r="AV116" s="29"/>
      <c r="AW116" s="29">
        <f t="shared" ref="AW116:AW117" si="318">AV116-$D116</f>
        <v>0</v>
      </c>
      <c r="AX116" s="135">
        <f t="shared" si="297"/>
        <v>1</v>
      </c>
      <c r="AY116" s="29"/>
      <c r="AZ116" s="29">
        <f t="shared" ref="AZ116:AZ117" si="319">AY116-$D116</f>
        <v>0</v>
      </c>
      <c r="BA116" s="135">
        <f t="shared" si="298"/>
        <v>1</v>
      </c>
      <c r="BB116" s="29"/>
      <c r="BC116" s="29">
        <f t="shared" ref="BC116:BC117" si="320">BB116-$D116</f>
        <v>0</v>
      </c>
      <c r="BD116" s="135">
        <f t="shared" si="299"/>
        <v>1</v>
      </c>
      <c r="BE116" s="29"/>
      <c r="BF116" s="29">
        <f t="shared" ref="BF116:BF117" si="321">BE116-$D116</f>
        <v>0</v>
      </c>
      <c r="BG116" s="135">
        <f t="shared" si="300"/>
        <v>1</v>
      </c>
      <c r="BH116" s="29"/>
      <c r="BI116" s="137"/>
      <c r="BJ116" s="137"/>
      <c r="BK116" s="135">
        <f t="shared" si="301"/>
        <v>1</v>
      </c>
      <c r="BL116" s="135">
        <f t="shared" si="302"/>
        <v>1</v>
      </c>
      <c r="BM116" s="176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3"/>
      <c r="DB116" s="63"/>
      <c r="DC116" s="63"/>
      <c r="DD116" s="63"/>
      <c r="DE116" s="63"/>
      <c r="DF116" s="63"/>
      <c r="DG116" s="63"/>
      <c r="DH116" s="63"/>
      <c r="DI116" s="63"/>
      <c r="DJ116" s="63"/>
      <c r="DK116" s="63"/>
      <c r="DL116" s="63"/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</row>
    <row r="117" spans="1:206" s="64" customFormat="1" ht="16.5">
      <c r="A117" s="292" t="s">
        <v>156</v>
      </c>
      <c r="B117" s="293"/>
      <c r="C117" s="29"/>
      <c r="D117" s="134">
        <f t="shared" si="289"/>
        <v>0</v>
      </c>
      <c r="E117" s="29"/>
      <c r="F117" s="29"/>
      <c r="G117" s="137">
        <f t="shared" si="303"/>
        <v>0</v>
      </c>
      <c r="H117" s="29"/>
      <c r="I117" s="137">
        <f t="shared" si="304"/>
        <v>0</v>
      </c>
      <c r="J117" s="29"/>
      <c r="K117" s="137">
        <f t="shared" si="304"/>
        <v>0</v>
      </c>
      <c r="L117" s="29"/>
      <c r="M117" s="137">
        <f t="shared" ref="M117" si="322">L117-$C117</f>
        <v>0</v>
      </c>
      <c r="N117" s="29"/>
      <c r="O117" s="137">
        <f t="shared" ref="O117" si="323">N117-$C117</f>
        <v>0</v>
      </c>
      <c r="P117" s="29"/>
      <c r="Q117" s="137">
        <f t="shared" ref="Q117" si="324">P117-$C117</f>
        <v>0</v>
      </c>
      <c r="R117" s="29"/>
      <c r="S117" s="137">
        <f t="shared" ref="S117" si="325">R117-$C117</f>
        <v>0</v>
      </c>
      <c r="T117" s="29"/>
      <c r="U117" s="137">
        <f t="shared" ref="U117" si="326">T117-$C117</f>
        <v>0</v>
      </c>
      <c r="V117" s="29"/>
      <c r="W117" s="137">
        <f t="shared" ref="W117" si="327">V117-$C117</f>
        <v>0</v>
      </c>
      <c r="X117" s="29"/>
      <c r="Y117" s="137">
        <f t="shared" ref="Y117" si="328">X117-$C117</f>
        <v>0</v>
      </c>
      <c r="Z117" s="29"/>
      <c r="AA117" s="29"/>
      <c r="AB117" s="135">
        <f t="shared" si="290"/>
        <v>1</v>
      </c>
      <c r="AC117" s="29"/>
      <c r="AD117" s="29"/>
      <c r="AE117" s="29">
        <f t="shared" si="312"/>
        <v>0</v>
      </c>
      <c r="AF117" s="135">
        <f t="shared" si="291"/>
        <v>1</v>
      </c>
      <c r="AG117" s="29"/>
      <c r="AH117" s="29">
        <f t="shared" si="313"/>
        <v>0</v>
      </c>
      <c r="AI117" s="135">
        <f t="shared" si="292"/>
        <v>1</v>
      </c>
      <c r="AJ117" s="29"/>
      <c r="AK117" s="29">
        <f t="shared" si="314"/>
        <v>0</v>
      </c>
      <c r="AL117" s="135">
        <f t="shared" si="293"/>
        <v>1</v>
      </c>
      <c r="AM117" s="29"/>
      <c r="AN117" s="29">
        <f t="shared" si="315"/>
        <v>0</v>
      </c>
      <c r="AO117" s="135">
        <f t="shared" si="294"/>
        <v>1</v>
      </c>
      <c r="AP117" s="29"/>
      <c r="AQ117" s="29">
        <f t="shared" si="316"/>
        <v>0</v>
      </c>
      <c r="AR117" s="135">
        <f t="shared" si="295"/>
        <v>1</v>
      </c>
      <c r="AS117" s="29"/>
      <c r="AT117" s="29">
        <f t="shared" si="317"/>
        <v>0</v>
      </c>
      <c r="AU117" s="135">
        <f t="shared" si="296"/>
        <v>1</v>
      </c>
      <c r="AV117" s="29"/>
      <c r="AW117" s="29">
        <f t="shared" si="318"/>
        <v>0</v>
      </c>
      <c r="AX117" s="135">
        <f t="shared" si="297"/>
        <v>1</v>
      </c>
      <c r="AY117" s="29"/>
      <c r="AZ117" s="29">
        <f t="shared" si="319"/>
        <v>0</v>
      </c>
      <c r="BA117" s="135">
        <f t="shared" si="298"/>
        <v>1</v>
      </c>
      <c r="BB117" s="29"/>
      <c r="BC117" s="29">
        <f t="shared" si="320"/>
        <v>0</v>
      </c>
      <c r="BD117" s="135">
        <f t="shared" si="299"/>
        <v>1</v>
      </c>
      <c r="BE117" s="29"/>
      <c r="BF117" s="29">
        <f t="shared" si="321"/>
        <v>0</v>
      </c>
      <c r="BG117" s="135">
        <f t="shared" si="300"/>
        <v>1</v>
      </c>
      <c r="BH117" s="29"/>
      <c r="BI117" s="137"/>
      <c r="BJ117" s="137"/>
      <c r="BK117" s="135">
        <f t="shared" si="301"/>
        <v>1</v>
      </c>
      <c r="BL117" s="135">
        <f t="shared" si="302"/>
        <v>1</v>
      </c>
      <c r="BM117" s="176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3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</row>
    <row r="118" spans="1:206" s="150" customFormat="1" ht="15.75" customHeight="1">
      <c r="A118" s="425" t="s">
        <v>73</v>
      </c>
      <c r="B118" s="425"/>
      <c r="C118" s="133" t="e">
        <f>C114/(C10-C12)</f>
        <v>#DIV/0!</v>
      </c>
      <c r="D118" s="133" t="e">
        <f>D114/(D10-D12)</f>
        <v>#DIV/0!</v>
      </c>
      <c r="E118" s="133" t="s">
        <v>51</v>
      </c>
      <c r="F118" s="133" t="s">
        <v>51</v>
      </c>
      <c r="G118" s="133" t="s">
        <v>51</v>
      </c>
      <c r="H118" s="133" t="s">
        <v>51</v>
      </c>
      <c r="I118" s="133" t="s">
        <v>51</v>
      </c>
      <c r="J118" s="133" t="s">
        <v>51</v>
      </c>
      <c r="K118" s="133" t="s">
        <v>51</v>
      </c>
      <c r="L118" s="133" t="s">
        <v>51</v>
      </c>
      <c r="M118" s="133" t="s">
        <v>51</v>
      </c>
      <c r="N118" s="133" t="s">
        <v>51</v>
      </c>
      <c r="O118" s="133" t="s">
        <v>51</v>
      </c>
      <c r="P118" s="133" t="s">
        <v>51</v>
      </c>
      <c r="Q118" s="133" t="s">
        <v>51</v>
      </c>
      <c r="R118" s="133" t="s">
        <v>51</v>
      </c>
      <c r="S118" s="133" t="s">
        <v>51</v>
      </c>
      <c r="T118" s="133" t="s">
        <v>51</v>
      </c>
      <c r="U118" s="133" t="s">
        <v>51</v>
      </c>
      <c r="V118" s="133" t="s">
        <v>51</v>
      </c>
      <c r="W118" s="133" t="s">
        <v>51</v>
      </c>
      <c r="X118" s="133" t="s">
        <v>51</v>
      </c>
      <c r="Y118" s="133" t="s">
        <v>51</v>
      </c>
      <c r="Z118" s="133" t="s">
        <v>51</v>
      </c>
      <c r="AA118" s="133" t="e">
        <f>AA114/(AA9-AA12-AA27)</f>
        <v>#DIV/0!</v>
      </c>
      <c r="AB118" s="133" t="s">
        <v>51</v>
      </c>
      <c r="AC118" s="133" t="e">
        <f>AC114/($AA$10-$AA$12)</f>
        <v>#DIV/0!</v>
      </c>
      <c r="AD118" s="133" t="e">
        <f>AD114/($AA$10-$AA$12)</f>
        <v>#DIV/0!</v>
      </c>
      <c r="AE118" s="133" t="e">
        <f>AD118</f>
        <v>#DIV/0!</v>
      </c>
      <c r="AF118" s="133" t="s">
        <v>51</v>
      </c>
      <c r="AG118" s="133" t="e">
        <f>AG114/($AA$10-$AA$12)</f>
        <v>#DIV/0!</v>
      </c>
      <c r="AH118" s="133" t="e">
        <f>AG118</f>
        <v>#DIV/0!</v>
      </c>
      <c r="AI118" s="133" t="s">
        <v>51</v>
      </c>
      <c r="AJ118" s="133" t="e">
        <f>AJ114/($AA$10-$AA$12)</f>
        <v>#DIV/0!</v>
      </c>
      <c r="AK118" s="133" t="e">
        <f>AJ118</f>
        <v>#DIV/0!</v>
      </c>
      <c r="AL118" s="133" t="s">
        <v>51</v>
      </c>
      <c r="AM118" s="133" t="e">
        <f>AM114/($AA$10-$AA$12)</f>
        <v>#DIV/0!</v>
      </c>
      <c r="AN118" s="133" t="e">
        <f>AM118</f>
        <v>#DIV/0!</v>
      </c>
      <c r="AO118" s="133" t="s">
        <v>51</v>
      </c>
      <c r="AP118" s="133" t="e">
        <f>AP114/($AA$10-$AA$12)</f>
        <v>#DIV/0!</v>
      </c>
      <c r="AQ118" s="133" t="e">
        <f>AP118</f>
        <v>#DIV/0!</v>
      </c>
      <c r="AR118" s="133" t="s">
        <v>51</v>
      </c>
      <c r="AS118" s="133" t="e">
        <f>AS114/($AA$10-$AA$12)</f>
        <v>#DIV/0!</v>
      </c>
      <c r="AT118" s="133" t="e">
        <f>AS118</f>
        <v>#DIV/0!</v>
      </c>
      <c r="AU118" s="133" t="s">
        <v>51</v>
      </c>
      <c r="AV118" s="133" t="e">
        <f>AV114/($AA$10-$AA$12)</f>
        <v>#DIV/0!</v>
      </c>
      <c r="AW118" s="133" t="e">
        <f>AV118</f>
        <v>#DIV/0!</v>
      </c>
      <c r="AX118" s="133" t="s">
        <v>51</v>
      </c>
      <c r="AY118" s="133" t="e">
        <f>AY114/($AA$10-$AA$12)</f>
        <v>#DIV/0!</v>
      </c>
      <c r="AZ118" s="133" t="e">
        <f>AY118</f>
        <v>#DIV/0!</v>
      </c>
      <c r="BA118" s="133" t="s">
        <v>51</v>
      </c>
      <c r="BB118" s="133" t="e">
        <f>BB114/($AA$10-$AA$12)</f>
        <v>#DIV/0!</v>
      </c>
      <c r="BC118" s="133" t="e">
        <f>BB118</f>
        <v>#DIV/0!</v>
      </c>
      <c r="BD118" s="133" t="s">
        <v>51</v>
      </c>
      <c r="BE118" s="133" t="e">
        <f>BE114/($AA$10-$AA$12)</f>
        <v>#DIV/0!</v>
      </c>
      <c r="BF118" s="133" t="e">
        <f>BE118</f>
        <v>#DIV/0!</v>
      </c>
      <c r="BG118" s="133" t="s">
        <v>51</v>
      </c>
      <c r="BH118" s="133" t="e">
        <f>BH114/($AA$10-$AA$12)</f>
        <v>#DIV/0!</v>
      </c>
      <c r="BI118" s="133" t="e">
        <f>BI114/($AA$10-$AA$12)</f>
        <v>#DIV/0!</v>
      </c>
      <c r="BJ118" s="133" t="e">
        <f>BJ114/(BJ10-BJ12)</f>
        <v>#DIV/0!</v>
      </c>
      <c r="BK118" s="133" t="s">
        <v>51</v>
      </c>
      <c r="BL118" s="133" t="e">
        <f t="shared" ref="BL118:BL131" si="329">IF($D118=0,1,BJ118/$D118-1)</f>
        <v>#DIV/0!</v>
      </c>
      <c r="BM118" s="121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</row>
    <row r="119" spans="1:206" s="150" customFormat="1" ht="33.75" customHeight="1">
      <c r="A119" s="279" t="s">
        <v>165</v>
      </c>
      <c r="B119" s="280"/>
      <c r="C119" s="19"/>
      <c r="D119" s="19"/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9"/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 t="s">
        <v>51</v>
      </c>
      <c r="AZ119" s="131" t="s">
        <v>51</v>
      </c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9"/>
      <c r="BK119" s="131" t="s">
        <v>51</v>
      </c>
      <c r="BL119" s="131" t="s">
        <v>51</v>
      </c>
      <c r="BM119" s="121"/>
      <c r="BN119" s="149"/>
      <c r="BO119" s="149"/>
      <c r="BP119" s="149"/>
      <c r="BQ119" s="149"/>
      <c r="BR119" s="149"/>
      <c r="BS119" s="149"/>
      <c r="BT119" s="149"/>
      <c r="BU119" s="149"/>
      <c r="BV119" s="149"/>
      <c r="BW119" s="149"/>
      <c r="BX119" s="149"/>
      <c r="BY119" s="149"/>
      <c r="BZ119" s="149"/>
      <c r="CA119" s="149"/>
      <c r="CB119" s="149"/>
      <c r="CC119" s="149"/>
      <c r="CD119" s="149"/>
      <c r="CE119" s="149"/>
      <c r="CF119" s="149"/>
      <c r="CG119" s="149"/>
      <c r="CH119" s="149"/>
      <c r="CI119" s="149"/>
      <c r="CJ119" s="149"/>
      <c r="CK119" s="149"/>
      <c r="CL119" s="149"/>
      <c r="CM119" s="149"/>
      <c r="CN119" s="149"/>
      <c r="CO119" s="149"/>
      <c r="CP119" s="149"/>
      <c r="CQ119" s="149"/>
      <c r="CR119" s="149"/>
      <c r="CS119" s="149"/>
      <c r="CT119" s="149"/>
      <c r="CU119" s="149"/>
      <c r="CV119" s="149"/>
      <c r="CW119" s="149"/>
      <c r="CX119" s="149"/>
      <c r="CY119" s="149"/>
      <c r="CZ119" s="149"/>
      <c r="DA119" s="149"/>
      <c r="DB119" s="149"/>
      <c r="DC119" s="149"/>
      <c r="DD119" s="149"/>
      <c r="DE119" s="149"/>
      <c r="DF119" s="149"/>
      <c r="DG119" s="149"/>
      <c r="DH119" s="149"/>
      <c r="DI119" s="149"/>
      <c r="DJ119" s="149"/>
      <c r="DK119" s="149"/>
      <c r="DL119" s="149"/>
      <c r="DM119" s="149"/>
      <c r="DN119" s="149"/>
      <c r="DO119" s="149"/>
      <c r="DP119" s="149"/>
      <c r="DQ119" s="149"/>
      <c r="DR119" s="149"/>
      <c r="DS119" s="149"/>
      <c r="DT119" s="149"/>
      <c r="DU119" s="149"/>
      <c r="DV119" s="149"/>
      <c r="DW119" s="149"/>
      <c r="DX119" s="149"/>
      <c r="DY119" s="149"/>
      <c r="DZ119" s="149"/>
      <c r="EA119" s="149"/>
      <c r="EB119" s="149"/>
      <c r="EC119" s="149"/>
      <c r="ED119" s="149"/>
      <c r="EE119" s="149"/>
      <c r="EF119" s="149"/>
      <c r="EG119" s="149"/>
      <c r="EH119" s="149"/>
      <c r="EI119" s="149"/>
      <c r="EJ119" s="149"/>
      <c r="EK119" s="149"/>
      <c r="EL119" s="149"/>
      <c r="EM119" s="149"/>
      <c r="EN119" s="149"/>
      <c r="EO119" s="149"/>
      <c r="EP119" s="149"/>
      <c r="EQ119" s="149"/>
      <c r="ER119" s="149"/>
      <c r="ES119" s="149"/>
      <c r="ET119" s="149"/>
      <c r="EU119" s="149"/>
      <c r="EV119" s="149"/>
      <c r="EW119" s="149"/>
      <c r="EX119" s="149"/>
      <c r="EY119" s="149"/>
      <c r="EZ119" s="149"/>
      <c r="FA119" s="149"/>
      <c r="FB119" s="149"/>
      <c r="FC119" s="149"/>
      <c r="FD119" s="149"/>
      <c r="FE119" s="149"/>
      <c r="FF119" s="149"/>
      <c r="FG119" s="149"/>
      <c r="FH119" s="149"/>
      <c r="FI119" s="149"/>
      <c r="FJ119" s="149"/>
      <c r="FK119" s="149"/>
      <c r="FL119" s="149"/>
      <c r="FM119" s="149"/>
      <c r="FN119" s="149"/>
      <c r="FO119" s="149"/>
      <c r="FP119" s="149"/>
      <c r="FQ119" s="149"/>
      <c r="FR119" s="149"/>
      <c r="FS119" s="149"/>
      <c r="FT119" s="149"/>
      <c r="FU119" s="149"/>
      <c r="FV119" s="149"/>
      <c r="FW119" s="149"/>
      <c r="FX119" s="149"/>
      <c r="FY119" s="149"/>
      <c r="FZ119" s="149"/>
      <c r="GA119" s="149"/>
      <c r="GB119" s="149"/>
      <c r="GC119" s="149"/>
      <c r="GD119" s="149"/>
      <c r="GE119" s="149"/>
      <c r="GF119" s="149"/>
      <c r="GG119" s="149"/>
      <c r="GH119" s="149"/>
      <c r="GI119" s="149"/>
      <c r="GJ119" s="149"/>
      <c r="GK119" s="149"/>
      <c r="GL119" s="149"/>
      <c r="GM119" s="149"/>
      <c r="GN119" s="149"/>
      <c r="GO119" s="149"/>
      <c r="GP119" s="149"/>
      <c r="GQ119" s="149"/>
      <c r="GR119" s="149"/>
      <c r="GS119" s="149"/>
      <c r="GT119" s="149"/>
      <c r="GU119" s="149"/>
      <c r="GV119" s="149"/>
      <c r="GW119" s="149"/>
      <c r="GX119" s="149"/>
    </row>
    <row r="120" spans="1:206" s="85" customFormat="1" ht="36.75" customHeight="1">
      <c r="A120" s="422" t="s">
        <v>160</v>
      </c>
      <c r="B120" s="422"/>
      <c r="C120" s="17"/>
      <c r="D120" s="130">
        <f>Z120</f>
        <v>0</v>
      </c>
      <c r="E120" s="17"/>
      <c r="F120" s="17"/>
      <c r="G120" s="17">
        <f t="shared" ref="G120:G131" si="330">F120-$C120</f>
        <v>0</v>
      </c>
      <c r="H120" s="17"/>
      <c r="I120" s="17">
        <f t="shared" ref="I120:I131" si="331">H120-$C120</f>
        <v>0</v>
      </c>
      <c r="J120" s="17"/>
      <c r="K120" s="17">
        <f t="shared" ref="K120:K131" si="332">J120-$C120</f>
        <v>0</v>
      </c>
      <c r="L120" s="17"/>
      <c r="M120" s="17">
        <f t="shared" ref="M120:M131" si="333">L120-$C120</f>
        <v>0</v>
      </c>
      <c r="N120" s="17"/>
      <c r="O120" s="17">
        <f t="shared" ref="O120:O131" si="334">N120-$C120</f>
        <v>0</v>
      </c>
      <c r="P120" s="17"/>
      <c r="Q120" s="17">
        <f t="shared" ref="Q120:Q131" si="335">P120-$C120</f>
        <v>0</v>
      </c>
      <c r="R120" s="17"/>
      <c r="S120" s="17">
        <f t="shared" ref="S120:S131" si="336">R120-$C120</f>
        <v>0</v>
      </c>
      <c r="T120" s="17"/>
      <c r="U120" s="17">
        <f t="shared" ref="U120:U131" si="337">T120-$C120</f>
        <v>0</v>
      </c>
      <c r="V120" s="17"/>
      <c r="W120" s="17">
        <f t="shared" ref="W120:W131" si="338">V120-$C120</f>
        <v>0</v>
      </c>
      <c r="X120" s="17"/>
      <c r="Y120" s="17">
        <f t="shared" ref="Y120:Y131" si="339">X120-$C120</f>
        <v>0</v>
      </c>
      <c r="Z120" s="17"/>
      <c r="AA120" s="17" t="s">
        <v>51</v>
      </c>
      <c r="AB120" s="131" t="s">
        <v>51</v>
      </c>
      <c r="AC120" s="17"/>
      <c r="AD120" s="17"/>
      <c r="AE120" s="17">
        <f t="shared" ref="AE120:AE131" si="340">AD120-$D120</f>
        <v>0</v>
      </c>
      <c r="AF120" s="131" t="s">
        <v>51</v>
      </c>
      <c r="AG120" s="17"/>
      <c r="AH120" s="17">
        <f t="shared" ref="AH120:AH131" si="341">AG120-$D120</f>
        <v>0</v>
      </c>
      <c r="AI120" s="131" t="s">
        <v>51</v>
      </c>
      <c r="AJ120" s="17"/>
      <c r="AK120" s="17">
        <f t="shared" ref="AK120:AK131" si="342">AJ120-$D120</f>
        <v>0</v>
      </c>
      <c r="AL120" s="131" t="s">
        <v>51</v>
      </c>
      <c r="AM120" s="17"/>
      <c r="AN120" s="17">
        <f t="shared" ref="AN120:AN131" si="343">AM120-$D120</f>
        <v>0</v>
      </c>
      <c r="AO120" s="131" t="s">
        <v>51</v>
      </c>
      <c r="AP120" s="17"/>
      <c r="AQ120" s="17">
        <f t="shared" ref="AQ120:AQ131" si="344">AP120-$D120</f>
        <v>0</v>
      </c>
      <c r="AR120" s="131" t="s">
        <v>51</v>
      </c>
      <c r="AS120" s="17"/>
      <c r="AT120" s="17">
        <f t="shared" ref="AT120:AT131" si="345">AS120-$D120</f>
        <v>0</v>
      </c>
      <c r="AU120" s="131" t="s">
        <v>51</v>
      </c>
      <c r="AV120" s="17"/>
      <c r="AW120" s="17">
        <f t="shared" ref="AW120:AW131" si="346">AV120-$D120</f>
        <v>0</v>
      </c>
      <c r="AX120" s="131" t="s">
        <v>51</v>
      </c>
      <c r="AY120" s="17"/>
      <c r="AZ120" s="17">
        <f t="shared" ref="AZ120:AZ131" si="347">AY120-$D120</f>
        <v>0</v>
      </c>
      <c r="BA120" s="131" t="s">
        <v>51</v>
      </c>
      <c r="BB120" s="17"/>
      <c r="BC120" s="17">
        <f t="shared" ref="BC120:BC131" si="348">BB120-$D120</f>
        <v>0</v>
      </c>
      <c r="BD120" s="131" t="s">
        <v>51</v>
      </c>
      <c r="BE120" s="17"/>
      <c r="BF120" s="17">
        <f t="shared" ref="BF120:BF131" si="349">BE120-$D120</f>
        <v>0</v>
      </c>
      <c r="BG120" s="131" t="s">
        <v>51</v>
      </c>
      <c r="BH120" s="17"/>
      <c r="BI120" s="17"/>
      <c r="BJ120" s="17"/>
      <c r="BK120" s="131" t="s">
        <v>51</v>
      </c>
      <c r="BL120" s="131">
        <f t="shared" si="329"/>
        <v>1</v>
      </c>
      <c r="BM120" s="168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86"/>
      <c r="DR120" s="86"/>
      <c r="DS120" s="86"/>
      <c r="DT120" s="86"/>
      <c r="DU120" s="86"/>
      <c r="DV120" s="86"/>
      <c r="DW120" s="86"/>
      <c r="DX120" s="86"/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  <c r="EK120" s="86"/>
      <c r="EL120" s="86"/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6"/>
      <c r="EY120" s="86"/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6"/>
      <c r="FL120" s="86"/>
      <c r="FM120" s="86"/>
      <c r="FN120" s="86"/>
      <c r="FO120" s="86"/>
      <c r="FP120" s="86"/>
      <c r="FQ120" s="86"/>
      <c r="FR120" s="86"/>
      <c r="FS120" s="86"/>
      <c r="FT120" s="86"/>
      <c r="FU120" s="86"/>
      <c r="FV120" s="86"/>
      <c r="FW120" s="86"/>
      <c r="FX120" s="86"/>
      <c r="FY120" s="86"/>
      <c r="FZ120" s="86"/>
      <c r="GA120" s="86"/>
      <c r="GB120" s="86"/>
      <c r="GC120" s="86"/>
      <c r="GD120" s="86"/>
      <c r="GE120" s="86"/>
      <c r="GF120" s="86"/>
      <c r="GG120" s="86"/>
      <c r="GH120" s="86"/>
      <c r="GI120" s="86"/>
      <c r="GJ120" s="86"/>
      <c r="GK120" s="86"/>
      <c r="GL120" s="86"/>
      <c r="GM120" s="86"/>
      <c r="GN120" s="86"/>
      <c r="GO120" s="86"/>
      <c r="GP120" s="86"/>
      <c r="GQ120" s="86"/>
      <c r="GR120" s="86"/>
      <c r="GS120" s="86"/>
      <c r="GT120" s="86"/>
      <c r="GU120" s="86"/>
      <c r="GV120" s="86"/>
      <c r="GW120" s="86"/>
      <c r="GX120" s="86"/>
    </row>
    <row r="121" spans="1:206" s="66" customFormat="1" ht="16.5">
      <c r="A121" s="423" t="s">
        <v>75</v>
      </c>
      <c r="B121" s="423"/>
      <c r="C121" s="42"/>
      <c r="D121" s="161">
        <f t="shared" ref="D121:D131" si="350">Z121</f>
        <v>0</v>
      </c>
      <c r="E121" s="40"/>
      <c r="F121" s="40"/>
      <c r="G121" s="40">
        <f t="shared" si="330"/>
        <v>0</v>
      </c>
      <c r="H121" s="40"/>
      <c r="I121" s="40">
        <f t="shared" si="331"/>
        <v>0</v>
      </c>
      <c r="J121" s="40"/>
      <c r="K121" s="40">
        <f t="shared" si="332"/>
        <v>0</v>
      </c>
      <c r="L121" s="40"/>
      <c r="M121" s="40">
        <f t="shared" si="333"/>
        <v>0</v>
      </c>
      <c r="N121" s="40"/>
      <c r="O121" s="40">
        <f t="shared" si="334"/>
        <v>0</v>
      </c>
      <c r="P121" s="40"/>
      <c r="Q121" s="40">
        <f t="shared" si="335"/>
        <v>0</v>
      </c>
      <c r="R121" s="40"/>
      <c r="S121" s="40">
        <f t="shared" si="336"/>
        <v>0</v>
      </c>
      <c r="T121" s="40"/>
      <c r="U121" s="40">
        <f t="shared" si="337"/>
        <v>0</v>
      </c>
      <c r="V121" s="40"/>
      <c r="W121" s="40">
        <f t="shared" si="338"/>
        <v>0</v>
      </c>
      <c r="X121" s="40"/>
      <c r="Y121" s="40">
        <f t="shared" si="339"/>
        <v>0</v>
      </c>
      <c r="Z121" s="40"/>
      <c r="AA121" s="42" t="s">
        <v>51</v>
      </c>
      <c r="AB121" s="162" t="s">
        <v>51</v>
      </c>
      <c r="AC121" s="42"/>
      <c r="AD121" s="42"/>
      <c r="AE121" s="42">
        <f t="shared" si="340"/>
        <v>0</v>
      </c>
      <c r="AF121" s="162" t="s">
        <v>51</v>
      </c>
      <c r="AG121" s="42"/>
      <c r="AH121" s="42">
        <f t="shared" si="341"/>
        <v>0</v>
      </c>
      <c r="AI121" s="162" t="s">
        <v>51</v>
      </c>
      <c r="AJ121" s="42"/>
      <c r="AK121" s="42">
        <f t="shared" si="342"/>
        <v>0</v>
      </c>
      <c r="AL121" s="162" t="s">
        <v>51</v>
      </c>
      <c r="AM121" s="42"/>
      <c r="AN121" s="42">
        <f t="shared" si="343"/>
        <v>0</v>
      </c>
      <c r="AO121" s="162" t="s">
        <v>51</v>
      </c>
      <c r="AP121" s="42"/>
      <c r="AQ121" s="42">
        <f t="shared" si="344"/>
        <v>0</v>
      </c>
      <c r="AR121" s="162" t="s">
        <v>51</v>
      </c>
      <c r="AS121" s="42"/>
      <c r="AT121" s="42">
        <f t="shared" si="345"/>
        <v>0</v>
      </c>
      <c r="AU121" s="162" t="s">
        <v>51</v>
      </c>
      <c r="AV121" s="42"/>
      <c r="AW121" s="42">
        <f t="shared" si="346"/>
        <v>0</v>
      </c>
      <c r="AX121" s="162" t="s">
        <v>51</v>
      </c>
      <c r="AY121" s="42"/>
      <c r="AZ121" s="42">
        <f t="shared" si="347"/>
        <v>0</v>
      </c>
      <c r="BA121" s="162" t="s">
        <v>51</v>
      </c>
      <c r="BB121" s="42"/>
      <c r="BC121" s="42">
        <f t="shared" si="348"/>
        <v>0</v>
      </c>
      <c r="BD121" s="162" t="s">
        <v>51</v>
      </c>
      <c r="BE121" s="42"/>
      <c r="BF121" s="42">
        <f t="shared" si="349"/>
        <v>0</v>
      </c>
      <c r="BG121" s="162" t="s">
        <v>51</v>
      </c>
      <c r="BH121" s="42"/>
      <c r="BI121" s="42"/>
      <c r="BJ121" s="42"/>
      <c r="BK121" s="162" t="s">
        <v>51</v>
      </c>
      <c r="BL121" s="162">
        <f t="shared" si="329"/>
        <v>1</v>
      </c>
      <c r="BM121" s="171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</row>
    <row r="122" spans="1:206" s="66" customFormat="1" ht="18.75" customHeight="1">
      <c r="A122" s="423" t="s">
        <v>76</v>
      </c>
      <c r="B122" s="423"/>
      <c r="C122" s="42"/>
      <c r="D122" s="161">
        <f t="shared" si="350"/>
        <v>0</v>
      </c>
      <c r="E122" s="40"/>
      <c r="F122" s="40"/>
      <c r="G122" s="40">
        <f t="shared" si="330"/>
        <v>0</v>
      </c>
      <c r="H122" s="40"/>
      <c r="I122" s="40">
        <f t="shared" si="331"/>
        <v>0</v>
      </c>
      <c r="J122" s="40"/>
      <c r="K122" s="40">
        <f t="shared" si="332"/>
        <v>0</v>
      </c>
      <c r="L122" s="40"/>
      <c r="M122" s="40">
        <f t="shared" si="333"/>
        <v>0</v>
      </c>
      <c r="N122" s="40"/>
      <c r="O122" s="40">
        <f t="shared" si="334"/>
        <v>0</v>
      </c>
      <c r="P122" s="40"/>
      <c r="Q122" s="40">
        <f t="shared" si="335"/>
        <v>0</v>
      </c>
      <c r="R122" s="40"/>
      <c r="S122" s="40">
        <f t="shared" si="336"/>
        <v>0</v>
      </c>
      <c r="T122" s="40"/>
      <c r="U122" s="40">
        <f t="shared" si="337"/>
        <v>0</v>
      </c>
      <c r="V122" s="40"/>
      <c r="W122" s="40">
        <f t="shared" si="338"/>
        <v>0</v>
      </c>
      <c r="X122" s="40"/>
      <c r="Y122" s="40">
        <f t="shared" si="339"/>
        <v>0</v>
      </c>
      <c r="Z122" s="40"/>
      <c r="AA122" s="42" t="s">
        <v>51</v>
      </c>
      <c r="AB122" s="162" t="s">
        <v>51</v>
      </c>
      <c r="AC122" s="42"/>
      <c r="AD122" s="42"/>
      <c r="AE122" s="42">
        <f t="shared" si="340"/>
        <v>0</v>
      </c>
      <c r="AF122" s="162" t="s">
        <v>51</v>
      </c>
      <c r="AG122" s="42"/>
      <c r="AH122" s="42">
        <f t="shared" si="341"/>
        <v>0</v>
      </c>
      <c r="AI122" s="162" t="s">
        <v>51</v>
      </c>
      <c r="AJ122" s="42"/>
      <c r="AK122" s="42">
        <f t="shared" si="342"/>
        <v>0</v>
      </c>
      <c r="AL122" s="162" t="s">
        <v>51</v>
      </c>
      <c r="AM122" s="42"/>
      <c r="AN122" s="42">
        <f t="shared" si="343"/>
        <v>0</v>
      </c>
      <c r="AO122" s="162" t="s">
        <v>51</v>
      </c>
      <c r="AP122" s="42"/>
      <c r="AQ122" s="42">
        <f t="shared" si="344"/>
        <v>0</v>
      </c>
      <c r="AR122" s="162" t="s">
        <v>51</v>
      </c>
      <c r="AS122" s="42"/>
      <c r="AT122" s="42">
        <f t="shared" si="345"/>
        <v>0</v>
      </c>
      <c r="AU122" s="162" t="s">
        <v>51</v>
      </c>
      <c r="AV122" s="42"/>
      <c r="AW122" s="42">
        <f t="shared" si="346"/>
        <v>0</v>
      </c>
      <c r="AX122" s="162" t="s">
        <v>51</v>
      </c>
      <c r="AY122" s="42"/>
      <c r="AZ122" s="42">
        <f t="shared" si="347"/>
        <v>0</v>
      </c>
      <c r="BA122" s="162" t="s">
        <v>51</v>
      </c>
      <c r="BB122" s="42"/>
      <c r="BC122" s="42">
        <f t="shared" si="348"/>
        <v>0</v>
      </c>
      <c r="BD122" s="162" t="s">
        <v>51</v>
      </c>
      <c r="BE122" s="42"/>
      <c r="BF122" s="42">
        <f t="shared" si="349"/>
        <v>0</v>
      </c>
      <c r="BG122" s="162" t="s">
        <v>51</v>
      </c>
      <c r="BH122" s="42"/>
      <c r="BI122" s="42"/>
      <c r="BJ122" s="42"/>
      <c r="BK122" s="162" t="s">
        <v>51</v>
      </c>
      <c r="BL122" s="162">
        <f t="shared" si="329"/>
        <v>1</v>
      </c>
      <c r="BM122" s="171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</row>
    <row r="123" spans="1:206" s="66" customFormat="1" ht="18.75" customHeight="1">
      <c r="A123" s="423" t="s">
        <v>129</v>
      </c>
      <c r="B123" s="423"/>
      <c r="C123" s="42"/>
      <c r="D123" s="138">
        <f t="shared" si="350"/>
        <v>0</v>
      </c>
      <c r="E123" s="30"/>
      <c r="F123" s="30"/>
      <c r="G123" s="30">
        <f t="shared" si="330"/>
        <v>0</v>
      </c>
      <c r="H123" s="30"/>
      <c r="I123" s="30">
        <f t="shared" si="331"/>
        <v>0</v>
      </c>
      <c r="J123" s="30"/>
      <c r="K123" s="30">
        <f t="shared" si="332"/>
        <v>0</v>
      </c>
      <c r="L123" s="30"/>
      <c r="M123" s="30">
        <f t="shared" si="333"/>
        <v>0</v>
      </c>
      <c r="N123" s="30"/>
      <c r="O123" s="30">
        <f t="shared" si="334"/>
        <v>0</v>
      </c>
      <c r="P123" s="30"/>
      <c r="Q123" s="30">
        <f t="shared" si="335"/>
        <v>0</v>
      </c>
      <c r="R123" s="30"/>
      <c r="S123" s="30">
        <f t="shared" si="336"/>
        <v>0</v>
      </c>
      <c r="T123" s="30"/>
      <c r="U123" s="30">
        <f t="shared" si="337"/>
        <v>0</v>
      </c>
      <c r="V123" s="30"/>
      <c r="W123" s="30">
        <f t="shared" si="338"/>
        <v>0</v>
      </c>
      <c r="X123" s="40"/>
      <c r="Y123" s="30">
        <f t="shared" si="339"/>
        <v>0</v>
      </c>
      <c r="Z123" s="40"/>
      <c r="AA123" s="42" t="s">
        <v>51</v>
      </c>
      <c r="AB123" s="162" t="s">
        <v>51</v>
      </c>
      <c r="AC123" s="29"/>
      <c r="AD123" s="29"/>
      <c r="AE123" s="29">
        <f t="shared" si="340"/>
        <v>0</v>
      </c>
      <c r="AF123" s="162" t="s">
        <v>51</v>
      </c>
      <c r="AG123" s="29"/>
      <c r="AH123" s="29">
        <f t="shared" si="341"/>
        <v>0</v>
      </c>
      <c r="AI123" s="162" t="s">
        <v>51</v>
      </c>
      <c r="AJ123" s="29"/>
      <c r="AK123" s="29">
        <f t="shared" si="342"/>
        <v>0</v>
      </c>
      <c r="AL123" s="162" t="s">
        <v>51</v>
      </c>
      <c r="AM123" s="29"/>
      <c r="AN123" s="29">
        <f t="shared" si="343"/>
        <v>0</v>
      </c>
      <c r="AO123" s="162" t="s">
        <v>51</v>
      </c>
      <c r="AP123" s="29"/>
      <c r="AQ123" s="29">
        <f t="shared" si="344"/>
        <v>0</v>
      </c>
      <c r="AR123" s="162" t="s">
        <v>51</v>
      </c>
      <c r="AS123" s="29"/>
      <c r="AT123" s="29">
        <f t="shared" si="345"/>
        <v>0</v>
      </c>
      <c r="AU123" s="162" t="s">
        <v>51</v>
      </c>
      <c r="AV123" s="29"/>
      <c r="AW123" s="29">
        <f t="shared" si="346"/>
        <v>0</v>
      </c>
      <c r="AX123" s="162" t="s">
        <v>51</v>
      </c>
      <c r="AY123" s="29"/>
      <c r="AZ123" s="29">
        <f t="shared" si="347"/>
        <v>0</v>
      </c>
      <c r="BA123" s="162" t="s">
        <v>51</v>
      </c>
      <c r="BB123" s="29"/>
      <c r="BC123" s="29">
        <f t="shared" si="348"/>
        <v>0</v>
      </c>
      <c r="BD123" s="162" t="s">
        <v>51</v>
      </c>
      <c r="BE123" s="29"/>
      <c r="BF123" s="29">
        <f t="shared" si="349"/>
        <v>0</v>
      </c>
      <c r="BG123" s="162" t="s">
        <v>51</v>
      </c>
      <c r="BH123" s="29"/>
      <c r="BI123" s="29"/>
      <c r="BJ123" s="29"/>
      <c r="BK123" s="162" t="s">
        <v>51</v>
      </c>
      <c r="BL123" s="162">
        <f t="shared" si="329"/>
        <v>1</v>
      </c>
      <c r="BM123" s="171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</row>
    <row r="124" spans="1:206" s="87" customFormat="1" ht="35.25" customHeight="1">
      <c r="A124" s="422" t="s">
        <v>161</v>
      </c>
      <c r="B124" s="422"/>
      <c r="C124" s="17"/>
      <c r="D124" s="130">
        <f t="shared" si="350"/>
        <v>0</v>
      </c>
      <c r="E124" s="17"/>
      <c r="F124" s="17"/>
      <c r="G124" s="17">
        <f t="shared" si="330"/>
        <v>0</v>
      </c>
      <c r="H124" s="17"/>
      <c r="I124" s="17">
        <f t="shared" si="331"/>
        <v>0</v>
      </c>
      <c r="J124" s="17"/>
      <c r="K124" s="17">
        <f t="shared" si="332"/>
        <v>0</v>
      </c>
      <c r="L124" s="17"/>
      <c r="M124" s="17">
        <f t="shared" si="333"/>
        <v>0</v>
      </c>
      <c r="N124" s="17"/>
      <c r="O124" s="17">
        <f t="shared" si="334"/>
        <v>0</v>
      </c>
      <c r="P124" s="17"/>
      <c r="Q124" s="17">
        <f t="shared" si="335"/>
        <v>0</v>
      </c>
      <c r="R124" s="17"/>
      <c r="S124" s="17">
        <f t="shared" si="336"/>
        <v>0</v>
      </c>
      <c r="T124" s="17"/>
      <c r="U124" s="17">
        <f t="shared" si="337"/>
        <v>0</v>
      </c>
      <c r="V124" s="17"/>
      <c r="W124" s="17">
        <f t="shared" si="338"/>
        <v>0</v>
      </c>
      <c r="X124" s="17"/>
      <c r="Y124" s="17">
        <f t="shared" si="339"/>
        <v>0</v>
      </c>
      <c r="Z124" s="17"/>
      <c r="AA124" s="17" t="s">
        <v>51</v>
      </c>
      <c r="AB124" s="143" t="s">
        <v>51</v>
      </c>
      <c r="AC124" s="17"/>
      <c r="AD124" s="17"/>
      <c r="AE124" s="17">
        <f t="shared" si="340"/>
        <v>0</v>
      </c>
      <c r="AF124" s="143" t="s">
        <v>51</v>
      </c>
      <c r="AG124" s="17"/>
      <c r="AH124" s="17">
        <f t="shared" si="341"/>
        <v>0</v>
      </c>
      <c r="AI124" s="143" t="s">
        <v>51</v>
      </c>
      <c r="AJ124" s="17"/>
      <c r="AK124" s="17">
        <f t="shared" si="342"/>
        <v>0</v>
      </c>
      <c r="AL124" s="143" t="s">
        <v>51</v>
      </c>
      <c r="AM124" s="17"/>
      <c r="AN124" s="17">
        <f t="shared" si="343"/>
        <v>0</v>
      </c>
      <c r="AO124" s="143" t="s">
        <v>51</v>
      </c>
      <c r="AP124" s="17"/>
      <c r="AQ124" s="17">
        <f t="shared" si="344"/>
        <v>0</v>
      </c>
      <c r="AR124" s="143" t="s">
        <v>51</v>
      </c>
      <c r="AS124" s="17"/>
      <c r="AT124" s="17">
        <f t="shared" si="345"/>
        <v>0</v>
      </c>
      <c r="AU124" s="143" t="s">
        <v>51</v>
      </c>
      <c r="AV124" s="17"/>
      <c r="AW124" s="17">
        <f t="shared" si="346"/>
        <v>0</v>
      </c>
      <c r="AX124" s="143" t="s">
        <v>51</v>
      </c>
      <c r="AY124" s="17"/>
      <c r="AZ124" s="17">
        <f t="shared" si="347"/>
        <v>0</v>
      </c>
      <c r="BA124" s="143" t="s">
        <v>51</v>
      </c>
      <c r="BB124" s="17"/>
      <c r="BC124" s="17">
        <f t="shared" si="348"/>
        <v>0</v>
      </c>
      <c r="BD124" s="143" t="s">
        <v>51</v>
      </c>
      <c r="BE124" s="17"/>
      <c r="BF124" s="17">
        <f t="shared" si="349"/>
        <v>0</v>
      </c>
      <c r="BG124" s="143" t="s">
        <v>51</v>
      </c>
      <c r="BH124" s="17"/>
      <c r="BI124" s="17"/>
      <c r="BJ124" s="17"/>
      <c r="BK124" s="143" t="s">
        <v>51</v>
      </c>
      <c r="BL124" s="143">
        <f t="shared" si="329"/>
        <v>1</v>
      </c>
      <c r="BM124" s="172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8"/>
      <c r="EP124" s="88"/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8"/>
      <c r="FC124" s="88"/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GX124" s="88"/>
    </row>
    <row r="125" spans="1:206" s="66" customFormat="1" ht="16.5">
      <c r="A125" s="423" t="s">
        <v>75</v>
      </c>
      <c r="B125" s="423"/>
      <c r="C125" s="42"/>
      <c r="D125" s="161">
        <f t="shared" si="350"/>
        <v>0</v>
      </c>
      <c r="E125" s="40"/>
      <c r="F125" s="40"/>
      <c r="G125" s="40">
        <f t="shared" si="330"/>
        <v>0</v>
      </c>
      <c r="H125" s="40"/>
      <c r="I125" s="40">
        <f t="shared" si="331"/>
        <v>0</v>
      </c>
      <c r="J125" s="40"/>
      <c r="K125" s="40">
        <f t="shared" si="332"/>
        <v>0</v>
      </c>
      <c r="L125" s="40"/>
      <c r="M125" s="40">
        <f t="shared" si="333"/>
        <v>0</v>
      </c>
      <c r="N125" s="40"/>
      <c r="O125" s="40">
        <f t="shared" si="334"/>
        <v>0</v>
      </c>
      <c r="P125" s="40"/>
      <c r="Q125" s="40">
        <f t="shared" si="335"/>
        <v>0</v>
      </c>
      <c r="R125" s="40"/>
      <c r="S125" s="40">
        <f t="shared" si="336"/>
        <v>0</v>
      </c>
      <c r="T125" s="40"/>
      <c r="U125" s="40">
        <f t="shared" si="337"/>
        <v>0</v>
      </c>
      <c r="V125" s="40"/>
      <c r="W125" s="40">
        <f t="shared" si="338"/>
        <v>0</v>
      </c>
      <c r="X125" s="40"/>
      <c r="Y125" s="40">
        <f t="shared" si="339"/>
        <v>0</v>
      </c>
      <c r="Z125" s="40"/>
      <c r="AA125" s="42" t="s">
        <v>51</v>
      </c>
      <c r="AB125" s="162" t="s">
        <v>51</v>
      </c>
      <c r="AC125" s="40"/>
      <c r="AD125" s="40"/>
      <c r="AE125" s="40">
        <f t="shared" si="340"/>
        <v>0</v>
      </c>
      <c r="AF125" s="162" t="s">
        <v>51</v>
      </c>
      <c r="AG125" s="40"/>
      <c r="AH125" s="40">
        <f t="shared" si="341"/>
        <v>0</v>
      </c>
      <c r="AI125" s="162" t="s">
        <v>51</v>
      </c>
      <c r="AJ125" s="40"/>
      <c r="AK125" s="40">
        <f t="shared" si="342"/>
        <v>0</v>
      </c>
      <c r="AL125" s="162" t="s">
        <v>51</v>
      </c>
      <c r="AM125" s="40"/>
      <c r="AN125" s="40">
        <f t="shared" si="343"/>
        <v>0</v>
      </c>
      <c r="AO125" s="162" t="s">
        <v>51</v>
      </c>
      <c r="AP125" s="40"/>
      <c r="AQ125" s="40">
        <f t="shared" si="344"/>
        <v>0</v>
      </c>
      <c r="AR125" s="162" t="s">
        <v>51</v>
      </c>
      <c r="AS125" s="40"/>
      <c r="AT125" s="40">
        <f t="shared" si="345"/>
        <v>0</v>
      </c>
      <c r="AU125" s="162" t="s">
        <v>51</v>
      </c>
      <c r="AV125" s="40"/>
      <c r="AW125" s="40">
        <f t="shared" si="346"/>
        <v>0</v>
      </c>
      <c r="AX125" s="162" t="s">
        <v>51</v>
      </c>
      <c r="AY125" s="40"/>
      <c r="AZ125" s="40">
        <f t="shared" si="347"/>
        <v>0</v>
      </c>
      <c r="BA125" s="162" t="s">
        <v>51</v>
      </c>
      <c r="BB125" s="40"/>
      <c r="BC125" s="40">
        <f t="shared" si="348"/>
        <v>0</v>
      </c>
      <c r="BD125" s="162" t="s">
        <v>51</v>
      </c>
      <c r="BE125" s="40"/>
      <c r="BF125" s="40">
        <f t="shared" si="349"/>
        <v>0</v>
      </c>
      <c r="BG125" s="162" t="s">
        <v>51</v>
      </c>
      <c r="BH125" s="40"/>
      <c r="BI125" s="40"/>
      <c r="BJ125" s="40"/>
      <c r="BK125" s="162" t="s">
        <v>51</v>
      </c>
      <c r="BL125" s="162">
        <f t="shared" si="329"/>
        <v>1</v>
      </c>
      <c r="BM125" s="171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</row>
    <row r="126" spans="1:206" s="66" customFormat="1" ht="18.75" customHeight="1">
      <c r="A126" s="423" t="s">
        <v>76</v>
      </c>
      <c r="B126" s="423"/>
      <c r="C126" s="42"/>
      <c r="D126" s="161">
        <f t="shared" si="350"/>
        <v>0</v>
      </c>
      <c r="E126" s="40"/>
      <c r="F126" s="40"/>
      <c r="G126" s="40">
        <f t="shared" si="330"/>
        <v>0</v>
      </c>
      <c r="H126" s="40"/>
      <c r="I126" s="40">
        <f t="shared" si="331"/>
        <v>0</v>
      </c>
      <c r="J126" s="40"/>
      <c r="K126" s="40">
        <f t="shared" si="332"/>
        <v>0</v>
      </c>
      <c r="L126" s="40"/>
      <c r="M126" s="40">
        <f t="shared" si="333"/>
        <v>0</v>
      </c>
      <c r="N126" s="40"/>
      <c r="O126" s="40">
        <f t="shared" si="334"/>
        <v>0</v>
      </c>
      <c r="P126" s="40"/>
      <c r="Q126" s="40">
        <f t="shared" si="335"/>
        <v>0</v>
      </c>
      <c r="R126" s="40"/>
      <c r="S126" s="40">
        <f t="shared" si="336"/>
        <v>0</v>
      </c>
      <c r="T126" s="40"/>
      <c r="U126" s="40">
        <f t="shared" si="337"/>
        <v>0</v>
      </c>
      <c r="V126" s="40"/>
      <c r="W126" s="40">
        <f t="shared" si="338"/>
        <v>0</v>
      </c>
      <c r="X126" s="40"/>
      <c r="Y126" s="40">
        <f t="shared" si="339"/>
        <v>0</v>
      </c>
      <c r="Z126" s="40"/>
      <c r="AA126" s="42" t="s">
        <v>51</v>
      </c>
      <c r="AB126" s="162" t="s">
        <v>51</v>
      </c>
      <c r="AC126" s="40"/>
      <c r="AD126" s="40"/>
      <c r="AE126" s="40">
        <f t="shared" si="340"/>
        <v>0</v>
      </c>
      <c r="AF126" s="162" t="s">
        <v>51</v>
      </c>
      <c r="AG126" s="40"/>
      <c r="AH126" s="40">
        <f t="shared" si="341"/>
        <v>0</v>
      </c>
      <c r="AI126" s="162" t="s">
        <v>51</v>
      </c>
      <c r="AJ126" s="40"/>
      <c r="AK126" s="40">
        <f t="shared" si="342"/>
        <v>0</v>
      </c>
      <c r="AL126" s="162" t="s">
        <v>51</v>
      </c>
      <c r="AM126" s="40"/>
      <c r="AN126" s="40">
        <f t="shared" si="343"/>
        <v>0</v>
      </c>
      <c r="AO126" s="162" t="s">
        <v>51</v>
      </c>
      <c r="AP126" s="40"/>
      <c r="AQ126" s="40">
        <f t="shared" si="344"/>
        <v>0</v>
      </c>
      <c r="AR126" s="162" t="s">
        <v>51</v>
      </c>
      <c r="AS126" s="40"/>
      <c r="AT126" s="40">
        <f t="shared" si="345"/>
        <v>0</v>
      </c>
      <c r="AU126" s="162" t="s">
        <v>51</v>
      </c>
      <c r="AV126" s="40"/>
      <c r="AW126" s="40">
        <f t="shared" si="346"/>
        <v>0</v>
      </c>
      <c r="AX126" s="162" t="s">
        <v>51</v>
      </c>
      <c r="AY126" s="40"/>
      <c r="AZ126" s="40">
        <f t="shared" si="347"/>
        <v>0</v>
      </c>
      <c r="BA126" s="162" t="s">
        <v>51</v>
      </c>
      <c r="BB126" s="40"/>
      <c r="BC126" s="40">
        <f t="shared" si="348"/>
        <v>0</v>
      </c>
      <c r="BD126" s="162" t="s">
        <v>51</v>
      </c>
      <c r="BE126" s="40"/>
      <c r="BF126" s="40">
        <f t="shared" si="349"/>
        <v>0</v>
      </c>
      <c r="BG126" s="162" t="s">
        <v>51</v>
      </c>
      <c r="BH126" s="40"/>
      <c r="BI126" s="40"/>
      <c r="BJ126" s="40"/>
      <c r="BK126" s="162" t="s">
        <v>51</v>
      </c>
      <c r="BL126" s="162">
        <f t="shared" si="329"/>
        <v>1</v>
      </c>
      <c r="BM126" s="171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</row>
    <row r="127" spans="1:206" s="66" customFormat="1" ht="21.75" customHeight="1">
      <c r="A127" s="423" t="s">
        <v>129</v>
      </c>
      <c r="B127" s="423"/>
      <c r="C127" s="42"/>
      <c r="D127" s="138">
        <f t="shared" si="350"/>
        <v>0</v>
      </c>
      <c r="E127" s="30"/>
      <c r="F127" s="30"/>
      <c r="G127" s="30">
        <f t="shared" si="330"/>
        <v>0</v>
      </c>
      <c r="H127" s="30"/>
      <c r="I127" s="30">
        <f t="shared" si="331"/>
        <v>0</v>
      </c>
      <c r="J127" s="30"/>
      <c r="K127" s="30">
        <f t="shared" si="332"/>
        <v>0</v>
      </c>
      <c r="L127" s="30"/>
      <c r="M127" s="30">
        <f t="shared" si="333"/>
        <v>0</v>
      </c>
      <c r="N127" s="30"/>
      <c r="O127" s="30">
        <f t="shared" si="334"/>
        <v>0</v>
      </c>
      <c r="P127" s="30"/>
      <c r="Q127" s="30">
        <f t="shared" si="335"/>
        <v>0</v>
      </c>
      <c r="R127" s="30"/>
      <c r="S127" s="30">
        <f t="shared" si="336"/>
        <v>0</v>
      </c>
      <c r="T127" s="30"/>
      <c r="U127" s="30">
        <f t="shared" si="337"/>
        <v>0</v>
      </c>
      <c r="V127" s="30"/>
      <c r="W127" s="30">
        <f t="shared" si="338"/>
        <v>0</v>
      </c>
      <c r="X127" s="30"/>
      <c r="Y127" s="30">
        <f t="shared" si="339"/>
        <v>0</v>
      </c>
      <c r="Z127" s="40"/>
      <c r="AA127" s="42" t="s">
        <v>51</v>
      </c>
      <c r="AB127" s="162" t="s">
        <v>51</v>
      </c>
      <c r="AC127" s="30"/>
      <c r="AD127" s="30"/>
      <c r="AE127" s="30">
        <f t="shared" si="340"/>
        <v>0</v>
      </c>
      <c r="AF127" s="162" t="s">
        <v>51</v>
      </c>
      <c r="AG127" s="30"/>
      <c r="AH127" s="30">
        <f t="shared" si="341"/>
        <v>0</v>
      </c>
      <c r="AI127" s="162" t="s">
        <v>51</v>
      </c>
      <c r="AJ127" s="30"/>
      <c r="AK127" s="30">
        <f t="shared" si="342"/>
        <v>0</v>
      </c>
      <c r="AL127" s="162" t="s">
        <v>51</v>
      </c>
      <c r="AM127" s="30"/>
      <c r="AN127" s="30">
        <f t="shared" si="343"/>
        <v>0</v>
      </c>
      <c r="AO127" s="162" t="s">
        <v>51</v>
      </c>
      <c r="AP127" s="30"/>
      <c r="AQ127" s="30">
        <f t="shared" si="344"/>
        <v>0</v>
      </c>
      <c r="AR127" s="162" t="s">
        <v>51</v>
      </c>
      <c r="AS127" s="30"/>
      <c r="AT127" s="30">
        <f t="shared" si="345"/>
        <v>0</v>
      </c>
      <c r="AU127" s="162" t="s">
        <v>51</v>
      </c>
      <c r="AV127" s="30"/>
      <c r="AW127" s="30">
        <f t="shared" si="346"/>
        <v>0</v>
      </c>
      <c r="AX127" s="162" t="s">
        <v>51</v>
      </c>
      <c r="AY127" s="30"/>
      <c r="AZ127" s="30">
        <f t="shared" si="347"/>
        <v>0</v>
      </c>
      <c r="BA127" s="162" t="s">
        <v>51</v>
      </c>
      <c r="BB127" s="30"/>
      <c r="BC127" s="30">
        <f t="shared" si="348"/>
        <v>0</v>
      </c>
      <c r="BD127" s="162" t="s">
        <v>51</v>
      </c>
      <c r="BE127" s="30"/>
      <c r="BF127" s="30">
        <f t="shared" si="349"/>
        <v>0</v>
      </c>
      <c r="BG127" s="162" t="s">
        <v>51</v>
      </c>
      <c r="BH127" s="30"/>
      <c r="BI127" s="30"/>
      <c r="BJ127" s="30"/>
      <c r="BK127" s="162" t="s">
        <v>51</v>
      </c>
      <c r="BL127" s="162">
        <f t="shared" si="329"/>
        <v>1</v>
      </c>
      <c r="BM127" s="171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</row>
    <row r="128" spans="1:206" s="87" customFormat="1" ht="35.25" customHeight="1">
      <c r="A128" s="422" t="s">
        <v>162</v>
      </c>
      <c r="B128" s="422"/>
      <c r="C128" s="17"/>
      <c r="D128" s="130">
        <f t="shared" si="350"/>
        <v>0</v>
      </c>
      <c r="E128" s="17"/>
      <c r="F128" s="17"/>
      <c r="G128" s="17">
        <f t="shared" si="330"/>
        <v>0</v>
      </c>
      <c r="H128" s="17"/>
      <c r="I128" s="17">
        <f t="shared" si="331"/>
        <v>0</v>
      </c>
      <c r="J128" s="17"/>
      <c r="K128" s="17">
        <f t="shared" si="332"/>
        <v>0</v>
      </c>
      <c r="L128" s="17"/>
      <c r="M128" s="17">
        <f t="shared" si="333"/>
        <v>0</v>
      </c>
      <c r="N128" s="17"/>
      <c r="O128" s="17">
        <f t="shared" si="334"/>
        <v>0</v>
      </c>
      <c r="P128" s="17"/>
      <c r="Q128" s="17">
        <f t="shared" si="335"/>
        <v>0</v>
      </c>
      <c r="R128" s="17"/>
      <c r="S128" s="17">
        <f t="shared" si="336"/>
        <v>0</v>
      </c>
      <c r="T128" s="17"/>
      <c r="U128" s="17">
        <f t="shared" si="337"/>
        <v>0</v>
      </c>
      <c r="V128" s="17"/>
      <c r="W128" s="17">
        <f t="shared" si="338"/>
        <v>0</v>
      </c>
      <c r="X128" s="17"/>
      <c r="Y128" s="17">
        <f t="shared" si="339"/>
        <v>0</v>
      </c>
      <c r="Z128" s="17"/>
      <c r="AA128" s="17" t="s">
        <v>51</v>
      </c>
      <c r="AB128" s="143" t="s">
        <v>51</v>
      </c>
      <c r="AC128" s="17"/>
      <c r="AD128" s="17"/>
      <c r="AE128" s="17">
        <f t="shared" si="340"/>
        <v>0</v>
      </c>
      <c r="AF128" s="143" t="s">
        <v>51</v>
      </c>
      <c r="AG128" s="17"/>
      <c r="AH128" s="17">
        <f t="shared" si="341"/>
        <v>0</v>
      </c>
      <c r="AI128" s="143" t="s">
        <v>51</v>
      </c>
      <c r="AJ128" s="17"/>
      <c r="AK128" s="17">
        <f t="shared" si="342"/>
        <v>0</v>
      </c>
      <c r="AL128" s="143" t="s">
        <v>51</v>
      </c>
      <c r="AM128" s="17"/>
      <c r="AN128" s="17">
        <f t="shared" si="343"/>
        <v>0</v>
      </c>
      <c r="AO128" s="143" t="s">
        <v>51</v>
      </c>
      <c r="AP128" s="17"/>
      <c r="AQ128" s="17">
        <f t="shared" si="344"/>
        <v>0</v>
      </c>
      <c r="AR128" s="143" t="s">
        <v>51</v>
      </c>
      <c r="AS128" s="17"/>
      <c r="AT128" s="17">
        <f t="shared" si="345"/>
        <v>0</v>
      </c>
      <c r="AU128" s="143" t="s">
        <v>51</v>
      </c>
      <c r="AV128" s="17"/>
      <c r="AW128" s="17">
        <f t="shared" si="346"/>
        <v>0</v>
      </c>
      <c r="AX128" s="143" t="s">
        <v>51</v>
      </c>
      <c r="AY128" s="17"/>
      <c r="AZ128" s="17">
        <f t="shared" si="347"/>
        <v>0</v>
      </c>
      <c r="BA128" s="143" t="s">
        <v>51</v>
      </c>
      <c r="BB128" s="17"/>
      <c r="BC128" s="17">
        <f t="shared" si="348"/>
        <v>0</v>
      </c>
      <c r="BD128" s="143" t="s">
        <v>51</v>
      </c>
      <c r="BE128" s="17"/>
      <c r="BF128" s="17">
        <f t="shared" si="349"/>
        <v>0</v>
      </c>
      <c r="BG128" s="143" t="s">
        <v>51</v>
      </c>
      <c r="BH128" s="17"/>
      <c r="BI128" s="17"/>
      <c r="BJ128" s="17"/>
      <c r="BK128" s="143" t="s">
        <v>51</v>
      </c>
      <c r="BL128" s="143">
        <f t="shared" si="329"/>
        <v>1</v>
      </c>
      <c r="BM128" s="172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</row>
    <row r="129" spans="1:206" s="66" customFormat="1" ht="16.5">
      <c r="A129" s="424" t="s">
        <v>78</v>
      </c>
      <c r="B129" s="424"/>
      <c r="C129" s="30"/>
      <c r="D129" s="137">
        <f t="shared" si="350"/>
        <v>0</v>
      </c>
      <c r="E129" s="29"/>
      <c r="F129" s="29"/>
      <c r="G129" s="29">
        <f t="shared" si="330"/>
        <v>0</v>
      </c>
      <c r="H129" s="29"/>
      <c r="I129" s="29">
        <f t="shared" si="331"/>
        <v>0</v>
      </c>
      <c r="J129" s="29"/>
      <c r="K129" s="29">
        <f t="shared" si="332"/>
        <v>0</v>
      </c>
      <c r="L129" s="29"/>
      <c r="M129" s="29">
        <f t="shared" si="333"/>
        <v>0</v>
      </c>
      <c r="N129" s="29"/>
      <c r="O129" s="29">
        <f t="shared" si="334"/>
        <v>0</v>
      </c>
      <c r="P129" s="29"/>
      <c r="Q129" s="29">
        <f t="shared" si="335"/>
        <v>0</v>
      </c>
      <c r="R129" s="29"/>
      <c r="S129" s="29">
        <f t="shared" si="336"/>
        <v>0</v>
      </c>
      <c r="T129" s="29"/>
      <c r="U129" s="29">
        <f t="shared" si="337"/>
        <v>0</v>
      </c>
      <c r="V129" s="29"/>
      <c r="W129" s="29">
        <f t="shared" si="338"/>
        <v>0</v>
      </c>
      <c r="X129" s="29"/>
      <c r="Y129" s="29">
        <f t="shared" si="339"/>
        <v>0</v>
      </c>
      <c r="Z129" s="30"/>
      <c r="AA129" s="42" t="s">
        <v>51</v>
      </c>
      <c r="AB129" s="162" t="s">
        <v>51</v>
      </c>
      <c r="AC129" s="30"/>
      <c r="AD129" s="29"/>
      <c r="AE129" s="29">
        <f t="shared" si="340"/>
        <v>0</v>
      </c>
      <c r="AF129" s="162" t="s">
        <v>51</v>
      </c>
      <c r="AG129" s="29"/>
      <c r="AH129" s="29">
        <f t="shared" si="341"/>
        <v>0</v>
      </c>
      <c r="AI129" s="162" t="s">
        <v>51</v>
      </c>
      <c r="AJ129" s="29"/>
      <c r="AK129" s="29">
        <f t="shared" si="342"/>
        <v>0</v>
      </c>
      <c r="AL129" s="162" t="s">
        <v>51</v>
      </c>
      <c r="AM129" s="29"/>
      <c r="AN129" s="29">
        <f t="shared" si="343"/>
        <v>0</v>
      </c>
      <c r="AO129" s="162" t="s">
        <v>51</v>
      </c>
      <c r="AP129" s="29"/>
      <c r="AQ129" s="29">
        <f t="shared" si="344"/>
        <v>0</v>
      </c>
      <c r="AR129" s="162" t="s">
        <v>51</v>
      </c>
      <c r="AS129" s="29"/>
      <c r="AT129" s="29">
        <f t="shared" si="345"/>
        <v>0</v>
      </c>
      <c r="AU129" s="162" t="s">
        <v>51</v>
      </c>
      <c r="AV129" s="29"/>
      <c r="AW129" s="29">
        <f t="shared" si="346"/>
        <v>0</v>
      </c>
      <c r="AX129" s="162" t="s">
        <v>51</v>
      </c>
      <c r="AY129" s="29"/>
      <c r="AZ129" s="29">
        <f t="shared" si="347"/>
        <v>0</v>
      </c>
      <c r="BA129" s="162" t="s">
        <v>51</v>
      </c>
      <c r="BB129" s="29"/>
      <c r="BC129" s="29">
        <f t="shared" si="348"/>
        <v>0</v>
      </c>
      <c r="BD129" s="162" t="s">
        <v>51</v>
      </c>
      <c r="BE129" s="29"/>
      <c r="BF129" s="29">
        <f t="shared" si="349"/>
        <v>0</v>
      </c>
      <c r="BG129" s="162" t="s">
        <v>51</v>
      </c>
      <c r="BH129" s="29"/>
      <c r="BI129" s="29"/>
      <c r="BJ129" s="29"/>
      <c r="BK129" s="162" t="s">
        <v>51</v>
      </c>
      <c r="BL129" s="162">
        <f t="shared" si="329"/>
        <v>1</v>
      </c>
      <c r="BM129" s="171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</row>
    <row r="130" spans="1:206" s="87" customFormat="1" ht="15.75" customHeight="1">
      <c r="A130" s="422" t="s">
        <v>163</v>
      </c>
      <c r="B130" s="422"/>
      <c r="C130" s="17"/>
      <c r="D130" s="130">
        <f t="shared" si="350"/>
        <v>0</v>
      </c>
      <c r="E130" s="17"/>
      <c r="F130" s="17"/>
      <c r="G130" s="17">
        <f t="shared" si="330"/>
        <v>0</v>
      </c>
      <c r="H130" s="17"/>
      <c r="I130" s="17">
        <f t="shared" si="331"/>
        <v>0</v>
      </c>
      <c r="J130" s="17"/>
      <c r="K130" s="17">
        <f t="shared" si="332"/>
        <v>0</v>
      </c>
      <c r="L130" s="17"/>
      <c r="M130" s="17">
        <f t="shared" si="333"/>
        <v>0</v>
      </c>
      <c r="N130" s="17"/>
      <c r="O130" s="17">
        <f t="shared" si="334"/>
        <v>0</v>
      </c>
      <c r="P130" s="17"/>
      <c r="Q130" s="17">
        <f t="shared" si="335"/>
        <v>0</v>
      </c>
      <c r="R130" s="17"/>
      <c r="S130" s="17">
        <f t="shared" si="336"/>
        <v>0</v>
      </c>
      <c r="T130" s="17"/>
      <c r="U130" s="17">
        <f t="shared" si="337"/>
        <v>0</v>
      </c>
      <c r="V130" s="17"/>
      <c r="W130" s="17">
        <f t="shared" si="338"/>
        <v>0</v>
      </c>
      <c r="X130" s="17"/>
      <c r="Y130" s="17">
        <f t="shared" si="339"/>
        <v>0</v>
      </c>
      <c r="Z130" s="17"/>
      <c r="AA130" s="17" t="s">
        <v>51</v>
      </c>
      <c r="AB130" s="143" t="s">
        <v>51</v>
      </c>
      <c r="AC130" s="17"/>
      <c r="AD130" s="17"/>
      <c r="AE130" s="17">
        <f t="shared" si="340"/>
        <v>0</v>
      </c>
      <c r="AF130" s="143" t="s">
        <v>51</v>
      </c>
      <c r="AG130" s="17"/>
      <c r="AH130" s="17">
        <f t="shared" si="341"/>
        <v>0</v>
      </c>
      <c r="AI130" s="143" t="s">
        <v>51</v>
      </c>
      <c r="AJ130" s="17"/>
      <c r="AK130" s="17">
        <f t="shared" si="342"/>
        <v>0</v>
      </c>
      <c r="AL130" s="143" t="s">
        <v>51</v>
      </c>
      <c r="AM130" s="17"/>
      <c r="AN130" s="17">
        <f t="shared" si="343"/>
        <v>0</v>
      </c>
      <c r="AO130" s="143" t="s">
        <v>51</v>
      </c>
      <c r="AP130" s="17"/>
      <c r="AQ130" s="17">
        <f t="shared" si="344"/>
        <v>0</v>
      </c>
      <c r="AR130" s="143" t="s">
        <v>51</v>
      </c>
      <c r="AS130" s="17"/>
      <c r="AT130" s="17">
        <f t="shared" si="345"/>
        <v>0</v>
      </c>
      <c r="AU130" s="143" t="s">
        <v>51</v>
      </c>
      <c r="AV130" s="17"/>
      <c r="AW130" s="17">
        <f t="shared" si="346"/>
        <v>0</v>
      </c>
      <c r="AX130" s="143" t="s">
        <v>51</v>
      </c>
      <c r="AY130" s="17"/>
      <c r="AZ130" s="17">
        <f t="shared" si="347"/>
        <v>0</v>
      </c>
      <c r="BA130" s="143" t="s">
        <v>51</v>
      </c>
      <c r="BB130" s="17"/>
      <c r="BC130" s="17">
        <f t="shared" si="348"/>
        <v>0</v>
      </c>
      <c r="BD130" s="143" t="s">
        <v>51</v>
      </c>
      <c r="BE130" s="17"/>
      <c r="BF130" s="17">
        <f t="shared" si="349"/>
        <v>0</v>
      </c>
      <c r="BG130" s="143" t="s">
        <v>51</v>
      </c>
      <c r="BH130" s="17"/>
      <c r="BI130" s="17"/>
      <c r="BJ130" s="17"/>
      <c r="BK130" s="143" t="s">
        <v>51</v>
      </c>
      <c r="BL130" s="143">
        <f t="shared" si="329"/>
        <v>1</v>
      </c>
      <c r="BM130" s="172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  <c r="EL130" s="88"/>
      <c r="EM130" s="88"/>
      <c r="EN130" s="88"/>
      <c r="EO130" s="88"/>
      <c r="EP130" s="88"/>
      <c r="EQ130" s="88"/>
      <c r="ER130" s="88"/>
      <c r="ES130" s="88"/>
      <c r="ET130" s="88"/>
      <c r="EU130" s="88"/>
      <c r="EV130" s="88"/>
      <c r="EW130" s="88"/>
      <c r="EX130" s="88"/>
      <c r="EY130" s="88"/>
      <c r="EZ130" s="88"/>
      <c r="FA130" s="88"/>
      <c r="FB130" s="88"/>
      <c r="FC130" s="88"/>
      <c r="FD130" s="88"/>
      <c r="FE130" s="88"/>
      <c r="FF130" s="88"/>
      <c r="FG130" s="88"/>
      <c r="FH130" s="88"/>
      <c r="FI130" s="88"/>
      <c r="FJ130" s="88"/>
      <c r="FK130" s="88"/>
      <c r="FL130" s="88"/>
      <c r="FM130" s="88"/>
      <c r="FN130" s="88"/>
      <c r="FO130" s="88"/>
      <c r="FP130" s="88"/>
      <c r="FQ130" s="88"/>
      <c r="FR130" s="88"/>
      <c r="FS130" s="88"/>
      <c r="FT130" s="88"/>
      <c r="FU130" s="88"/>
      <c r="FV130" s="88"/>
      <c r="FW130" s="88"/>
      <c r="FX130" s="88"/>
      <c r="FY130" s="88"/>
      <c r="FZ130" s="88"/>
      <c r="GA130" s="88"/>
      <c r="GB130" s="88"/>
      <c r="GC130" s="88"/>
      <c r="GD130" s="88"/>
      <c r="GE130" s="88"/>
      <c r="GF130" s="88"/>
      <c r="GG130" s="88"/>
      <c r="GH130" s="88"/>
      <c r="GI130" s="88"/>
      <c r="GJ130" s="88"/>
      <c r="GK130" s="88"/>
      <c r="GL130" s="88"/>
      <c r="GM130" s="88"/>
      <c r="GN130" s="88"/>
      <c r="GO130" s="88"/>
      <c r="GP130" s="88"/>
      <c r="GQ130" s="88"/>
      <c r="GR130" s="88"/>
      <c r="GS130" s="88"/>
      <c r="GT130" s="88"/>
      <c r="GU130" s="88"/>
      <c r="GV130" s="88"/>
      <c r="GW130" s="88"/>
      <c r="GX130" s="88"/>
    </row>
    <row r="131" spans="1:206" s="82" customFormat="1" ht="16.5">
      <c r="A131" s="422" t="s">
        <v>164</v>
      </c>
      <c r="B131" s="422"/>
      <c r="C131" s="17"/>
      <c r="D131" s="130">
        <f t="shared" si="350"/>
        <v>0</v>
      </c>
      <c r="E131" s="17"/>
      <c r="F131" s="17"/>
      <c r="G131" s="17">
        <f t="shared" si="330"/>
        <v>0</v>
      </c>
      <c r="H131" s="17"/>
      <c r="I131" s="17">
        <f t="shared" si="331"/>
        <v>0</v>
      </c>
      <c r="J131" s="17"/>
      <c r="K131" s="17">
        <f t="shared" si="332"/>
        <v>0</v>
      </c>
      <c r="L131" s="17"/>
      <c r="M131" s="17">
        <f t="shared" si="333"/>
        <v>0</v>
      </c>
      <c r="N131" s="17"/>
      <c r="O131" s="17">
        <f t="shared" si="334"/>
        <v>0</v>
      </c>
      <c r="P131" s="17"/>
      <c r="Q131" s="17">
        <f t="shared" si="335"/>
        <v>0</v>
      </c>
      <c r="R131" s="17"/>
      <c r="S131" s="17">
        <f t="shared" si="336"/>
        <v>0</v>
      </c>
      <c r="T131" s="17"/>
      <c r="U131" s="17">
        <f t="shared" si="337"/>
        <v>0</v>
      </c>
      <c r="V131" s="17"/>
      <c r="W131" s="17">
        <f t="shared" si="338"/>
        <v>0</v>
      </c>
      <c r="X131" s="17"/>
      <c r="Y131" s="17">
        <f t="shared" si="339"/>
        <v>0</v>
      </c>
      <c r="Z131" s="17"/>
      <c r="AA131" s="17" t="s">
        <v>51</v>
      </c>
      <c r="AB131" s="143" t="s">
        <v>51</v>
      </c>
      <c r="AC131" s="17"/>
      <c r="AD131" s="17"/>
      <c r="AE131" s="17">
        <f t="shared" si="340"/>
        <v>0</v>
      </c>
      <c r="AF131" s="143">
        <f>IF(G131=0,1,AE131/G131-1)</f>
        <v>1</v>
      </c>
      <c r="AG131" s="17"/>
      <c r="AH131" s="17">
        <f t="shared" si="341"/>
        <v>0</v>
      </c>
      <c r="AI131" s="143">
        <f>IF(I131=0,1,AH131/I131-1)</f>
        <v>1</v>
      </c>
      <c r="AJ131" s="17"/>
      <c r="AK131" s="17">
        <f t="shared" si="342"/>
        <v>0</v>
      </c>
      <c r="AL131" s="143">
        <f>IF(K131=0,1,AK131/K131-1)</f>
        <v>1</v>
      </c>
      <c r="AM131" s="17"/>
      <c r="AN131" s="17">
        <f t="shared" si="343"/>
        <v>0</v>
      </c>
      <c r="AO131" s="143">
        <f>IF(M131=0,1,AN131/M131-1)</f>
        <v>1</v>
      </c>
      <c r="AP131" s="17"/>
      <c r="AQ131" s="17">
        <f t="shared" si="344"/>
        <v>0</v>
      </c>
      <c r="AR131" s="143">
        <f>IF(O131=0,1,AQ131/O131-1)</f>
        <v>1</v>
      </c>
      <c r="AS131" s="17"/>
      <c r="AT131" s="17">
        <f t="shared" si="345"/>
        <v>0</v>
      </c>
      <c r="AU131" s="143">
        <f>IF(Q131=0,1,AT131/Q131-1)</f>
        <v>1</v>
      </c>
      <c r="AV131" s="17"/>
      <c r="AW131" s="17">
        <f t="shared" si="346"/>
        <v>0</v>
      </c>
      <c r="AX131" s="143">
        <f>IF(S131=0,1,AW131/S131-1)</f>
        <v>1</v>
      </c>
      <c r="AY131" s="17"/>
      <c r="AZ131" s="17">
        <f t="shared" si="347"/>
        <v>0</v>
      </c>
      <c r="BA131" s="143">
        <f>IF(U131=0,1,AZ131/U131-1)</f>
        <v>1</v>
      </c>
      <c r="BB131" s="17"/>
      <c r="BC131" s="17">
        <f t="shared" si="348"/>
        <v>0</v>
      </c>
      <c r="BD131" s="143">
        <f>IF(W131=0,1,BC131/W131-1)</f>
        <v>1</v>
      </c>
      <c r="BE131" s="17"/>
      <c r="BF131" s="17">
        <f t="shared" si="349"/>
        <v>0</v>
      </c>
      <c r="BG131" s="143">
        <f>IF(Y131=0,1,BF131/Y131-1)</f>
        <v>1</v>
      </c>
      <c r="BH131" s="17"/>
      <c r="BI131" s="17"/>
      <c r="BJ131" s="17"/>
      <c r="BK131" s="143">
        <f>IF($AA$24=0,1,BJ131/$AA$24-1)</f>
        <v>1</v>
      </c>
      <c r="BL131" s="143">
        <f t="shared" si="329"/>
        <v>1</v>
      </c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</row>
    <row r="132" spans="1:206" s="66" customFormat="1">
      <c r="A132" s="89"/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91"/>
      <c r="BN132" s="91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</row>
    <row r="133" spans="1:206" s="66" customFormat="1">
      <c r="A133" s="89"/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91"/>
      <c r="BN133" s="91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</row>
    <row r="134" spans="1:206" s="66" customFormat="1">
      <c r="A134" s="89"/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91"/>
      <c r="BN134" s="91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</row>
    <row r="135" spans="1:206" s="66" customFormat="1">
      <c r="A135" s="89"/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91"/>
      <c r="BN135" s="91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</row>
    <row r="136" spans="1:206" s="66" customFormat="1">
      <c r="A136" s="89"/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91"/>
      <c r="BN136" s="91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</row>
    <row r="137" spans="1:206" s="66" customFormat="1">
      <c r="A137" s="89"/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91"/>
      <c r="BN137" s="91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</row>
    <row r="138" spans="1:206" s="66" customFormat="1">
      <c r="A138" s="89"/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91"/>
      <c r="BN138" s="91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</row>
    <row r="139" spans="1:206" s="66" customFormat="1">
      <c r="A139" s="89"/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91"/>
      <c r="BN139" s="91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</row>
    <row r="140" spans="1:206" s="66" customFormat="1">
      <c r="A140" s="89"/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91"/>
      <c r="BN140" s="91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</row>
    <row r="141" spans="1:206" s="66" customFormat="1">
      <c r="A141" s="89"/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91"/>
      <c r="BN141" s="91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</row>
    <row r="142" spans="1:206" s="66" customFormat="1">
      <c r="A142" s="89"/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91"/>
      <c r="BN142" s="91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</row>
    <row r="143" spans="1:206" s="66" customFormat="1">
      <c r="A143" s="89"/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91"/>
      <c r="BN143" s="91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</row>
    <row r="144" spans="1:206" s="66" customFormat="1">
      <c r="A144" s="89"/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91"/>
      <c r="BN144" s="91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</row>
    <row r="145" spans="1:206" s="66" customFormat="1">
      <c r="A145" s="89"/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91"/>
      <c r="BN145" s="91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</row>
    <row r="146" spans="1:206" s="66" customFormat="1">
      <c r="A146" s="89"/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91"/>
      <c r="BN146" s="91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</row>
    <row r="147" spans="1:206" s="66" customFormat="1">
      <c r="A147" s="89"/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91"/>
      <c r="BN147" s="91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</row>
    <row r="148" spans="1:206" s="66" customFormat="1">
      <c r="A148" s="89"/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91"/>
      <c r="BN148" s="91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</row>
    <row r="149" spans="1:206" s="66" customFormat="1">
      <c r="A149" s="89"/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91"/>
      <c r="BN149" s="91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</row>
    <row r="150" spans="1:206" s="66" customFormat="1">
      <c r="A150" s="89"/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91"/>
      <c r="BN150" s="91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</row>
    <row r="151" spans="1:206" s="66" customFormat="1">
      <c r="A151" s="89"/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91"/>
      <c r="BN151" s="91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</row>
    <row r="152" spans="1:206" s="66" customFormat="1">
      <c r="A152" s="89"/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91"/>
      <c r="BN152" s="91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</row>
    <row r="153" spans="1:206" s="66" customFormat="1">
      <c r="A153" s="89"/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91"/>
      <c r="BN153" s="91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</row>
    <row r="154" spans="1:206" s="66" customFormat="1">
      <c r="A154" s="89"/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91"/>
      <c r="BN154" s="91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</row>
    <row r="155" spans="1:206" s="66" customFormat="1">
      <c r="A155" s="89"/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91"/>
      <c r="BN155" s="91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</row>
    <row r="156" spans="1:206" s="66" customFormat="1">
      <c r="A156" s="89"/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91"/>
      <c r="BN156" s="91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</row>
    <row r="157" spans="1:206" s="66" customFormat="1">
      <c r="A157" s="89"/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91"/>
      <c r="BN157" s="91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</row>
    <row r="158" spans="1:206" s="66" customFormat="1">
      <c r="A158" s="89"/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91"/>
      <c r="BN158" s="91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</row>
    <row r="159" spans="1:206" s="66" customFormat="1">
      <c r="A159" s="89"/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91"/>
      <c r="BN159" s="91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</row>
    <row r="160" spans="1:206" s="66" customFormat="1">
      <c r="A160" s="89"/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91"/>
      <c r="BN160" s="91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</row>
    <row r="161" spans="1:206" s="66" customFormat="1">
      <c r="A161" s="89"/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91"/>
      <c r="BN161" s="91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</row>
    <row r="162" spans="1:206" s="66" customFormat="1">
      <c r="A162" s="89"/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91"/>
      <c r="BN162" s="91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</row>
    <row r="163" spans="1:206" s="66" customFormat="1">
      <c r="A163" s="89"/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91"/>
      <c r="BN163" s="91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</row>
    <row r="164" spans="1:206" s="66" customFormat="1">
      <c r="A164" s="89"/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91"/>
      <c r="BN164" s="91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</row>
    <row r="165" spans="1:206" s="66" customFormat="1">
      <c r="A165" s="89"/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91"/>
      <c r="BN165" s="91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</row>
    <row r="166" spans="1:206" s="66" customFormat="1">
      <c r="A166" s="89"/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91"/>
      <c r="BN166" s="91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</row>
    <row r="167" spans="1:206" s="66" customFormat="1">
      <c r="A167" s="89"/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91"/>
      <c r="BN167" s="91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</row>
    <row r="168" spans="1:206" s="66" customFormat="1">
      <c r="A168" s="89"/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91"/>
      <c r="BN168" s="91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</row>
    <row r="169" spans="1:206" s="66" customFormat="1">
      <c r="A169" s="89"/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91"/>
      <c r="BN169" s="91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</row>
    <row r="170" spans="1:206" s="66" customFormat="1">
      <c r="A170" s="89"/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91"/>
      <c r="BN170" s="91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</row>
    <row r="171" spans="1:206" s="66" customFormat="1">
      <c r="A171" s="89"/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91"/>
      <c r="BN171" s="91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</row>
    <row r="172" spans="1:206" s="66" customFormat="1">
      <c r="A172" s="89"/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91"/>
      <c r="BN172" s="91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</row>
    <row r="173" spans="1:206" s="66" customFormat="1">
      <c r="A173" s="89"/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91"/>
      <c r="BN173" s="91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</row>
    <row r="174" spans="1:206" s="66" customFormat="1">
      <c r="A174" s="89"/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91"/>
      <c r="BN174" s="91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</row>
    <row r="175" spans="1:206" s="66" customFormat="1">
      <c r="A175" s="89"/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91"/>
      <c r="BN175" s="91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</row>
    <row r="176" spans="1:206" s="34" customFormat="1">
      <c r="A176" s="45"/>
      <c r="B176" s="45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</row>
    <row r="177" spans="1:206" s="34" customFormat="1">
      <c r="A177" s="45"/>
      <c r="B177" s="45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</row>
    <row r="178" spans="1:206" s="34" customFormat="1">
      <c r="A178" s="45"/>
      <c r="B178" s="45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47"/>
      <c r="BN178" s="47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</row>
    <row r="179" spans="1:206" s="34" customFormat="1">
      <c r="A179" s="45"/>
      <c r="B179" s="45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47"/>
      <c r="BN179" s="47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</row>
    <row r="180" spans="1:206" s="34" customFormat="1">
      <c r="A180" s="45"/>
      <c r="B180" s="45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47"/>
      <c r="BN180" s="47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</row>
    <row r="181" spans="1:206" s="34" customFormat="1">
      <c r="A181" s="45"/>
      <c r="B181" s="45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47"/>
      <c r="BN181" s="47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</row>
    <row r="182" spans="1:206" s="34" customFormat="1">
      <c r="A182" s="45"/>
      <c r="B182" s="45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47"/>
      <c r="BN182" s="47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</row>
    <row r="183" spans="1:206" s="34" customFormat="1">
      <c r="A183" s="45"/>
      <c r="B183" s="45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47"/>
      <c r="BN183" s="47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</row>
    <row r="184" spans="1:206" s="34" customFormat="1">
      <c r="A184" s="45"/>
      <c r="B184" s="45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47"/>
      <c r="BN184" s="47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</row>
    <row r="185" spans="1:206" s="34" customFormat="1">
      <c r="A185" s="45"/>
      <c r="B185" s="45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47"/>
      <c r="BN185" s="47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</row>
    <row r="186" spans="1:206" s="34" customFormat="1">
      <c r="A186" s="45"/>
      <c r="B186" s="45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47"/>
      <c r="BN186" s="47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</row>
    <row r="187" spans="1:206" s="34" customFormat="1">
      <c r="A187" s="45"/>
      <c r="B187" s="45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47"/>
      <c r="BN187" s="47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</row>
    <row r="188" spans="1:206" s="34" customFormat="1">
      <c r="A188" s="45"/>
      <c r="B188" s="45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47"/>
      <c r="BN188" s="47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</row>
    <row r="189" spans="1:206" s="34" customFormat="1">
      <c r="A189" s="45"/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47"/>
      <c r="BN189" s="47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</row>
    <row r="190" spans="1:206" s="34" customFormat="1">
      <c r="A190" s="45"/>
      <c r="B190" s="45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47"/>
      <c r="BN190" s="47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</row>
    <row r="191" spans="1:206" s="34" customFormat="1">
      <c r="A191" s="45"/>
      <c r="B191" s="45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47"/>
      <c r="BN191" s="47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</row>
    <row r="192" spans="1:206" s="34" customFormat="1">
      <c r="A192" s="45"/>
      <c r="B192" s="45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47"/>
      <c r="BN192" s="47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</row>
    <row r="193" spans="1:206" s="34" customFormat="1">
      <c r="A193" s="45"/>
      <c r="B193" s="45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47"/>
      <c r="BN193" s="47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</row>
    <row r="194" spans="1:206" s="34" customFormat="1">
      <c r="A194" s="45"/>
      <c r="B194" s="45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47"/>
      <c r="BN194" s="47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</row>
    <row r="195" spans="1:206" s="34" customFormat="1">
      <c r="A195" s="45"/>
      <c r="B195" s="45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47"/>
      <c r="BN195" s="47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</row>
    <row r="196" spans="1:206" s="34" customFormat="1">
      <c r="A196" s="45"/>
      <c r="B196" s="45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47"/>
      <c r="BN196" s="47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</row>
    <row r="197" spans="1:206" s="34" customFormat="1">
      <c r="A197" s="45"/>
      <c r="B197" s="45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47"/>
      <c r="BN197" s="47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</row>
    <row r="198" spans="1:206" s="34" customFormat="1">
      <c r="A198" s="45"/>
      <c r="B198" s="45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</row>
    <row r="199" spans="1:206" s="34" customFormat="1">
      <c r="A199" s="45"/>
      <c r="B199" s="45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</row>
    <row r="200" spans="1:206" s="34" customFormat="1">
      <c r="A200" s="45"/>
      <c r="B200" s="45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</row>
    <row r="201" spans="1:206" s="34" customFormat="1">
      <c r="A201" s="45"/>
      <c r="B201" s="45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</row>
    <row r="202" spans="1:206" s="34" customFormat="1">
      <c r="A202" s="45"/>
      <c r="B202" s="45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47"/>
      <c r="BN202" s="47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</row>
    <row r="203" spans="1:206" s="34" customFormat="1">
      <c r="A203" s="45"/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47"/>
      <c r="BN203" s="47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</row>
    <row r="204" spans="1:206" s="34" customFormat="1">
      <c r="A204" s="45"/>
      <c r="B204" s="45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47"/>
      <c r="BN204" s="47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</row>
    <row r="205" spans="1:206" s="34" customFormat="1">
      <c r="A205" s="45"/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47"/>
      <c r="BN205" s="47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</row>
    <row r="206" spans="1:206" s="34" customFormat="1">
      <c r="A206" s="45"/>
      <c r="B206" s="45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47"/>
      <c r="BN206" s="47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</row>
    <row r="207" spans="1:206" s="34" customFormat="1">
      <c r="A207" s="45"/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47"/>
      <c r="BN207" s="47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</row>
    <row r="208" spans="1:206" s="34" customFormat="1">
      <c r="A208" s="45"/>
      <c r="B208" s="45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47"/>
      <c r="BN208" s="47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</row>
    <row r="209" spans="1:206" s="34" customFormat="1">
      <c r="A209" s="45"/>
      <c r="B209" s="45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47"/>
      <c r="BN209" s="47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</row>
    <row r="210" spans="1:206" s="34" customFormat="1">
      <c r="A210" s="45"/>
      <c r="B210" s="45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47"/>
      <c r="BN210" s="47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</row>
    <row r="211" spans="1:206" s="34" customFormat="1">
      <c r="A211" s="45"/>
      <c r="B211" s="45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47"/>
      <c r="BN211" s="47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</row>
    <row r="212" spans="1:206" s="34" customFormat="1">
      <c r="A212" s="45"/>
      <c r="B212" s="45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47"/>
      <c r="BN212" s="47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</row>
    <row r="213" spans="1:206" s="34" customFormat="1">
      <c r="A213" s="45"/>
      <c r="B213" s="45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47"/>
      <c r="BN213" s="47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</row>
    <row r="214" spans="1:206" s="34" customFormat="1">
      <c r="A214" s="45"/>
      <c r="B214" s="45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47"/>
      <c r="BN214" s="47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</row>
    <row r="215" spans="1:206" s="34" customFormat="1">
      <c r="A215" s="45"/>
      <c r="B215" s="45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47"/>
      <c r="BN215" s="47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</row>
    <row r="216" spans="1:206" s="34" customFormat="1">
      <c r="A216" s="45"/>
      <c r="B216" s="45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47"/>
      <c r="BN216" s="47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</row>
    <row r="217" spans="1:206" s="34" customFormat="1">
      <c r="A217" s="45"/>
      <c r="B217" s="45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47"/>
      <c r="BN217" s="47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</row>
    <row r="218" spans="1:206" s="34" customFormat="1">
      <c r="A218" s="45"/>
      <c r="B218" s="45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47"/>
      <c r="BN218" s="47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</row>
    <row r="219" spans="1:206" s="34" customFormat="1">
      <c r="A219" s="45"/>
      <c r="B219" s="45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47"/>
      <c r="BN219" s="47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</row>
    <row r="220" spans="1:206" s="34" customFormat="1">
      <c r="A220" s="45"/>
      <c r="B220" s="45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47"/>
      <c r="BN220" s="47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</row>
    <row r="221" spans="1:206" s="34" customFormat="1">
      <c r="A221" s="45"/>
      <c r="B221" s="45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47"/>
      <c r="BN221" s="47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</row>
    <row r="222" spans="1:206" s="34" customFormat="1">
      <c r="A222" s="45"/>
      <c r="B222" s="45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</row>
    <row r="223" spans="1:206" s="34" customFormat="1">
      <c r="A223" s="45"/>
      <c r="B223" s="45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</row>
    <row r="224" spans="1:206" s="34" customFormat="1">
      <c r="A224" s="45"/>
      <c r="B224" s="45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</row>
    <row r="225" spans="1:206" s="34" customFormat="1">
      <c r="A225" s="45"/>
      <c r="B225" s="45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47"/>
      <c r="BN225" s="47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</row>
    <row r="226" spans="1:206" s="34" customFormat="1">
      <c r="A226" s="45"/>
      <c r="B226" s="45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47"/>
      <c r="BN226" s="47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</row>
    <row r="227" spans="1:206" s="34" customFormat="1">
      <c r="A227" s="45"/>
      <c r="B227" s="45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47"/>
      <c r="BN227" s="47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</row>
    <row r="228" spans="1:206" s="34" customFormat="1">
      <c r="A228" s="45"/>
      <c r="B228" s="45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47"/>
      <c r="BN228" s="47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</row>
    <row r="229" spans="1:206" s="34" customFormat="1">
      <c r="A229" s="45"/>
      <c r="B229" s="45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47"/>
      <c r="BN229" s="47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</row>
    <row r="230" spans="1:206" s="34" customFormat="1">
      <c r="A230" s="45"/>
      <c r="B230" s="45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47"/>
      <c r="BN230" s="47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</row>
    <row r="231" spans="1:206" s="34" customFormat="1">
      <c r="A231" s="45"/>
      <c r="B231" s="45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47"/>
      <c r="BN231" s="47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</row>
    <row r="232" spans="1:206" s="34" customFormat="1">
      <c r="A232" s="45"/>
      <c r="B232" s="45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47"/>
      <c r="BN232" s="47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</row>
    <row r="233" spans="1:206" s="34" customFormat="1">
      <c r="A233" s="45"/>
      <c r="B233" s="45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47"/>
      <c r="BN233" s="47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</row>
    <row r="234" spans="1:206" s="34" customFormat="1">
      <c r="A234" s="45"/>
      <c r="B234" s="45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47"/>
      <c r="BN234" s="47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</row>
    <row r="235" spans="1:206" s="34" customFormat="1">
      <c r="A235" s="45"/>
      <c r="B235" s="45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47"/>
      <c r="BN235" s="47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</row>
    <row r="236" spans="1:206" s="34" customFormat="1">
      <c r="A236" s="45"/>
      <c r="B236" s="45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47"/>
      <c r="BN236" s="47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</row>
    <row r="237" spans="1:206" s="34" customFormat="1">
      <c r="A237" s="45"/>
      <c r="B237" s="45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47"/>
      <c r="BN237" s="47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</row>
    <row r="238" spans="1:206" s="34" customFormat="1">
      <c r="A238" s="45"/>
      <c r="B238" s="45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47"/>
      <c r="BN238" s="47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</row>
    <row r="239" spans="1:206" s="34" customFormat="1">
      <c r="A239" s="45"/>
      <c r="B239" s="45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47"/>
      <c r="BN239" s="47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</row>
    <row r="240" spans="1:206" s="34" customFormat="1">
      <c r="A240" s="45"/>
      <c r="B240" s="45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47"/>
      <c r="BN240" s="47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</row>
    <row r="241" spans="1:206" s="34" customFormat="1">
      <c r="A241" s="45"/>
      <c r="B241" s="45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47"/>
      <c r="BN241" s="47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</row>
    <row r="242" spans="1:206" s="34" customFormat="1">
      <c r="A242" s="45"/>
      <c r="B242" s="45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47"/>
      <c r="BN242" s="47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</row>
    <row r="243" spans="1:206" s="34" customFormat="1">
      <c r="A243" s="45"/>
      <c r="B243" s="45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47"/>
      <c r="BN243" s="47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</row>
    <row r="244" spans="1:206" s="34" customFormat="1">
      <c r="A244" s="45"/>
      <c r="B244" s="45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47"/>
      <c r="BN244" s="47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</row>
    <row r="245" spans="1:206" s="34" customFormat="1">
      <c r="A245" s="45"/>
      <c r="B245" s="45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47"/>
      <c r="BN245" s="47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</row>
    <row r="246" spans="1:206" s="34" customFormat="1">
      <c r="A246" s="45"/>
      <c r="B246" s="45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47"/>
      <c r="BN246" s="47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</row>
    <row r="247" spans="1:206" s="34" customFormat="1">
      <c r="A247" s="45"/>
      <c r="B247" s="45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47"/>
      <c r="BN247" s="47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</row>
    <row r="248" spans="1:206" s="34" customFormat="1">
      <c r="A248" s="45"/>
      <c r="B248" s="45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47"/>
      <c r="BN248" s="47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</row>
    <row r="249" spans="1:206" s="34" customFormat="1">
      <c r="A249" s="45"/>
      <c r="B249" s="45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47"/>
      <c r="BN249" s="47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</row>
    <row r="250" spans="1:206" s="34" customFormat="1">
      <c r="A250" s="45"/>
      <c r="B250" s="45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47"/>
      <c r="BN250" s="47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</row>
    <row r="251" spans="1:206" s="34" customFormat="1">
      <c r="A251" s="45"/>
      <c r="B251" s="45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47"/>
      <c r="BN251" s="47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</row>
    <row r="252" spans="1:206" s="34" customFormat="1">
      <c r="A252" s="45"/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47"/>
      <c r="BN252" s="47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</row>
    <row r="253" spans="1:206" s="34" customFormat="1">
      <c r="A253" s="45"/>
      <c r="B253" s="45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47"/>
      <c r="BN253" s="47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</row>
    <row r="254" spans="1:206" s="34" customFormat="1">
      <c r="A254" s="45"/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47"/>
      <c r="BN254" s="47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</row>
    <row r="255" spans="1:206" s="34" customFormat="1">
      <c r="A255" s="45"/>
      <c r="B255" s="45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47"/>
      <c r="BN255" s="47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</row>
    <row r="256" spans="1:206" s="34" customFormat="1">
      <c r="A256" s="45"/>
      <c r="B256" s="45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47"/>
      <c r="BN256" s="47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</row>
    <row r="257" spans="1:206" s="34" customFormat="1">
      <c r="A257" s="45"/>
      <c r="B257" s="45"/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47"/>
      <c r="BN257" s="47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</row>
    <row r="258" spans="1:206" s="34" customFormat="1">
      <c r="A258" s="45"/>
      <c r="B258" s="45"/>
      <c r="C258" s="45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47"/>
      <c r="BN258" s="47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</row>
    <row r="259" spans="1:206" s="34" customFormat="1">
      <c r="A259" s="45"/>
      <c r="B259" s="45"/>
      <c r="C259" s="45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47"/>
      <c r="BN259" s="47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</row>
    <row r="260" spans="1:206" s="34" customFormat="1">
      <c r="A260" s="45"/>
      <c r="B260" s="45"/>
      <c r="C260" s="45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47"/>
      <c r="BN260" s="47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</row>
    <row r="261" spans="1:206" s="34" customFormat="1">
      <c r="A261" s="45"/>
      <c r="B261" s="45"/>
      <c r="C261" s="45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47"/>
      <c r="BN261" s="47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</row>
    <row r="262" spans="1:206" s="34" customFormat="1">
      <c r="A262" s="45"/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47"/>
      <c r="BN262" s="47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</row>
    <row r="263" spans="1:206" s="34" customFormat="1">
      <c r="A263" s="45"/>
      <c r="B263" s="45"/>
      <c r="C263" s="45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47"/>
      <c r="BN263" s="47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</row>
    <row r="264" spans="1:206" s="34" customFormat="1">
      <c r="A264" s="45"/>
      <c r="B264" s="45"/>
      <c r="C264" s="45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47"/>
      <c r="BN264" s="47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</row>
    <row r="265" spans="1:206" s="34" customFormat="1">
      <c r="A265" s="45"/>
      <c r="B265" s="45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47"/>
      <c r="BN265" s="47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</row>
    <row r="266" spans="1:206" s="34" customFormat="1">
      <c r="A266" s="45"/>
      <c r="B266" s="45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47"/>
      <c r="BN266" s="47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</row>
    <row r="267" spans="1:206" s="34" customFormat="1">
      <c r="A267" s="45"/>
      <c r="B267" s="45"/>
      <c r="C267" s="45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47"/>
      <c r="BN267" s="47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</row>
    <row r="268" spans="1:206" s="34" customFormat="1">
      <c r="A268" s="45"/>
      <c r="B268" s="45"/>
      <c r="C268" s="45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47"/>
      <c r="BN268" s="47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</row>
    <row r="269" spans="1:206" s="34" customFormat="1">
      <c r="A269" s="45"/>
      <c r="B269" s="45"/>
      <c r="C269" s="45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47"/>
      <c r="BN269" s="47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</row>
    <row r="270" spans="1:206" s="34" customFormat="1">
      <c r="A270" s="45"/>
      <c r="B270" s="45"/>
      <c r="C270" s="45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47"/>
      <c r="BN270" s="47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</row>
    <row r="271" spans="1:206" s="34" customFormat="1">
      <c r="A271" s="45"/>
      <c r="B271" s="45"/>
      <c r="C271" s="45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47"/>
      <c r="BN271" s="47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</row>
    <row r="272" spans="1:206" s="34" customFormat="1">
      <c r="A272" s="45"/>
      <c r="B272" s="45"/>
      <c r="C272" s="45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47"/>
      <c r="BN272" s="47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</row>
    <row r="273" spans="1:206" s="34" customFormat="1">
      <c r="A273" s="45"/>
      <c r="B273" s="45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47"/>
      <c r="BN273" s="47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</row>
    <row r="274" spans="1:206" s="34" customFormat="1">
      <c r="A274" s="45"/>
      <c r="B274" s="45"/>
      <c r="C274" s="45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47"/>
      <c r="BN274" s="47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</row>
    <row r="275" spans="1:206" s="34" customFormat="1">
      <c r="A275" s="45"/>
      <c r="B275" s="45"/>
      <c r="C275" s="45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47"/>
      <c r="BN275" s="47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</row>
    <row r="276" spans="1:206" s="34" customFormat="1">
      <c r="A276" s="45"/>
      <c r="B276" s="45"/>
      <c r="C276" s="45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47"/>
      <c r="BN276" s="47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</row>
    <row r="277" spans="1:206" s="34" customFormat="1">
      <c r="A277" s="45"/>
      <c r="B277" s="45"/>
      <c r="C277" s="45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47"/>
      <c r="BN277" s="47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</row>
    <row r="278" spans="1:206" s="34" customFormat="1">
      <c r="A278" s="45"/>
      <c r="B278" s="45"/>
      <c r="C278" s="45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47"/>
      <c r="BN278" s="47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</row>
    <row r="279" spans="1:206" s="34" customFormat="1">
      <c r="A279" s="45"/>
      <c r="B279" s="45"/>
      <c r="C279" s="45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47"/>
      <c r="BN279" s="47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</row>
    <row r="280" spans="1:206" s="34" customFormat="1">
      <c r="A280" s="45"/>
      <c r="B280" s="45"/>
      <c r="C280" s="45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47"/>
      <c r="BN280" s="47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</row>
    <row r="281" spans="1:206" s="34" customFormat="1">
      <c r="A281" s="45"/>
      <c r="B281" s="45"/>
      <c r="C281" s="45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47"/>
      <c r="BN281" s="47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</row>
    <row r="282" spans="1:206" s="34" customFormat="1">
      <c r="A282" s="45"/>
      <c r="B282" s="45"/>
      <c r="C282" s="45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47"/>
      <c r="BN282" s="47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</row>
    <row r="283" spans="1:206" s="34" customFormat="1">
      <c r="A283" s="45"/>
      <c r="B283" s="45"/>
      <c r="C283" s="45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47"/>
      <c r="BN283" s="47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</row>
    <row r="284" spans="1:206" s="34" customFormat="1">
      <c r="A284" s="45"/>
      <c r="B284" s="45"/>
      <c r="C284" s="45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47"/>
      <c r="BN284" s="47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  <c r="GA284" s="35"/>
      <c r="GB284" s="35"/>
      <c r="GC284" s="35"/>
      <c r="GD284" s="35"/>
      <c r="GE284" s="35"/>
      <c r="GF284" s="35"/>
      <c r="GG284" s="35"/>
      <c r="GH284" s="35"/>
      <c r="GI284" s="35"/>
      <c r="GJ284" s="35"/>
      <c r="GK284" s="35"/>
      <c r="GL284" s="35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</row>
    <row r="285" spans="1:206" s="2" customFormat="1">
      <c r="A285" s="48"/>
      <c r="B285" s="48"/>
      <c r="C285" s="48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BM285" s="1"/>
      <c r="BN285" s="1"/>
    </row>
    <row r="286" spans="1:206" s="2" customFormat="1">
      <c r="A286" s="48"/>
      <c r="B286" s="48"/>
      <c r="C286" s="48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BM286" s="1"/>
      <c r="BN286" s="1"/>
    </row>
    <row r="287" spans="1:206" s="2" customFormat="1">
      <c r="A287" s="48"/>
      <c r="B287" s="48"/>
      <c r="C287" s="48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BM287" s="1"/>
      <c r="BN287" s="1"/>
    </row>
    <row r="288" spans="1:206" s="2" customFormat="1">
      <c r="A288" s="48"/>
      <c r="B288" s="48"/>
      <c r="C288" s="48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BM288" s="1"/>
      <c r="BN288" s="1"/>
    </row>
    <row r="289" spans="1:66" s="2" customFormat="1">
      <c r="A289" s="48"/>
      <c r="B289" s="48"/>
      <c r="C289" s="48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BM289" s="1"/>
      <c r="BN289" s="1"/>
    </row>
    <row r="290" spans="1:66" s="2" customFormat="1">
      <c r="A290" s="48"/>
      <c r="B290" s="48"/>
      <c r="C290" s="48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BM290" s="1"/>
      <c r="BN290" s="1"/>
    </row>
    <row r="291" spans="1:66" s="2" customFormat="1">
      <c r="A291" s="48"/>
      <c r="B291" s="48"/>
      <c r="C291" s="48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BM291" s="1"/>
      <c r="BN291" s="1"/>
    </row>
    <row r="292" spans="1:66" s="2" customFormat="1">
      <c r="A292" s="48"/>
      <c r="B292" s="48"/>
      <c r="C292" s="48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BM292" s="1"/>
      <c r="BN292" s="1"/>
    </row>
    <row r="293" spans="1:66" s="2" customFormat="1">
      <c r="A293" s="48"/>
      <c r="B293" s="48"/>
      <c r="C293" s="48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BM293" s="1"/>
      <c r="BN293" s="1"/>
    </row>
    <row r="294" spans="1:66" s="2" customFormat="1">
      <c r="A294" s="48"/>
      <c r="B294" s="48"/>
      <c r="C294" s="48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BM294" s="1"/>
      <c r="BN294" s="1"/>
    </row>
    <row r="295" spans="1:66" s="2" customFormat="1">
      <c r="A295" s="48"/>
      <c r="B295" s="48"/>
      <c r="C295" s="48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BM295" s="1"/>
      <c r="BN295" s="1"/>
    </row>
    <row r="296" spans="1:66" s="2" customFormat="1">
      <c r="A296" s="48"/>
      <c r="B296" s="48"/>
      <c r="C296" s="48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BM296" s="1"/>
      <c r="BN296" s="1"/>
    </row>
    <row r="297" spans="1:66" s="2" customFormat="1">
      <c r="A297" s="48"/>
      <c r="B297" s="48"/>
      <c r="C297" s="48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BM297" s="1"/>
      <c r="BN297" s="1"/>
    </row>
    <row r="298" spans="1:66" s="2" customFormat="1">
      <c r="A298" s="48"/>
      <c r="B298" s="48"/>
      <c r="C298" s="48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BM298" s="1"/>
      <c r="BN298" s="1"/>
    </row>
    <row r="299" spans="1:66" s="2" customFormat="1">
      <c r="A299" s="48"/>
      <c r="B299" s="48"/>
      <c r="C299" s="48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BM299" s="1"/>
      <c r="BN299" s="1"/>
    </row>
    <row r="300" spans="1:66" s="2" customFormat="1">
      <c r="A300" s="48"/>
      <c r="B300" s="48"/>
      <c r="C300" s="48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BM300" s="1"/>
      <c r="BN300" s="1"/>
    </row>
    <row r="301" spans="1:66" s="2" customFormat="1">
      <c r="A301" s="48"/>
      <c r="B301" s="48"/>
      <c r="C301" s="48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BM301" s="1"/>
      <c r="BN301" s="1"/>
    </row>
    <row r="302" spans="1:66" s="2" customFormat="1">
      <c r="A302" s="48"/>
      <c r="B302" s="48"/>
      <c r="C302" s="48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BM302" s="1"/>
      <c r="BN302" s="1"/>
    </row>
    <row r="303" spans="1:66" s="2" customFormat="1">
      <c r="A303" s="48"/>
      <c r="B303" s="48"/>
      <c r="C303" s="48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BM303" s="1"/>
      <c r="BN303" s="1"/>
    </row>
    <row r="304" spans="1:66" s="2" customFormat="1">
      <c r="A304" s="48"/>
      <c r="B304" s="48"/>
      <c r="C304" s="48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BM304" s="1"/>
      <c r="BN304" s="1"/>
    </row>
    <row r="305" spans="1:66" s="2" customFormat="1">
      <c r="A305" s="48"/>
      <c r="B305" s="48"/>
      <c r="C305" s="48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BM305" s="1"/>
      <c r="BN305" s="1"/>
    </row>
    <row r="306" spans="1:66" s="2" customFormat="1">
      <c r="A306" s="48"/>
      <c r="B306" s="48"/>
      <c r="C306" s="48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BM306" s="1"/>
      <c r="BN306" s="1"/>
    </row>
    <row r="307" spans="1:66" s="2" customFormat="1">
      <c r="A307" s="48"/>
      <c r="B307" s="48"/>
      <c r="C307" s="48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BM307" s="1"/>
      <c r="BN307" s="1"/>
    </row>
    <row r="308" spans="1:66" s="2" customFormat="1">
      <c r="A308" s="48"/>
      <c r="B308" s="48"/>
      <c r="C308" s="48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BM308" s="1"/>
      <c r="BN308" s="1"/>
    </row>
    <row r="309" spans="1:66" s="2" customFormat="1">
      <c r="A309" s="48"/>
      <c r="B309" s="48"/>
      <c r="C309" s="48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BM309" s="1"/>
      <c r="BN309" s="1"/>
    </row>
    <row r="310" spans="1:66" s="2" customFormat="1">
      <c r="A310" s="48"/>
      <c r="B310" s="48"/>
      <c r="C310" s="48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BM310" s="1"/>
      <c r="BN310" s="1"/>
    </row>
    <row r="311" spans="1:66" s="2" customFormat="1">
      <c r="A311" s="48"/>
      <c r="B311" s="48"/>
      <c r="C311" s="48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BM311" s="1"/>
      <c r="BN311" s="1"/>
    </row>
    <row r="312" spans="1:66" s="2" customFormat="1">
      <c r="A312" s="48"/>
      <c r="B312" s="48"/>
      <c r="C312" s="48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BM312" s="1"/>
      <c r="BN312" s="1"/>
    </row>
    <row r="313" spans="1:66" s="2" customFormat="1">
      <c r="A313" s="48"/>
      <c r="B313" s="48"/>
      <c r="C313" s="48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BM313" s="1"/>
      <c r="BN313" s="1"/>
    </row>
    <row r="314" spans="1:66" s="2" customFormat="1">
      <c r="A314" s="48"/>
      <c r="B314" s="48"/>
      <c r="C314" s="48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BM314" s="1"/>
      <c r="BN314" s="1"/>
    </row>
    <row r="315" spans="1:66" s="2" customFormat="1">
      <c r="A315" s="48"/>
      <c r="B315" s="48"/>
      <c r="C315" s="48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BM315" s="1"/>
      <c r="BN315" s="1"/>
    </row>
    <row r="316" spans="1:66" s="2" customFormat="1">
      <c r="A316" s="48"/>
      <c r="B316" s="48"/>
      <c r="C316" s="48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BM316" s="1"/>
      <c r="BN316" s="1"/>
    </row>
    <row r="317" spans="1:66" s="2" customFormat="1">
      <c r="A317" s="48"/>
      <c r="B317" s="48"/>
      <c r="C317" s="48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BM317" s="1"/>
      <c r="BN317" s="1"/>
    </row>
    <row r="318" spans="1:66" s="2" customFormat="1">
      <c r="A318" s="48"/>
      <c r="B318" s="48"/>
      <c r="C318" s="48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BM318" s="1"/>
      <c r="BN318" s="1"/>
    </row>
    <row r="319" spans="1:66" s="2" customFormat="1">
      <c r="A319" s="48"/>
      <c r="B319" s="48"/>
      <c r="C319" s="48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BM319" s="1"/>
      <c r="BN319" s="1"/>
    </row>
    <row r="320" spans="1:66" s="2" customFormat="1">
      <c r="A320" s="48"/>
      <c r="B320" s="48"/>
      <c r="C320" s="48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BM320" s="1"/>
      <c r="BN320" s="1"/>
    </row>
    <row r="321" spans="1:66" s="2" customFormat="1">
      <c r="A321" s="48"/>
      <c r="B321" s="48"/>
      <c r="C321" s="48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BM321" s="1"/>
      <c r="BN321" s="1"/>
    </row>
    <row r="322" spans="1:66" s="2" customFormat="1">
      <c r="A322" s="48"/>
      <c r="B322" s="48"/>
      <c r="C322" s="48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BM322" s="1"/>
      <c r="BN322" s="1"/>
    </row>
    <row r="323" spans="1:66" s="2" customFormat="1">
      <c r="A323" s="48"/>
      <c r="B323" s="48"/>
      <c r="C323" s="48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BM323" s="1"/>
      <c r="BN323" s="1"/>
    </row>
    <row r="324" spans="1:66" s="2" customFormat="1">
      <c r="A324" s="48"/>
      <c r="B324" s="48"/>
      <c r="C324" s="48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BM324" s="1"/>
      <c r="BN324" s="1"/>
    </row>
    <row r="325" spans="1:66" s="2" customFormat="1">
      <c r="A325" s="48"/>
      <c r="B325" s="48"/>
      <c r="C325" s="48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BM325" s="1"/>
      <c r="BN325" s="1"/>
    </row>
  </sheetData>
  <sheetProtection password="CF36" sheet="1" objects="1" scenarios="1" formatColumns="0" formatRows="0"/>
  <mergeCells count="127">
    <mergeCell ref="A15:B15"/>
    <mergeCell ref="A16:B16"/>
    <mergeCell ref="A17:B17"/>
    <mergeCell ref="A18:B18"/>
    <mergeCell ref="A19:B19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  <mergeCell ref="A1:O1"/>
    <mergeCell ref="BJ6:BJ7"/>
    <mergeCell ref="BK6:BK7"/>
    <mergeCell ref="BL6:BL7"/>
    <mergeCell ref="C2:BL2"/>
    <mergeCell ref="C3:BL3"/>
    <mergeCell ref="AB6:AB7"/>
    <mergeCell ref="AC6:BI6"/>
    <mergeCell ref="A14:B14"/>
    <mergeCell ref="A9:B9"/>
    <mergeCell ref="A10:B10"/>
    <mergeCell ref="A11:B11"/>
    <mergeCell ref="A13:B13"/>
    <mergeCell ref="A5:B8"/>
    <mergeCell ref="D5:Z5"/>
    <mergeCell ref="AA5:BL5"/>
    <mergeCell ref="C6:C7"/>
    <mergeCell ref="D6:D7"/>
    <mergeCell ref="E6:Z6"/>
    <mergeCell ref="AA6:AA7"/>
    <mergeCell ref="A38:B38"/>
    <mergeCell ref="A39:B39"/>
    <mergeCell ref="A40:B40"/>
    <mergeCell ref="A30:B30"/>
    <mergeCell ref="A31:B31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8:B108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9:B109"/>
    <mergeCell ref="A110:B110"/>
    <mergeCell ref="A111:B111"/>
    <mergeCell ref="A114:B114"/>
    <mergeCell ref="A131:B131"/>
    <mergeCell ref="A125:B125"/>
    <mergeCell ref="A126:B126"/>
    <mergeCell ref="A127:B127"/>
    <mergeCell ref="A128:B128"/>
    <mergeCell ref="A129:B129"/>
    <mergeCell ref="A130:B130"/>
    <mergeCell ref="A118:B118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9:B119"/>
  </mergeCells>
  <printOptions horizontalCentered="1"/>
  <pageMargins left="0.15748031496062992" right="0.15748031496062992" top="0.27559055118110237" bottom="0.15748031496062992" header="0.15748031496062992" footer="0.15748031496062992"/>
  <pageSetup paperSize="8" scale="65" fitToWidth="3" fitToHeight="5" orientation="landscape" r:id="rId1"/>
  <headerFooter alignWithMargins="0"/>
  <rowBreaks count="1" manualBreakCount="1">
    <brk id="7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22"/>
  <sheetViews>
    <sheetView zoomScale="70" zoomScaleNormal="70" zoomScaleSheetLayoutView="75" workbookViewId="0">
      <pane xSplit="2" ySplit="8" topLeftCell="BD113" activePane="bottomRight" state="frozen"/>
      <selection activeCell="BJ118" sqref="BJ118"/>
      <selection pane="topRight" activeCell="BJ118" sqref="BJ118"/>
      <selection pane="bottomLeft" activeCell="BJ118" sqref="BJ118"/>
      <selection pane="bottomRight" activeCell="BJ118" sqref="BJ118"/>
    </sheetView>
  </sheetViews>
  <sheetFormatPr defaultColWidth="9.33203125" defaultRowHeight="15"/>
  <cols>
    <col min="1" max="1" width="60.6640625" style="50" customWidth="1"/>
    <col min="2" max="2" width="5.5" style="50" customWidth="1"/>
    <col min="3" max="3" width="16.6640625" style="50" customWidth="1"/>
    <col min="4" max="26" width="16.6640625" style="51" customWidth="1"/>
    <col min="27" max="64" width="16.6640625" style="3" customWidth="1"/>
    <col min="65" max="66" width="12.33203125" style="1" customWidth="1"/>
    <col min="67" max="87" width="12.33203125" style="2" customWidth="1"/>
    <col min="88" max="206" width="9.33203125" style="2"/>
    <col min="207" max="16384" width="9.33203125" style="3"/>
  </cols>
  <sheetData>
    <row r="1" spans="1:206" ht="42" customHeight="1">
      <c r="A1" s="334" t="s">
        <v>158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206" ht="21.75" customHeight="1">
      <c r="A2" s="3"/>
      <c r="C2" s="340" t="s">
        <v>157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</row>
    <row r="3" spans="1:206" ht="15.75" customHeight="1">
      <c r="C3" s="340" t="s">
        <v>1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</row>
    <row r="4" spans="1:206" ht="15" customHeigh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L4" s="7" t="s">
        <v>2</v>
      </c>
    </row>
    <row r="5" spans="1:206" ht="15.75" customHeight="1">
      <c r="A5" s="323" t="s">
        <v>3</v>
      </c>
      <c r="B5" s="324"/>
      <c r="C5" s="100" t="s">
        <v>4</v>
      </c>
      <c r="D5" s="331" t="s">
        <v>5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 t="s">
        <v>6</v>
      </c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9"/>
    </row>
    <row r="6" spans="1:206" s="120" customFormat="1" ht="16.5" customHeight="1">
      <c r="A6" s="325"/>
      <c r="B6" s="326"/>
      <c r="C6" s="332" t="s">
        <v>149</v>
      </c>
      <c r="D6" s="333" t="s">
        <v>149</v>
      </c>
      <c r="E6" s="332" t="s">
        <v>8</v>
      </c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 t="s">
        <v>150</v>
      </c>
      <c r="AB6" s="321" t="s">
        <v>96</v>
      </c>
      <c r="AC6" s="322" t="s">
        <v>10</v>
      </c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35" t="s">
        <v>125</v>
      </c>
      <c r="BK6" s="339" t="s">
        <v>126</v>
      </c>
      <c r="BL6" s="339" t="s">
        <v>96</v>
      </c>
      <c r="BM6" s="163"/>
      <c r="BN6" s="118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</row>
    <row r="7" spans="1:206" s="120" customFormat="1" ht="36.75" customHeight="1">
      <c r="A7" s="325"/>
      <c r="B7" s="326"/>
      <c r="C7" s="332"/>
      <c r="D7" s="333"/>
      <c r="E7" s="102" t="s">
        <v>11</v>
      </c>
      <c r="F7" s="102" t="s">
        <v>12</v>
      </c>
      <c r="G7" s="126" t="s">
        <v>70</v>
      </c>
      <c r="H7" s="102" t="s">
        <v>13</v>
      </c>
      <c r="I7" s="126" t="s">
        <v>14</v>
      </c>
      <c r="J7" s="102" t="s">
        <v>15</v>
      </c>
      <c r="K7" s="126" t="s">
        <v>81</v>
      </c>
      <c r="L7" s="102" t="s">
        <v>16</v>
      </c>
      <c r="M7" s="126" t="s">
        <v>82</v>
      </c>
      <c r="N7" s="102" t="s">
        <v>17</v>
      </c>
      <c r="O7" s="126" t="s">
        <v>83</v>
      </c>
      <c r="P7" s="102" t="s">
        <v>18</v>
      </c>
      <c r="Q7" s="126" t="s">
        <v>84</v>
      </c>
      <c r="R7" s="102" t="s">
        <v>19</v>
      </c>
      <c r="S7" s="126" t="s">
        <v>85</v>
      </c>
      <c r="T7" s="102" t="s">
        <v>20</v>
      </c>
      <c r="U7" s="126" t="s">
        <v>86</v>
      </c>
      <c r="V7" s="102" t="s">
        <v>21</v>
      </c>
      <c r="W7" s="126" t="s">
        <v>87</v>
      </c>
      <c r="X7" s="102" t="s">
        <v>22</v>
      </c>
      <c r="Y7" s="126" t="s">
        <v>88</v>
      </c>
      <c r="Z7" s="102" t="s">
        <v>23</v>
      </c>
      <c r="AA7" s="332"/>
      <c r="AB7" s="321"/>
      <c r="AC7" s="102" t="s">
        <v>11</v>
      </c>
      <c r="AD7" s="102" t="s">
        <v>12</v>
      </c>
      <c r="AE7" s="126" t="s">
        <v>70</v>
      </c>
      <c r="AF7" s="127" t="s">
        <v>96</v>
      </c>
      <c r="AG7" s="102" t="s">
        <v>13</v>
      </c>
      <c r="AH7" s="126" t="s">
        <v>14</v>
      </c>
      <c r="AI7" s="127" t="s">
        <v>96</v>
      </c>
      <c r="AJ7" s="102" t="s">
        <v>15</v>
      </c>
      <c r="AK7" s="126" t="s">
        <v>81</v>
      </c>
      <c r="AL7" s="127" t="s">
        <v>96</v>
      </c>
      <c r="AM7" s="102" t="s">
        <v>141</v>
      </c>
      <c r="AN7" s="126" t="s">
        <v>82</v>
      </c>
      <c r="AO7" s="127" t="s">
        <v>96</v>
      </c>
      <c r="AP7" s="102" t="s">
        <v>17</v>
      </c>
      <c r="AQ7" s="126" t="s">
        <v>83</v>
      </c>
      <c r="AR7" s="127" t="s">
        <v>96</v>
      </c>
      <c r="AS7" s="102" t="s">
        <v>18</v>
      </c>
      <c r="AT7" s="126" t="s">
        <v>84</v>
      </c>
      <c r="AU7" s="127" t="s">
        <v>96</v>
      </c>
      <c r="AV7" s="102" t="s">
        <v>19</v>
      </c>
      <c r="AW7" s="126" t="s">
        <v>85</v>
      </c>
      <c r="AX7" s="127" t="s">
        <v>96</v>
      </c>
      <c r="AY7" s="102" t="s">
        <v>20</v>
      </c>
      <c r="AZ7" s="126" t="s">
        <v>86</v>
      </c>
      <c r="BA7" s="127" t="s">
        <v>96</v>
      </c>
      <c r="BB7" s="102" t="s">
        <v>21</v>
      </c>
      <c r="BC7" s="126" t="s">
        <v>87</v>
      </c>
      <c r="BD7" s="127" t="s">
        <v>96</v>
      </c>
      <c r="BE7" s="102" t="s">
        <v>22</v>
      </c>
      <c r="BF7" s="126" t="s">
        <v>88</v>
      </c>
      <c r="BG7" s="127" t="s">
        <v>96</v>
      </c>
      <c r="BH7" s="102" t="s">
        <v>23</v>
      </c>
      <c r="BI7" s="112" t="str">
        <f>'бюджет округа (района)'!BI7:BI7</f>
        <v>Ожидаемая оценка на __________</v>
      </c>
      <c r="BJ7" s="337"/>
      <c r="BK7" s="339"/>
      <c r="BL7" s="339"/>
      <c r="BM7" s="164"/>
      <c r="BN7" s="118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</row>
    <row r="8" spans="1:206" s="12" customFormat="1" ht="52.5" hidden="1" customHeight="1">
      <c r="A8" s="327"/>
      <c r="B8" s="328"/>
      <c r="C8" s="95" t="s">
        <v>26</v>
      </c>
      <c r="D8" s="128" t="s">
        <v>26</v>
      </c>
      <c r="E8" s="95" t="str">
        <f t="shared" ref="E8:Z8" si="0">D8</f>
        <v>консолиди-                       рованный бюджет района</v>
      </c>
      <c r="F8" s="95" t="str">
        <f t="shared" si="0"/>
        <v>консолиди-                       рованный бюджет района</v>
      </c>
      <c r="G8" s="128" t="str">
        <f t="shared" si="0"/>
        <v>консолиди-                       рованный бюджет района</v>
      </c>
      <c r="H8" s="95" t="str">
        <f t="shared" si="0"/>
        <v>консолиди-                       рованный бюджет района</v>
      </c>
      <c r="I8" s="128" t="str">
        <f t="shared" si="0"/>
        <v>консолиди-                       рованный бюджет района</v>
      </c>
      <c r="J8" s="95" t="str">
        <f t="shared" si="0"/>
        <v>консолиди-                       рованный бюджет района</v>
      </c>
      <c r="K8" s="128" t="str">
        <f t="shared" si="0"/>
        <v>консолиди-                       рованный бюджет района</v>
      </c>
      <c r="L8" s="95" t="str">
        <f t="shared" si="0"/>
        <v>консолиди-                       рованный бюджет района</v>
      </c>
      <c r="M8" s="128" t="str">
        <f t="shared" si="0"/>
        <v>консолиди-                       рованный бюджет района</v>
      </c>
      <c r="N8" s="95" t="str">
        <f t="shared" si="0"/>
        <v>консолиди-                       рованный бюджет района</v>
      </c>
      <c r="O8" s="128" t="str">
        <f t="shared" si="0"/>
        <v>консолиди-                       рованный бюджет района</v>
      </c>
      <c r="P8" s="95" t="str">
        <f t="shared" si="0"/>
        <v>консолиди-                       рованный бюджет района</v>
      </c>
      <c r="Q8" s="128" t="str">
        <f t="shared" si="0"/>
        <v>консолиди-                       рованный бюджет района</v>
      </c>
      <c r="R8" s="95" t="str">
        <f t="shared" si="0"/>
        <v>консолиди-                       рованный бюджет района</v>
      </c>
      <c r="S8" s="128" t="str">
        <f t="shared" si="0"/>
        <v>консолиди-                       рованный бюджет района</v>
      </c>
      <c r="T8" s="95" t="str">
        <f t="shared" si="0"/>
        <v>консолиди-                       рованный бюджет района</v>
      </c>
      <c r="U8" s="128" t="str">
        <f t="shared" si="0"/>
        <v>консолиди-                       рованный бюджет района</v>
      </c>
      <c r="V8" s="95" t="str">
        <f t="shared" si="0"/>
        <v>консолиди-                       рованный бюджет района</v>
      </c>
      <c r="W8" s="128" t="str">
        <f t="shared" si="0"/>
        <v>консолиди-                       рованный бюджет района</v>
      </c>
      <c r="X8" s="95" t="str">
        <f t="shared" si="0"/>
        <v>консолиди-                       рованный бюджет района</v>
      </c>
      <c r="Y8" s="128" t="str">
        <f t="shared" si="0"/>
        <v>консолиди-                       рованный бюджет района</v>
      </c>
      <c r="Z8" s="95" t="str">
        <f t="shared" si="0"/>
        <v>консолиди-                       рованный бюджет района</v>
      </c>
      <c r="AA8" s="95" t="str">
        <f>D8</f>
        <v>консолиди-                       рованный бюджет района</v>
      </c>
      <c r="AB8" s="128" t="str">
        <f>AA8</f>
        <v>консолиди-                       рованный бюджет района</v>
      </c>
      <c r="AC8" s="95" t="s">
        <v>27</v>
      </c>
      <c r="AD8" s="95" t="s">
        <v>27</v>
      </c>
      <c r="AE8" s="128" t="str">
        <f>AD8</f>
        <v>консолидированный бюджет района</v>
      </c>
      <c r="AF8" s="128" t="str">
        <f>AE8</f>
        <v>консолидированный бюджет района</v>
      </c>
      <c r="AG8" s="95" t="s">
        <v>27</v>
      </c>
      <c r="AH8" s="128" t="str">
        <f>AG8</f>
        <v>консолидированный бюджет района</v>
      </c>
      <c r="AI8" s="128" t="str">
        <f>AH8</f>
        <v>консолидированный бюджет района</v>
      </c>
      <c r="AJ8" s="95" t="str">
        <f>AH8</f>
        <v>консолидированный бюджет района</v>
      </c>
      <c r="AK8" s="128" t="str">
        <f>AJ8</f>
        <v>консолидированный бюджет района</v>
      </c>
      <c r="AL8" s="128" t="str">
        <f>AK8</f>
        <v>консолидированный бюджет района</v>
      </c>
      <c r="AM8" s="95" t="str">
        <f>AK8</f>
        <v>консолидированный бюджет района</v>
      </c>
      <c r="AN8" s="128" t="str">
        <f>AM8</f>
        <v>консолидированный бюджет района</v>
      </c>
      <c r="AO8" s="128" t="str">
        <f>AN8</f>
        <v>консолидированный бюджет района</v>
      </c>
      <c r="AP8" s="95" t="str">
        <f>AN8</f>
        <v>консолидированный бюджет района</v>
      </c>
      <c r="AQ8" s="128" t="str">
        <f>AP8</f>
        <v>консолидированный бюджет района</v>
      </c>
      <c r="AR8" s="128" t="str">
        <f>AQ8</f>
        <v>консолидированный бюджет района</v>
      </c>
      <c r="AS8" s="95" t="str">
        <f>AQ8</f>
        <v>консолидированный бюджет района</v>
      </c>
      <c r="AT8" s="128" t="str">
        <f>AS8</f>
        <v>консолидированный бюджет района</v>
      </c>
      <c r="AU8" s="128" t="str">
        <f>AT8</f>
        <v>консолидированный бюджет района</v>
      </c>
      <c r="AV8" s="95" t="str">
        <f>AT8</f>
        <v>консолидированный бюджет района</v>
      </c>
      <c r="AW8" s="128" t="str">
        <f>AV8</f>
        <v>консолидированный бюджет района</v>
      </c>
      <c r="AX8" s="128" t="str">
        <f>AW8</f>
        <v>консолидированный бюджет района</v>
      </c>
      <c r="AY8" s="95" t="str">
        <f>AW8</f>
        <v>консолидированный бюджет района</v>
      </c>
      <c r="AZ8" s="128" t="str">
        <f>AY8</f>
        <v>консолидированный бюджет района</v>
      </c>
      <c r="BA8" s="128" t="str">
        <f>AZ8</f>
        <v>консолидированный бюджет района</v>
      </c>
      <c r="BB8" s="95" t="str">
        <f>AZ8</f>
        <v>консолидированный бюджет района</v>
      </c>
      <c r="BC8" s="128" t="str">
        <f>BB8</f>
        <v>консолидированный бюджет района</v>
      </c>
      <c r="BD8" s="128" t="str">
        <f>BC8</f>
        <v>консолидированный бюджет района</v>
      </c>
      <c r="BE8" s="95" t="str">
        <f>BC8</f>
        <v>консолидированный бюджет района</v>
      </c>
      <c r="BF8" s="128" t="str">
        <f>BE8</f>
        <v>консолидированный бюджет района</v>
      </c>
      <c r="BG8" s="128" t="str">
        <f>BF8</f>
        <v>консолидированный бюджет района</v>
      </c>
      <c r="BH8" s="95" t="str">
        <f>BF8</f>
        <v>консолидированный бюджет района</v>
      </c>
      <c r="BI8" s="95" t="s">
        <v>27</v>
      </c>
      <c r="BJ8" s="95" t="s">
        <v>27</v>
      </c>
      <c r="BK8" s="128" t="s">
        <v>28</v>
      </c>
      <c r="BL8" s="128" t="s">
        <v>28</v>
      </c>
      <c r="BM8" s="14"/>
      <c r="BN8" s="1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</row>
    <row r="9" spans="1:206" s="18" customFormat="1" ht="23.25" customHeight="1">
      <c r="A9" s="422" t="s">
        <v>29</v>
      </c>
      <c r="B9" s="422"/>
      <c r="C9" s="130">
        <f>C10+C27</f>
        <v>0</v>
      </c>
      <c r="D9" s="130">
        <f t="shared" ref="D9:Z9" si="1">D10+D27</f>
        <v>0</v>
      </c>
      <c r="E9" s="130">
        <f t="shared" si="1"/>
        <v>0</v>
      </c>
      <c r="F9" s="130">
        <f t="shared" si="1"/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 t="shared" si="1"/>
        <v>0</v>
      </c>
      <c r="L9" s="130">
        <f t="shared" si="1"/>
        <v>0</v>
      </c>
      <c r="M9" s="130">
        <f t="shared" si="1"/>
        <v>0</v>
      </c>
      <c r="N9" s="130">
        <f t="shared" si="1"/>
        <v>0</v>
      </c>
      <c r="O9" s="130">
        <f t="shared" si="1"/>
        <v>0</v>
      </c>
      <c r="P9" s="130">
        <f t="shared" si="1"/>
        <v>0</v>
      </c>
      <c r="Q9" s="130">
        <f t="shared" si="1"/>
        <v>0</v>
      </c>
      <c r="R9" s="130">
        <f t="shared" si="1"/>
        <v>0</v>
      </c>
      <c r="S9" s="130">
        <f t="shared" si="1"/>
        <v>0</v>
      </c>
      <c r="T9" s="130">
        <f t="shared" si="1"/>
        <v>0</v>
      </c>
      <c r="U9" s="130">
        <f t="shared" si="1"/>
        <v>0</v>
      </c>
      <c r="V9" s="130">
        <f t="shared" si="1"/>
        <v>0</v>
      </c>
      <c r="W9" s="130">
        <f t="shared" si="1"/>
        <v>0</v>
      </c>
      <c r="X9" s="130">
        <f t="shared" si="1"/>
        <v>0</v>
      </c>
      <c r="Y9" s="130">
        <f t="shared" si="1"/>
        <v>0</v>
      </c>
      <c r="Z9" s="130">
        <f t="shared" si="1"/>
        <v>0</v>
      </c>
      <c r="AA9" s="130">
        <f>AA10+AA27</f>
        <v>0</v>
      </c>
      <c r="AB9" s="131">
        <f t="shared" ref="AB9:AB40" si="2">IF(D9=0,1,AA9/D9-1)</f>
        <v>1</v>
      </c>
      <c r="AC9" s="130">
        <f t="shared" ref="AC9:AE9" si="3">AC10+AC27</f>
        <v>0</v>
      </c>
      <c r="AD9" s="130">
        <f t="shared" si="3"/>
        <v>0</v>
      </c>
      <c r="AE9" s="130">
        <f t="shared" si="3"/>
        <v>0</v>
      </c>
      <c r="AF9" s="131">
        <f t="shared" ref="AF9:AF40" si="4">IF(G9=0,1,AE9/G9-1)</f>
        <v>1</v>
      </c>
      <c r="AG9" s="130">
        <f t="shared" ref="AG9:BF9" si="5">AG10+AG27</f>
        <v>0</v>
      </c>
      <c r="AH9" s="130">
        <f t="shared" si="5"/>
        <v>0</v>
      </c>
      <c r="AI9" s="131">
        <f t="shared" ref="AI9:AI40" si="6">IF(I9=0,1,AH9/I9-1)</f>
        <v>1</v>
      </c>
      <c r="AJ9" s="130">
        <f t="shared" ref="AJ9" si="7">AJ10+AJ27</f>
        <v>0</v>
      </c>
      <c r="AK9" s="130">
        <f t="shared" si="5"/>
        <v>0</v>
      </c>
      <c r="AL9" s="131">
        <f t="shared" ref="AL9:AL40" si="8">IF(K9=0,1,AK9/K9-1)</f>
        <v>1</v>
      </c>
      <c r="AM9" s="130">
        <f t="shared" ref="AM9" si="9">AM10+AM27</f>
        <v>0</v>
      </c>
      <c r="AN9" s="130">
        <f t="shared" si="5"/>
        <v>0</v>
      </c>
      <c r="AO9" s="131">
        <f t="shared" ref="AO9:AO40" si="10">IF(M9=0,1,AN9/M9-1)</f>
        <v>1</v>
      </c>
      <c r="AP9" s="130">
        <f t="shared" ref="AP9" si="11">AP10+AP27</f>
        <v>0</v>
      </c>
      <c r="AQ9" s="130">
        <f t="shared" si="5"/>
        <v>0</v>
      </c>
      <c r="AR9" s="131">
        <f t="shared" ref="AR9:AR40" si="12">IF(O9=0,1,AQ9/O9-1)</f>
        <v>1</v>
      </c>
      <c r="AS9" s="130">
        <f t="shared" ref="AS9" si="13">AS10+AS27</f>
        <v>0</v>
      </c>
      <c r="AT9" s="130">
        <f t="shared" si="5"/>
        <v>0</v>
      </c>
      <c r="AU9" s="131">
        <f t="shared" ref="AU9:AU40" si="14">IF(Q9=0,1,AT9/Q9-1)</f>
        <v>1</v>
      </c>
      <c r="AV9" s="130">
        <f t="shared" ref="AV9" si="15">AV10+AV27</f>
        <v>0</v>
      </c>
      <c r="AW9" s="130">
        <f t="shared" si="5"/>
        <v>0</v>
      </c>
      <c r="AX9" s="131">
        <f t="shared" ref="AX9:AX40" si="16">IF(S9=0,1,AW9/S9-1)</f>
        <v>1</v>
      </c>
      <c r="AY9" s="130">
        <f t="shared" ref="AY9" si="17">AY10+AY27</f>
        <v>0</v>
      </c>
      <c r="AZ9" s="130">
        <f t="shared" si="5"/>
        <v>0</v>
      </c>
      <c r="BA9" s="131">
        <f t="shared" ref="BA9:BA40" si="18">IF(U9=0,1,AZ9/U9-1)</f>
        <v>1</v>
      </c>
      <c r="BB9" s="130">
        <f t="shared" ref="BB9" si="19">BB10+BB27</f>
        <v>0</v>
      </c>
      <c r="BC9" s="130">
        <f t="shared" si="5"/>
        <v>0</v>
      </c>
      <c r="BD9" s="131">
        <f t="shared" ref="BD9:BD40" si="20">IF(W9=0,1,BC9/W9-1)</f>
        <v>1</v>
      </c>
      <c r="BE9" s="130">
        <f t="shared" ref="BE9" si="21">BE10+BE27</f>
        <v>0</v>
      </c>
      <c r="BF9" s="130">
        <f t="shared" si="5"/>
        <v>0</v>
      </c>
      <c r="BG9" s="131">
        <f t="shared" ref="BG9:BG40" si="22">IF(Y9=0,1,BF9/Y9-1)</f>
        <v>1</v>
      </c>
      <c r="BH9" s="130">
        <f t="shared" ref="BH9" si="23">BH10+BH27</f>
        <v>0</v>
      </c>
      <c r="BI9" s="130">
        <f>BI10+BI27</f>
        <v>0</v>
      </c>
      <c r="BJ9" s="130">
        <f>BJ10+BJ27</f>
        <v>0</v>
      </c>
      <c r="BK9" s="131">
        <f>IF($AA$9=0,1,BJ9/$AA$9-1)</f>
        <v>1</v>
      </c>
      <c r="BL9" s="131">
        <f t="shared" ref="BL9:BL63" si="24">IF($D9=0,1,BJ9/$D9-1)</f>
        <v>1</v>
      </c>
      <c r="BM9" s="165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</row>
    <row r="10" spans="1:206" s="59" customFormat="1" ht="18" customHeight="1">
      <c r="A10" s="437" t="s">
        <v>30</v>
      </c>
      <c r="B10" s="437"/>
      <c r="C10" s="132">
        <f t="shared" ref="C10" si="25">C11+C13+C14+C15+C16+C17+C18+C19+C20+C21+C22+C23+C25+C26+C24</f>
        <v>0</v>
      </c>
      <c r="D10" s="132">
        <f t="shared" ref="D10" si="26">D11+D13+D14+D15+D16+D17+D18+D19+D20+D21+D22+D23+D25+D26+D24</f>
        <v>0</v>
      </c>
      <c r="E10" s="132">
        <f t="shared" ref="E10:F10" si="27">E11+E13+E14+E15+E16+E17+E18+E19+E20+E21+E22+E23+E25+E26+E24</f>
        <v>0</v>
      </c>
      <c r="F10" s="132">
        <f t="shared" si="27"/>
        <v>0</v>
      </c>
      <c r="G10" s="132">
        <f t="shared" ref="G10" si="28">G11+G13+G14+G15+G16+G17+G18+G19+G20+G21+G22+G23+G25+G26+G24</f>
        <v>0</v>
      </c>
      <c r="H10" s="132">
        <f t="shared" ref="H10" si="29">H11+H13+H14+H15+H16+H17+H18+H19+H20+H21+H22+H23+H25+H26+H24</f>
        <v>0</v>
      </c>
      <c r="I10" s="132">
        <f t="shared" ref="I10" si="30">I11+I13+I14+I15+I16+I17+I18+I19+I20+I21+I22+I23+I25+I26+I24</f>
        <v>0</v>
      </c>
      <c r="J10" s="132">
        <f t="shared" ref="J10" si="31">J11+J13+J14+J15+J16+J17+J18+J19+J20+J21+J22+J23+J25+J26+J24</f>
        <v>0</v>
      </c>
      <c r="K10" s="132">
        <f t="shared" ref="K10" si="32">K11+K13+K14+K15+K16+K17+K18+K19+K20+K21+K22+K23+K25+K26+K24</f>
        <v>0</v>
      </c>
      <c r="L10" s="132">
        <f t="shared" ref="L10" si="33">L11+L13+L14+L15+L16+L17+L18+L19+L20+L21+L22+L23+L25+L26+L24</f>
        <v>0</v>
      </c>
      <c r="M10" s="132">
        <f t="shared" ref="M10" si="34">M11+M13+M14+M15+M16+M17+M18+M19+M20+M21+M22+M23+M25+M26+M24</f>
        <v>0</v>
      </c>
      <c r="N10" s="132">
        <f t="shared" ref="N10" si="35">N11+N13+N14+N15+N16+N17+N18+N19+N20+N21+N22+N23+N25+N26+N24</f>
        <v>0</v>
      </c>
      <c r="O10" s="132">
        <f t="shared" ref="O10" si="36">O11+O13+O14+O15+O16+O17+O18+O19+O20+O21+O22+O23+O25+O26+O24</f>
        <v>0</v>
      </c>
      <c r="P10" s="132">
        <f t="shared" ref="P10" si="37">P11+P13+P14+P15+P16+P17+P18+P19+P20+P21+P22+P23+P25+P26+P24</f>
        <v>0</v>
      </c>
      <c r="Q10" s="132">
        <f t="shared" ref="Q10" si="38">Q11+Q13+Q14+Q15+Q16+Q17+Q18+Q19+Q20+Q21+Q22+Q23+Q25+Q26+Q24</f>
        <v>0</v>
      </c>
      <c r="R10" s="132">
        <f t="shared" ref="R10" si="39">R11+R13+R14+R15+R16+R17+R18+R19+R20+R21+R22+R23+R25+R26+R24</f>
        <v>0</v>
      </c>
      <c r="S10" s="132">
        <f t="shared" ref="S10" si="40">S11+S13+S14+S15+S16+S17+S18+S19+S20+S21+S22+S23+S25+S26+S24</f>
        <v>0</v>
      </c>
      <c r="T10" s="132">
        <f t="shared" ref="T10" si="41">T11+T13+T14+T15+T16+T17+T18+T19+T20+T21+T22+T23+T25+T26+T24</f>
        <v>0</v>
      </c>
      <c r="U10" s="132">
        <f t="shared" ref="U10" si="42">U11+U13+U14+U15+U16+U17+U18+U19+U20+U21+U22+U23+U25+U26+U24</f>
        <v>0</v>
      </c>
      <c r="V10" s="132">
        <f t="shared" ref="V10" si="43">V11+V13+V14+V15+V16+V17+V18+V19+V20+V21+V22+V23+V25+V26+V24</f>
        <v>0</v>
      </c>
      <c r="W10" s="132">
        <f t="shared" ref="W10" si="44">W11+W13+W14+W15+W16+W17+W18+W19+W20+W21+W22+W23+W25+W26+W24</f>
        <v>0</v>
      </c>
      <c r="X10" s="132">
        <f t="shared" ref="X10" si="45">X11+X13+X14+X15+X16+X17+X18+X19+X20+X21+X22+X23+X25+X26+X24</f>
        <v>0</v>
      </c>
      <c r="Y10" s="132">
        <f t="shared" ref="Y10" si="46">Y11+Y13+Y14+Y15+Y16+Y17+Y18+Y19+Y20+Y21+Y22+Y23+Y25+Y26+Y24</f>
        <v>0</v>
      </c>
      <c r="Z10" s="132">
        <f t="shared" ref="Z10" si="47">Z11+Z13+Z14+Z15+Z16+Z17+Z18+Z19+Z20+Z21+Z22+Z23+Z25+Z26+Z24</f>
        <v>0</v>
      </c>
      <c r="AA10" s="132">
        <f t="shared" ref="AA10" si="48">AA11+AA13+AA14+AA15+AA16+AA17+AA18+AA19+AA20+AA21+AA22+AA23+AA25+AA26+AA24</f>
        <v>0</v>
      </c>
      <c r="AB10" s="133">
        <f t="shared" si="2"/>
        <v>1</v>
      </c>
      <c r="AC10" s="132">
        <f t="shared" ref="AC10" si="49">AC11+AC13+AC14+AC15+AC16+AC17+AC18+AC19+AC20+AC21+AC22+AC23+AC25+AC26+AC24</f>
        <v>0</v>
      </c>
      <c r="AD10" s="132">
        <f t="shared" ref="AD10" si="50">AD11+AD13+AD14+AD15+AD16+AD17+AD18+AD19+AD20+AD21+AD22+AD23+AD25+AD26+AD24</f>
        <v>0</v>
      </c>
      <c r="AE10" s="132">
        <f t="shared" ref="AE10:BI10" si="51">AE11+AE13+AE14+AE15+AE16+AE17+AE18+AE19+AE20+AE21+AE22+AE23+AE25+AE26+AE24</f>
        <v>0</v>
      </c>
      <c r="AF10" s="133">
        <f t="shared" si="4"/>
        <v>1</v>
      </c>
      <c r="AG10" s="132">
        <f t="shared" ref="AG10" si="52">AG11+AG13+AG14+AG15+AG16+AG17+AG18+AG19+AG20+AG21+AG22+AG23+AG25+AG26+AG24</f>
        <v>0</v>
      </c>
      <c r="AH10" s="132">
        <f t="shared" si="51"/>
        <v>0</v>
      </c>
      <c r="AI10" s="133">
        <f t="shared" si="6"/>
        <v>1</v>
      </c>
      <c r="AJ10" s="132">
        <f t="shared" ref="AJ10" si="53">AJ11+AJ13+AJ14+AJ15+AJ16+AJ17+AJ18+AJ19+AJ20+AJ21+AJ22+AJ23+AJ25+AJ26+AJ24</f>
        <v>0</v>
      </c>
      <c r="AK10" s="132">
        <f t="shared" si="51"/>
        <v>0</v>
      </c>
      <c r="AL10" s="133">
        <f t="shared" si="8"/>
        <v>1</v>
      </c>
      <c r="AM10" s="132">
        <f t="shared" ref="AM10" si="54">AM11+AM13+AM14+AM15+AM16+AM17+AM18+AM19+AM20+AM21+AM22+AM23+AM25+AM26+AM24</f>
        <v>0</v>
      </c>
      <c r="AN10" s="132">
        <f t="shared" si="51"/>
        <v>0</v>
      </c>
      <c r="AO10" s="133">
        <f t="shared" si="10"/>
        <v>1</v>
      </c>
      <c r="AP10" s="132">
        <f t="shared" ref="AP10" si="55">AP11+AP13+AP14+AP15+AP16+AP17+AP18+AP19+AP20+AP21+AP22+AP23+AP25+AP26+AP24</f>
        <v>0</v>
      </c>
      <c r="AQ10" s="132">
        <f t="shared" si="51"/>
        <v>0</v>
      </c>
      <c r="AR10" s="133">
        <f t="shared" si="12"/>
        <v>1</v>
      </c>
      <c r="AS10" s="132">
        <f t="shared" ref="AS10" si="56">AS11+AS13+AS14+AS15+AS16+AS17+AS18+AS19+AS20+AS21+AS22+AS23+AS25+AS26+AS24</f>
        <v>0</v>
      </c>
      <c r="AT10" s="132">
        <f t="shared" si="51"/>
        <v>0</v>
      </c>
      <c r="AU10" s="133">
        <f t="shared" si="14"/>
        <v>1</v>
      </c>
      <c r="AV10" s="132">
        <f t="shared" ref="AV10" si="57">AV11+AV13+AV14+AV15+AV16+AV17+AV18+AV19+AV20+AV21+AV22+AV23+AV25+AV26+AV24</f>
        <v>0</v>
      </c>
      <c r="AW10" s="132">
        <f t="shared" si="51"/>
        <v>0</v>
      </c>
      <c r="AX10" s="133">
        <f t="shared" si="16"/>
        <v>1</v>
      </c>
      <c r="AY10" s="132">
        <f t="shared" ref="AY10" si="58">AY11+AY13+AY14+AY15+AY16+AY17+AY18+AY19+AY20+AY21+AY22+AY23+AY25+AY26+AY24</f>
        <v>0</v>
      </c>
      <c r="AZ10" s="132">
        <f t="shared" si="51"/>
        <v>0</v>
      </c>
      <c r="BA10" s="133">
        <f t="shared" si="18"/>
        <v>1</v>
      </c>
      <c r="BB10" s="132">
        <f t="shared" ref="BB10" si="59">BB11+BB13+BB14+BB15+BB16+BB17+BB18+BB19+BB20+BB21+BB22+BB23+BB25+BB26+BB24</f>
        <v>0</v>
      </c>
      <c r="BC10" s="132">
        <f t="shared" si="51"/>
        <v>0</v>
      </c>
      <c r="BD10" s="133">
        <f t="shared" si="20"/>
        <v>1</v>
      </c>
      <c r="BE10" s="132">
        <f t="shared" ref="BE10" si="60">BE11+BE13+BE14+BE15+BE16+BE17+BE18+BE19+BE20+BE21+BE22+BE23+BE25+BE26+BE24</f>
        <v>0</v>
      </c>
      <c r="BF10" s="132">
        <f t="shared" si="51"/>
        <v>0</v>
      </c>
      <c r="BG10" s="133">
        <f t="shared" si="22"/>
        <v>1</v>
      </c>
      <c r="BH10" s="132">
        <f t="shared" ref="BH10" si="61">BH11+BH13+BH14+BH15+BH16+BH17+BH18+BH19+BH20+BH21+BH22+BH23+BH25+BH26+BH24</f>
        <v>0</v>
      </c>
      <c r="BI10" s="132">
        <f t="shared" si="51"/>
        <v>0</v>
      </c>
      <c r="BJ10" s="132">
        <f t="shared" ref="BJ10" si="62">BJ11+BJ13+BJ14+BJ15+BJ16+BJ17+BJ18+BJ19+BJ20+BJ21+BJ22+BJ23+BJ25+BJ26+BJ24</f>
        <v>0</v>
      </c>
      <c r="BK10" s="133">
        <f>IF($AA$10=0,1,BJ10/$AA$10-1)</f>
        <v>1</v>
      </c>
      <c r="BL10" s="133">
        <f t="shared" si="24"/>
        <v>1</v>
      </c>
      <c r="BM10" s="166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</row>
    <row r="11" spans="1:206" s="62" customFormat="1" ht="18" customHeight="1">
      <c r="A11" s="436" t="s">
        <v>31</v>
      </c>
      <c r="B11" s="436"/>
      <c r="C11" s="26"/>
      <c r="D11" s="134">
        <f t="shared" ref="D11:D26" si="63">E11+F11+H11+J11+L11+N11+P11+R11+T11+V11+X11+Z11</f>
        <v>0</v>
      </c>
      <c r="E11" s="26"/>
      <c r="F11" s="26"/>
      <c r="G11" s="134">
        <f t="shared" ref="G11:G26" si="64">E11+F11</f>
        <v>0</v>
      </c>
      <c r="H11" s="26"/>
      <c r="I11" s="134">
        <f t="shared" ref="I11:I26" si="65">G11+H11</f>
        <v>0</v>
      </c>
      <c r="J11" s="26"/>
      <c r="K11" s="134">
        <f t="shared" ref="K11:K26" si="66">I11+J11</f>
        <v>0</v>
      </c>
      <c r="L11" s="26"/>
      <c r="M11" s="134">
        <f t="shared" ref="M11:M26" si="67">K11+L11</f>
        <v>0</v>
      </c>
      <c r="N11" s="26"/>
      <c r="O11" s="134">
        <f t="shared" ref="O11:O26" si="68">M11+N11</f>
        <v>0</v>
      </c>
      <c r="P11" s="26"/>
      <c r="Q11" s="134">
        <f t="shared" ref="Q11:Q26" si="69">O11+P11</f>
        <v>0</v>
      </c>
      <c r="R11" s="26"/>
      <c r="S11" s="134">
        <f t="shared" ref="S11:S26" si="70">Q11+R11</f>
        <v>0</v>
      </c>
      <c r="T11" s="26"/>
      <c r="U11" s="134">
        <f t="shared" ref="U11:U26" si="71">S11+T11</f>
        <v>0</v>
      </c>
      <c r="V11" s="26"/>
      <c r="W11" s="134">
        <f t="shared" ref="W11:W26" si="72">U11+V11</f>
        <v>0</v>
      </c>
      <c r="X11" s="26"/>
      <c r="Y11" s="134">
        <f t="shared" ref="Y11:Y26" si="73">W11+X11</f>
        <v>0</v>
      </c>
      <c r="Z11" s="26"/>
      <c r="AA11" s="26"/>
      <c r="AB11" s="135">
        <f t="shared" si="2"/>
        <v>1</v>
      </c>
      <c r="AC11" s="26"/>
      <c r="AD11" s="26"/>
      <c r="AE11" s="134">
        <f t="shared" ref="AE11:AE26" si="74">AC11+AD11</f>
        <v>0</v>
      </c>
      <c r="AF11" s="135">
        <f t="shared" si="4"/>
        <v>1</v>
      </c>
      <c r="AG11" s="26"/>
      <c r="AH11" s="134">
        <f t="shared" ref="AH11:AH26" si="75">AE11+AG11</f>
        <v>0</v>
      </c>
      <c r="AI11" s="135">
        <f t="shared" si="6"/>
        <v>1</v>
      </c>
      <c r="AJ11" s="26"/>
      <c r="AK11" s="134">
        <f t="shared" ref="AK11:AK26" si="76">AH11+AJ11</f>
        <v>0</v>
      </c>
      <c r="AL11" s="135">
        <f t="shared" si="8"/>
        <v>1</v>
      </c>
      <c r="AM11" s="26"/>
      <c r="AN11" s="134">
        <f t="shared" ref="AN11:AN26" si="77">AK11+AM11</f>
        <v>0</v>
      </c>
      <c r="AO11" s="135">
        <f t="shared" si="10"/>
        <v>1</v>
      </c>
      <c r="AP11" s="26"/>
      <c r="AQ11" s="134">
        <f t="shared" ref="AQ11:AQ26" si="78">AN11+AP11</f>
        <v>0</v>
      </c>
      <c r="AR11" s="135">
        <f t="shared" si="12"/>
        <v>1</v>
      </c>
      <c r="AS11" s="26"/>
      <c r="AT11" s="134">
        <f t="shared" ref="AT11:AT26" si="79">AQ11+AS11</f>
        <v>0</v>
      </c>
      <c r="AU11" s="135">
        <f t="shared" si="14"/>
        <v>1</v>
      </c>
      <c r="AV11" s="26"/>
      <c r="AW11" s="134">
        <f t="shared" ref="AW11:AW26" si="80">AT11+AV11</f>
        <v>0</v>
      </c>
      <c r="AX11" s="135">
        <f t="shared" si="16"/>
        <v>1</v>
      </c>
      <c r="AY11" s="26"/>
      <c r="AZ11" s="134">
        <f t="shared" ref="AZ11:AZ26" si="81">AW11+AY11</f>
        <v>0</v>
      </c>
      <c r="BA11" s="135">
        <f t="shared" si="18"/>
        <v>1</v>
      </c>
      <c r="BB11" s="26"/>
      <c r="BC11" s="134">
        <f t="shared" ref="BC11:BC26" si="82">AZ11+BB11</f>
        <v>0</v>
      </c>
      <c r="BD11" s="135">
        <f t="shared" si="20"/>
        <v>1</v>
      </c>
      <c r="BE11" s="26"/>
      <c r="BF11" s="134">
        <f t="shared" ref="BF11:BF26" si="83">BC11+BE11</f>
        <v>0</v>
      </c>
      <c r="BG11" s="135">
        <f t="shared" si="22"/>
        <v>1</v>
      </c>
      <c r="BH11" s="134"/>
      <c r="BI11" s="26"/>
      <c r="BJ11" s="134"/>
      <c r="BK11" s="135">
        <f>IF($AA$11=0,1,BJ11/$AA$11-1)</f>
        <v>1</v>
      </c>
      <c r="BL11" s="135">
        <f t="shared" si="24"/>
        <v>1</v>
      </c>
      <c r="BM11" s="167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</row>
    <row r="12" spans="1:206" s="62" customFormat="1" ht="18" hidden="1" customHeight="1">
      <c r="A12" s="186" t="s">
        <v>130</v>
      </c>
      <c r="B12" s="187" t="s">
        <v>128</v>
      </c>
      <c r="C12" s="26"/>
      <c r="D12" s="134">
        <f t="shared" si="63"/>
        <v>0</v>
      </c>
      <c r="E12" s="26"/>
      <c r="F12" s="26"/>
      <c r="G12" s="134">
        <f t="shared" si="64"/>
        <v>0</v>
      </c>
      <c r="H12" s="26"/>
      <c r="I12" s="134">
        <f t="shared" si="65"/>
        <v>0</v>
      </c>
      <c r="J12" s="26"/>
      <c r="K12" s="134">
        <f t="shared" si="66"/>
        <v>0</v>
      </c>
      <c r="L12" s="26"/>
      <c r="M12" s="134">
        <f t="shared" si="67"/>
        <v>0</v>
      </c>
      <c r="N12" s="26"/>
      <c r="O12" s="134">
        <f t="shared" si="68"/>
        <v>0</v>
      </c>
      <c r="P12" s="26"/>
      <c r="Q12" s="134">
        <f t="shared" si="69"/>
        <v>0</v>
      </c>
      <c r="R12" s="26"/>
      <c r="S12" s="134">
        <f t="shared" si="70"/>
        <v>0</v>
      </c>
      <c r="T12" s="26"/>
      <c r="U12" s="134">
        <f t="shared" si="71"/>
        <v>0</v>
      </c>
      <c r="V12" s="26"/>
      <c r="W12" s="134">
        <f t="shared" si="72"/>
        <v>0</v>
      </c>
      <c r="X12" s="26"/>
      <c r="Y12" s="134">
        <f t="shared" si="73"/>
        <v>0</v>
      </c>
      <c r="Z12" s="26"/>
      <c r="AA12" s="26">
        <f>AA11*$B$12/(43+$B$12)</f>
        <v>0</v>
      </c>
      <c r="AB12" s="135">
        <f t="shared" si="2"/>
        <v>1</v>
      </c>
      <c r="AC12" s="26">
        <f>AC11*$B$12/(43+$B$12)</f>
        <v>0</v>
      </c>
      <c r="AD12" s="26">
        <f>AD11*$B$12/(43+$B$12)</f>
        <v>0</v>
      </c>
      <c r="AE12" s="134">
        <f t="shared" si="74"/>
        <v>0</v>
      </c>
      <c r="AF12" s="135">
        <f t="shared" si="4"/>
        <v>1</v>
      </c>
      <c r="AG12" s="26">
        <f>AG11*$B$12/(43+$B$12)</f>
        <v>0</v>
      </c>
      <c r="AH12" s="134">
        <f t="shared" si="75"/>
        <v>0</v>
      </c>
      <c r="AI12" s="135">
        <f t="shared" si="6"/>
        <v>1</v>
      </c>
      <c r="AJ12" s="26">
        <f>AJ11*$B$12/(43+$B$12)</f>
        <v>0</v>
      </c>
      <c r="AK12" s="134">
        <f t="shared" si="76"/>
        <v>0</v>
      </c>
      <c r="AL12" s="135">
        <f t="shared" si="8"/>
        <v>1</v>
      </c>
      <c r="AM12" s="26">
        <f>AM11*$B$12/(43+$B$12)</f>
        <v>0</v>
      </c>
      <c r="AN12" s="134">
        <f t="shared" si="77"/>
        <v>0</v>
      </c>
      <c r="AO12" s="135">
        <f t="shared" si="10"/>
        <v>1</v>
      </c>
      <c r="AP12" s="26">
        <f>AP11*$B$12/(43+$B$12)</f>
        <v>0</v>
      </c>
      <c r="AQ12" s="134">
        <f t="shared" si="78"/>
        <v>0</v>
      </c>
      <c r="AR12" s="135">
        <f t="shared" si="12"/>
        <v>1</v>
      </c>
      <c r="AS12" s="26">
        <f>AS11*$B$12/(43+$B$12)</f>
        <v>0</v>
      </c>
      <c r="AT12" s="134">
        <f t="shared" si="79"/>
        <v>0</v>
      </c>
      <c r="AU12" s="135">
        <f t="shared" si="14"/>
        <v>1</v>
      </c>
      <c r="AV12" s="26">
        <f>AV11*$B$12/(43+$B$12)</f>
        <v>0</v>
      </c>
      <c r="AW12" s="134">
        <f t="shared" si="80"/>
        <v>0</v>
      </c>
      <c r="AX12" s="135">
        <f t="shared" si="16"/>
        <v>1</v>
      </c>
      <c r="AY12" s="26">
        <f>AY11*$B$12/(43+$B$12)</f>
        <v>0</v>
      </c>
      <c r="AZ12" s="134">
        <f t="shared" si="81"/>
        <v>0</v>
      </c>
      <c r="BA12" s="135">
        <f t="shared" si="18"/>
        <v>1</v>
      </c>
      <c r="BB12" s="26">
        <f>BB11*$B$12/(43+$B$12)</f>
        <v>0</v>
      </c>
      <c r="BC12" s="134">
        <f t="shared" si="82"/>
        <v>0</v>
      </c>
      <c r="BD12" s="135">
        <f t="shared" si="20"/>
        <v>1</v>
      </c>
      <c r="BE12" s="26">
        <f>BE11*$B$12/(43+$B$12)</f>
        <v>0</v>
      </c>
      <c r="BF12" s="134">
        <f t="shared" si="83"/>
        <v>0</v>
      </c>
      <c r="BG12" s="135">
        <f t="shared" si="22"/>
        <v>1</v>
      </c>
      <c r="BH12" s="134">
        <f>BH11*$B$12/(43+$B$12)</f>
        <v>0</v>
      </c>
      <c r="BI12" s="134">
        <f>BI11*$B$12/(43+$B$12)</f>
        <v>0</v>
      </c>
      <c r="BJ12" s="134">
        <f>BJ11*$B$12/(43+$B$12)</f>
        <v>0</v>
      </c>
      <c r="BK12" s="135">
        <f>IF($AA$12=0,1,BJ12/$AA$12-1)</f>
        <v>1</v>
      </c>
      <c r="BL12" s="135">
        <f t="shared" si="24"/>
        <v>1</v>
      </c>
      <c r="BM12" s="167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</row>
    <row r="13" spans="1:206" s="62" customFormat="1" ht="18" customHeight="1">
      <c r="A13" s="436" t="s">
        <v>32</v>
      </c>
      <c r="B13" s="436"/>
      <c r="C13" s="26"/>
      <c r="D13" s="134">
        <f t="shared" si="63"/>
        <v>0</v>
      </c>
      <c r="E13" s="26"/>
      <c r="F13" s="26"/>
      <c r="G13" s="134">
        <f t="shared" si="64"/>
        <v>0</v>
      </c>
      <c r="H13" s="26"/>
      <c r="I13" s="134">
        <f t="shared" si="65"/>
        <v>0</v>
      </c>
      <c r="J13" s="26"/>
      <c r="K13" s="134">
        <f t="shared" si="66"/>
        <v>0</v>
      </c>
      <c r="L13" s="26"/>
      <c r="M13" s="134">
        <f t="shared" si="67"/>
        <v>0</v>
      </c>
      <c r="N13" s="26"/>
      <c r="O13" s="134">
        <f t="shared" si="68"/>
        <v>0</v>
      </c>
      <c r="P13" s="26"/>
      <c r="Q13" s="134">
        <f t="shared" si="69"/>
        <v>0</v>
      </c>
      <c r="R13" s="26"/>
      <c r="S13" s="134">
        <f t="shared" si="70"/>
        <v>0</v>
      </c>
      <c r="T13" s="26"/>
      <c r="U13" s="134">
        <f t="shared" si="71"/>
        <v>0</v>
      </c>
      <c r="V13" s="26"/>
      <c r="W13" s="134">
        <f t="shared" si="72"/>
        <v>0</v>
      </c>
      <c r="X13" s="26"/>
      <c r="Y13" s="134">
        <f t="shared" si="73"/>
        <v>0</v>
      </c>
      <c r="Z13" s="26"/>
      <c r="AA13" s="26"/>
      <c r="AB13" s="135">
        <f t="shared" si="2"/>
        <v>1</v>
      </c>
      <c r="AC13" s="26"/>
      <c r="AD13" s="26"/>
      <c r="AE13" s="134">
        <f t="shared" si="74"/>
        <v>0</v>
      </c>
      <c r="AF13" s="135">
        <f t="shared" si="4"/>
        <v>1</v>
      </c>
      <c r="AG13" s="26"/>
      <c r="AH13" s="134">
        <f t="shared" si="75"/>
        <v>0</v>
      </c>
      <c r="AI13" s="135">
        <f t="shared" si="6"/>
        <v>1</v>
      </c>
      <c r="AJ13" s="26"/>
      <c r="AK13" s="134">
        <f t="shared" si="76"/>
        <v>0</v>
      </c>
      <c r="AL13" s="135">
        <f t="shared" si="8"/>
        <v>1</v>
      </c>
      <c r="AM13" s="26"/>
      <c r="AN13" s="134">
        <f t="shared" si="77"/>
        <v>0</v>
      </c>
      <c r="AO13" s="135">
        <f t="shared" si="10"/>
        <v>1</v>
      </c>
      <c r="AP13" s="26"/>
      <c r="AQ13" s="134">
        <f t="shared" si="78"/>
        <v>0</v>
      </c>
      <c r="AR13" s="135">
        <f t="shared" si="12"/>
        <v>1</v>
      </c>
      <c r="AS13" s="26"/>
      <c r="AT13" s="134">
        <f t="shared" si="79"/>
        <v>0</v>
      </c>
      <c r="AU13" s="135">
        <f t="shared" si="14"/>
        <v>1</v>
      </c>
      <c r="AV13" s="26"/>
      <c r="AW13" s="134">
        <f t="shared" si="80"/>
        <v>0</v>
      </c>
      <c r="AX13" s="135">
        <f t="shared" si="16"/>
        <v>1</v>
      </c>
      <c r="AY13" s="26"/>
      <c r="AZ13" s="134">
        <f t="shared" si="81"/>
        <v>0</v>
      </c>
      <c r="BA13" s="135">
        <f t="shared" si="18"/>
        <v>1</v>
      </c>
      <c r="BB13" s="26"/>
      <c r="BC13" s="134">
        <f t="shared" si="82"/>
        <v>0</v>
      </c>
      <c r="BD13" s="135">
        <f t="shared" si="20"/>
        <v>1</v>
      </c>
      <c r="BE13" s="26"/>
      <c r="BF13" s="134">
        <f t="shared" si="83"/>
        <v>0</v>
      </c>
      <c r="BG13" s="135">
        <f t="shared" si="22"/>
        <v>1</v>
      </c>
      <c r="BH13" s="134"/>
      <c r="BI13" s="26"/>
      <c r="BJ13" s="26"/>
      <c r="BK13" s="135">
        <f>IF($AA$13=0,1,BJ13/$AA$13-1)</f>
        <v>1</v>
      </c>
      <c r="BL13" s="135">
        <f t="shared" si="24"/>
        <v>1</v>
      </c>
      <c r="BM13" s="167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</row>
    <row r="14" spans="1:206" s="62" customFormat="1" ht="18" customHeight="1">
      <c r="A14" s="436" t="s">
        <v>80</v>
      </c>
      <c r="B14" s="436"/>
      <c r="C14" s="26"/>
      <c r="D14" s="134">
        <f t="shared" si="63"/>
        <v>0</v>
      </c>
      <c r="E14" s="26"/>
      <c r="F14" s="26"/>
      <c r="G14" s="134">
        <f t="shared" si="64"/>
        <v>0</v>
      </c>
      <c r="H14" s="26"/>
      <c r="I14" s="134">
        <f t="shared" si="65"/>
        <v>0</v>
      </c>
      <c r="J14" s="26"/>
      <c r="K14" s="134">
        <f t="shared" si="66"/>
        <v>0</v>
      </c>
      <c r="L14" s="26"/>
      <c r="M14" s="134">
        <f t="shared" si="67"/>
        <v>0</v>
      </c>
      <c r="N14" s="26"/>
      <c r="O14" s="134">
        <f t="shared" si="68"/>
        <v>0</v>
      </c>
      <c r="P14" s="26"/>
      <c r="Q14" s="134">
        <f t="shared" si="69"/>
        <v>0</v>
      </c>
      <c r="R14" s="26"/>
      <c r="S14" s="134">
        <f t="shared" si="70"/>
        <v>0</v>
      </c>
      <c r="T14" s="26"/>
      <c r="U14" s="134">
        <f t="shared" si="71"/>
        <v>0</v>
      </c>
      <c r="V14" s="26"/>
      <c r="W14" s="134">
        <f t="shared" si="72"/>
        <v>0</v>
      </c>
      <c r="X14" s="26"/>
      <c r="Y14" s="134">
        <f t="shared" si="73"/>
        <v>0</v>
      </c>
      <c r="Z14" s="26"/>
      <c r="AA14" s="26"/>
      <c r="AB14" s="135">
        <f t="shared" si="2"/>
        <v>1</v>
      </c>
      <c r="AC14" s="26"/>
      <c r="AD14" s="26"/>
      <c r="AE14" s="134">
        <f t="shared" si="74"/>
        <v>0</v>
      </c>
      <c r="AF14" s="135">
        <f t="shared" si="4"/>
        <v>1</v>
      </c>
      <c r="AG14" s="26"/>
      <c r="AH14" s="134">
        <f t="shared" si="75"/>
        <v>0</v>
      </c>
      <c r="AI14" s="135">
        <f t="shared" si="6"/>
        <v>1</v>
      </c>
      <c r="AJ14" s="26"/>
      <c r="AK14" s="134">
        <f t="shared" si="76"/>
        <v>0</v>
      </c>
      <c r="AL14" s="135">
        <f t="shared" si="8"/>
        <v>1</v>
      </c>
      <c r="AM14" s="26"/>
      <c r="AN14" s="134">
        <f t="shared" si="77"/>
        <v>0</v>
      </c>
      <c r="AO14" s="135">
        <f t="shared" si="10"/>
        <v>1</v>
      </c>
      <c r="AP14" s="26"/>
      <c r="AQ14" s="134">
        <f t="shared" si="78"/>
        <v>0</v>
      </c>
      <c r="AR14" s="135">
        <f t="shared" si="12"/>
        <v>1</v>
      </c>
      <c r="AS14" s="26"/>
      <c r="AT14" s="134">
        <f t="shared" si="79"/>
        <v>0</v>
      </c>
      <c r="AU14" s="135">
        <f t="shared" si="14"/>
        <v>1</v>
      </c>
      <c r="AV14" s="26"/>
      <c r="AW14" s="134">
        <f t="shared" si="80"/>
        <v>0</v>
      </c>
      <c r="AX14" s="135">
        <f t="shared" si="16"/>
        <v>1</v>
      </c>
      <c r="AY14" s="26"/>
      <c r="AZ14" s="134">
        <f t="shared" si="81"/>
        <v>0</v>
      </c>
      <c r="BA14" s="135">
        <f t="shared" si="18"/>
        <v>1</v>
      </c>
      <c r="BB14" s="26"/>
      <c r="BC14" s="134">
        <f t="shared" si="82"/>
        <v>0</v>
      </c>
      <c r="BD14" s="135">
        <f t="shared" si="20"/>
        <v>1</v>
      </c>
      <c r="BE14" s="26"/>
      <c r="BF14" s="134">
        <f t="shared" si="83"/>
        <v>0</v>
      </c>
      <c r="BG14" s="135">
        <f t="shared" si="22"/>
        <v>1</v>
      </c>
      <c r="BH14" s="134"/>
      <c r="BI14" s="26"/>
      <c r="BJ14" s="26"/>
      <c r="BK14" s="135">
        <f>IF($AA$14=0,1,BJ14/$AA$14-1)</f>
        <v>1</v>
      </c>
      <c r="BL14" s="135">
        <f t="shared" si="24"/>
        <v>1</v>
      </c>
      <c r="BM14" s="167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</row>
    <row r="15" spans="1:206" s="62" customFormat="1" ht="18" customHeight="1">
      <c r="A15" s="436" t="s">
        <v>33</v>
      </c>
      <c r="B15" s="436"/>
      <c r="C15" s="26"/>
      <c r="D15" s="134">
        <f t="shared" si="63"/>
        <v>0</v>
      </c>
      <c r="E15" s="26"/>
      <c r="F15" s="26"/>
      <c r="G15" s="134">
        <f t="shared" si="64"/>
        <v>0</v>
      </c>
      <c r="H15" s="26"/>
      <c r="I15" s="134">
        <f t="shared" si="65"/>
        <v>0</v>
      </c>
      <c r="J15" s="26"/>
      <c r="K15" s="134">
        <f t="shared" si="66"/>
        <v>0</v>
      </c>
      <c r="L15" s="26"/>
      <c r="M15" s="134">
        <f t="shared" si="67"/>
        <v>0</v>
      </c>
      <c r="N15" s="26"/>
      <c r="O15" s="134">
        <f t="shared" si="68"/>
        <v>0</v>
      </c>
      <c r="P15" s="26"/>
      <c r="Q15" s="134">
        <f t="shared" si="69"/>
        <v>0</v>
      </c>
      <c r="R15" s="26"/>
      <c r="S15" s="134">
        <f t="shared" si="70"/>
        <v>0</v>
      </c>
      <c r="T15" s="26"/>
      <c r="U15" s="134">
        <f t="shared" si="71"/>
        <v>0</v>
      </c>
      <c r="V15" s="26"/>
      <c r="W15" s="134">
        <f t="shared" si="72"/>
        <v>0</v>
      </c>
      <c r="X15" s="26"/>
      <c r="Y15" s="134">
        <f t="shared" si="73"/>
        <v>0</v>
      </c>
      <c r="Z15" s="26"/>
      <c r="AA15" s="26"/>
      <c r="AB15" s="135">
        <f t="shared" si="2"/>
        <v>1</v>
      </c>
      <c r="AC15" s="26"/>
      <c r="AD15" s="26"/>
      <c r="AE15" s="134">
        <f t="shared" si="74"/>
        <v>0</v>
      </c>
      <c r="AF15" s="135">
        <f t="shared" si="4"/>
        <v>1</v>
      </c>
      <c r="AG15" s="26"/>
      <c r="AH15" s="134">
        <f t="shared" si="75"/>
        <v>0</v>
      </c>
      <c r="AI15" s="135">
        <f t="shared" si="6"/>
        <v>1</v>
      </c>
      <c r="AJ15" s="26"/>
      <c r="AK15" s="134">
        <f t="shared" si="76"/>
        <v>0</v>
      </c>
      <c r="AL15" s="135">
        <f t="shared" si="8"/>
        <v>1</v>
      </c>
      <c r="AM15" s="26"/>
      <c r="AN15" s="134">
        <f t="shared" si="77"/>
        <v>0</v>
      </c>
      <c r="AO15" s="135">
        <f t="shared" si="10"/>
        <v>1</v>
      </c>
      <c r="AP15" s="26"/>
      <c r="AQ15" s="134">
        <f t="shared" si="78"/>
        <v>0</v>
      </c>
      <c r="AR15" s="135">
        <f t="shared" si="12"/>
        <v>1</v>
      </c>
      <c r="AS15" s="26"/>
      <c r="AT15" s="134">
        <f t="shared" si="79"/>
        <v>0</v>
      </c>
      <c r="AU15" s="135">
        <f t="shared" si="14"/>
        <v>1</v>
      </c>
      <c r="AV15" s="26"/>
      <c r="AW15" s="134">
        <f t="shared" si="80"/>
        <v>0</v>
      </c>
      <c r="AX15" s="135">
        <f t="shared" si="16"/>
        <v>1</v>
      </c>
      <c r="AY15" s="26"/>
      <c r="AZ15" s="134">
        <f t="shared" si="81"/>
        <v>0</v>
      </c>
      <c r="BA15" s="135">
        <f t="shared" si="18"/>
        <v>1</v>
      </c>
      <c r="BB15" s="26"/>
      <c r="BC15" s="134">
        <f t="shared" si="82"/>
        <v>0</v>
      </c>
      <c r="BD15" s="135">
        <f t="shared" si="20"/>
        <v>1</v>
      </c>
      <c r="BE15" s="26"/>
      <c r="BF15" s="134">
        <f t="shared" si="83"/>
        <v>0</v>
      </c>
      <c r="BG15" s="135">
        <f t="shared" si="22"/>
        <v>1</v>
      </c>
      <c r="BH15" s="134"/>
      <c r="BI15" s="26"/>
      <c r="BJ15" s="26"/>
      <c r="BK15" s="135">
        <f>IF($AA$15=0,1,BJ15/$AA$15-1)</f>
        <v>1</v>
      </c>
      <c r="BL15" s="135">
        <f t="shared" si="24"/>
        <v>1</v>
      </c>
      <c r="BM15" s="167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</row>
    <row r="16" spans="1:206" s="62" customFormat="1" ht="18" customHeight="1">
      <c r="A16" s="436" t="s">
        <v>35</v>
      </c>
      <c r="B16" s="436"/>
      <c r="C16" s="26"/>
      <c r="D16" s="134">
        <f t="shared" si="63"/>
        <v>0</v>
      </c>
      <c r="E16" s="26"/>
      <c r="F16" s="26"/>
      <c r="G16" s="134">
        <f t="shared" si="64"/>
        <v>0</v>
      </c>
      <c r="H16" s="26"/>
      <c r="I16" s="134">
        <f t="shared" si="65"/>
        <v>0</v>
      </c>
      <c r="J16" s="26"/>
      <c r="K16" s="134">
        <f t="shared" si="66"/>
        <v>0</v>
      </c>
      <c r="L16" s="26"/>
      <c r="M16" s="134">
        <f t="shared" si="67"/>
        <v>0</v>
      </c>
      <c r="N16" s="26"/>
      <c r="O16" s="134">
        <f t="shared" si="68"/>
        <v>0</v>
      </c>
      <c r="P16" s="26"/>
      <c r="Q16" s="134">
        <f t="shared" si="69"/>
        <v>0</v>
      </c>
      <c r="R16" s="26"/>
      <c r="S16" s="134">
        <f t="shared" si="70"/>
        <v>0</v>
      </c>
      <c r="T16" s="26"/>
      <c r="U16" s="134">
        <f t="shared" si="71"/>
        <v>0</v>
      </c>
      <c r="V16" s="26"/>
      <c r="W16" s="134">
        <f t="shared" si="72"/>
        <v>0</v>
      </c>
      <c r="X16" s="26"/>
      <c r="Y16" s="134">
        <f t="shared" si="73"/>
        <v>0</v>
      </c>
      <c r="Z16" s="26"/>
      <c r="AA16" s="26"/>
      <c r="AB16" s="135">
        <f t="shared" si="2"/>
        <v>1</v>
      </c>
      <c r="AC16" s="26"/>
      <c r="AD16" s="26"/>
      <c r="AE16" s="134">
        <f t="shared" si="74"/>
        <v>0</v>
      </c>
      <c r="AF16" s="135">
        <f t="shared" si="4"/>
        <v>1</v>
      </c>
      <c r="AG16" s="26"/>
      <c r="AH16" s="134">
        <f t="shared" si="75"/>
        <v>0</v>
      </c>
      <c r="AI16" s="135">
        <f t="shared" si="6"/>
        <v>1</v>
      </c>
      <c r="AJ16" s="26"/>
      <c r="AK16" s="134">
        <f t="shared" si="76"/>
        <v>0</v>
      </c>
      <c r="AL16" s="135">
        <f t="shared" si="8"/>
        <v>1</v>
      </c>
      <c r="AM16" s="26"/>
      <c r="AN16" s="134">
        <f t="shared" si="77"/>
        <v>0</v>
      </c>
      <c r="AO16" s="135">
        <f t="shared" si="10"/>
        <v>1</v>
      </c>
      <c r="AP16" s="26"/>
      <c r="AQ16" s="134">
        <f t="shared" si="78"/>
        <v>0</v>
      </c>
      <c r="AR16" s="135">
        <f t="shared" si="12"/>
        <v>1</v>
      </c>
      <c r="AS16" s="26"/>
      <c r="AT16" s="134">
        <f t="shared" si="79"/>
        <v>0</v>
      </c>
      <c r="AU16" s="135">
        <f t="shared" si="14"/>
        <v>1</v>
      </c>
      <c r="AV16" s="26"/>
      <c r="AW16" s="134">
        <f t="shared" si="80"/>
        <v>0</v>
      </c>
      <c r="AX16" s="135">
        <f t="shared" si="16"/>
        <v>1</v>
      </c>
      <c r="AY16" s="26"/>
      <c r="AZ16" s="134">
        <f t="shared" si="81"/>
        <v>0</v>
      </c>
      <c r="BA16" s="135">
        <f t="shared" si="18"/>
        <v>1</v>
      </c>
      <c r="BB16" s="26"/>
      <c r="BC16" s="134">
        <f t="shared" si="82"/>
        <v>0</v>
      </c>
      <c r="BD16" s="135">
        <f t="shared" si="20"/>
        <v>1</v>
      </c>
      <c r="BE16" s="26"/>
      <c r="BF16" s="134">
        <f t="shared" si="83"/>
        <v>0</v>
      </c>
      <c r="BG16" s="135">
        <f t="shared" si="22"/>
        <v>1</v>
      </c>
      <c r="BH16" s="134"/>
      <c r="BI16" s="26"/>
      <c r="BJ16" s="26"/>
      <c r="BK16" s="135">
        <f>IF($AA$16=0,1,BJ16/$AA$16-1)</f>
        <v>1</v>
      </c>
      <c r="BL16" s="135">
        <f t="shared" si="24"/>
        <v>1</v>
      </c>
      <c r="BM16" s="167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</row>
    <row r="17" spans="1:206" s="62" customFormat="1" ht="18" customHeight="1">
      <c r="A17" s="436" t="s">
        <v>36</v>
      </c>
      <c r="B17" s="436"/>
      <c r="C17" s="26"/>
      <c r="D17" s="134">
        <f t="shared" si="63"/>
        <v>0</v>
      </c>
      <c r="E17" s="26"/>
      <c r="F17" s="26"/>
      <c r="G17" s="134">
        <f t="shared" si="64"/>
        <v>0</v>
      </c>
      <c r="H17" s="26"/>
      <c r="I17" s="134">
        <f t="shared" si="65"/>
        <v>0</v>
      </c>
      <c r="J17" s="26"/>
      <c r="K17" s="134">
        <f t="shared" si="66"/>
        <v>0</v>
      </c>
      <c r="L17" s="26"/>
      <c r="M17" s="134">
        <f t="shared" si="67"/>
        <v>0</v>
      </c>
      <c r="N17" s="26"/>
      <c r="O17" s="134">
        <f t="shared" si="68"/>
        <v>0</v>
      </c>
      <c r="P17" s="26"/>
      <c r="Q17" s="134">
        <f t="shared" si="69"/>
        <v>0</v>
      </c>
      <c r="R17" s="26"/>
      <c r="S17" s="134">
        <f t="shared" si="70"/>
        <v>0</v>
      </c>
      <c r="T17" s="26"/>
      <c r="U17" s="134">
        <f t="shared" si="71"/>
        <v>0</v>
      </c>
      <c r="V17" s="26"/>
      <c r="W17" s="134">
        <f t="shared" si="72"/>
        <v>0</v>
      </c>
      <c r="X17" s="26"/>
      <c r="Y17" s="134">
        <f t="shared" si="73"/>
        <v>0</v>
      </c>
      <c r="Z17" s="26"/>
      <c r="AA17" s="26"/>
      <c r="AB17" s="135">
        <f t="shared" si="2"/>
        <v>1</v>
      </c>
      <c r="AC17" s="26"/>
      <c r="AD17" s="26"/>
      <c r="AE17" s="134">
        <f t="shared" si="74"/>
        <v>0</v>
      </c>
      <c r="AF17" s="135">
        <f t="shared" si="4"/>
        <v>1</v>
      </c>
      <c r="AG17" s="26"/>
      <c r="AH17" s="134">
        <f t="shared" si="75"/>
        <v>0</v>
      </c>
      <c r="AI17" s="135">
        <f t="shared" si="6"/>
        <v>1</v>
      </c>
      <c r="AJ17" s="26"/>
      <c r="AK17" s="134">
        <f t="shared" si="76"/>
        <v>0</v>
      </c>
      <c r="AL17" s="135">
        <f t="shared" si="8"/>
        <v>1</v>
      </c>
      <c r="AM17" s="26"/>
      <c r="AN17" s="134">
        <f t="shared" si="77"/>
        <v>0</v>
      </c>
      <c r="AO17" s="135">
        <f t="shared" si="10"/>
        <v>1</v>
      </c>
      <c r="AP17" s="26"/>
      <c r="AQ17" s="134">
        <f t="shared" si="78"/>
        <v>0</v>
      </c>
      <c r="AR17" s="135">
        <f t="shared" si="12"/>
        <v>1</v>
      </c>
      <c r="AS17" s="26"/>
      <c r="AT17" s="134">
        <f t="shared" si="79"/>
        <v>0</v>
      </c>
      <c r="AU17" s="135">
        <f t="shared" si="14"/>
        <v>1</v>
      </c>
      <c r="AV17" s="26"/>
      <c r="AW17" s="134">
        <f t="shared" si="80"/>
        <v>0</v>
      </c>
      <c r="AX17" s="135">
        <f t="shared" si="16"/>
        <v>1</v>
      </c>
      <c r="AY17" s="26"/>
      <c r="AZ17" s="134">
        <f t="shared" si="81"/>
        <v>0</v>
      </c>
      <c r="BA17" s="135">
        <f t="shared" si="18"/>
        <v>1</v>
      </c>
      <c r="BB17" s="26"/>
      <c r="BC17" s="134">
        <f t="shared" si="82"/>
        <v>0</v>
      </c>
      <c r="BD17" s="135">
        <f t="shared" si="20"/>
        <v>1</v>
      </c>
      <c r="BE17" s="26"/>
      <c r="BF17" s="134">
        <f t="shared" si="83"/>
        <v>0</v>
      </c>
      <c r="BG17" s="135">
        <f t="shared" si="22"/>
        <v>1</v>
      </c>
      <c r="BH17" s="134"/>
      <c r="BI17" s="26"/>
      <c r="BJ17" s="26"/>
      <c r="BK17" s="135">
        <f>IF($AA$17=0,1,BJ17/$AA$17-1)</f>
        <v>1</v>
      </c>
      <c r="BL17" s="135">
        <f t="shared" si="24"/>
        <v>1</v>
      </c>
      <c r="BM17" s="167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</row>
    <row r="18" spans="1:206" s="62" customFormat="1" ht="18" customHeight="1">
      <c r="A18" s="436" t="s">
        <v>37</v>
      </c>
      <c r="B18" s="436"/>
      <c r="C18" s="26"/>
      <c r="D18" s="134">
        <f t="shared" si="63"/>
        <v>0</v>
      </c>
      <c r="E18" s="26"/>
      <c r="F18" s="26"/>
      <c r="G18" s="134">
        <f t="shared" si="64"/>
        <v>0</v>
      </c>
      <c r="H18" s="26"/>
      <c r="I18" s="134">
        <f t="shared" si="65"/>
        <v>0</v>
      </c>
      <c r="J18" s="26"/>
      <c r="K18" s="134">
        <f t="shared" si="66"/>
        <v>0</v>
      </c>
      <c r="L18" s="26"/>
      <c r="M18" s="134">
        <f t="shared" si="67"/>
        <v>0</v>
      </c>
      <c r="N18" s="26"/>
      <c r="O18" s="134">
        <f t="shared" si="68"/>
        <v>0</v>
      </c>
      <c r="P18" s="26"/>
      <c r="Q18" s="134">
        <f t="shared" si="69"/>
        <v>0</v>
      </c>
      <c r="R18" s="26"/>
      <c r="S18" s="134">
        <f t="shared" si="70"/>
        <v>0</v>
      </c>
      <c r="T18" s="26"/>
      <c r="U18" s="134">
        <f t="shared" si="71"/>
        <v>0</v>
      </c>
      <c r="V18" s="26"/>
      <c r="W18" s="134">
        <f t="shared" si="72"/>
        <v>0</v>
      </c>
      <c r="X18" s="26"/>
      <c r="Y18" s="134">
        <f t="shared" si="73"/>
        <v>0</v>
      </c>
      <c r="Z18" s="26"/>
      <c r="AA18" s="26"/>
      <c r="AB18" s="135">
        <f t="shared" si="2"/>
        <v>1</v>
      </c>
      <c r="AC18" s="26"/>
      <c r="AD18" s="26"/>
      <c r="AE18" s="134">
        <f t="shared" si="74"/>
        <v>0</v>
      </c>
      <c r="AF18" s="135">
        <f t="shared" si="4"/>
        <v>1</v>
      </c>
      <c r="AG18" s="26"/>
      <c r="AH18" s="134">
        <f t="shared" si="75"/>
        <v>0</v>
      </c>
      <c r="AI18" s="135">
        <f t="shared" si="6"/>
        <v>1</v>
      </c>
      <c r="AJ18" s="26"/>
      <c r="AK18" s="134">
        <f t="shared" si="76"/>
        <v>0</v>
      </c>
      <c r="AL18" s="135">
        <f t="shared" si="8"/>
        <v>1</v>
      </c>
      <c r="AM18" s="26"/>
      <c r="AN18" s="134">
        <f t="shared" si="77"/>
        <v>0</v>
      </c>
      <c r="AO18" s="135">
        <f t="shared" si="10"/>
        <v>1</v>
      </c>
      <c r="AP18" s="26"/>
      <c r="AQ18" s="134">
        <f t="shared" si="78"/>
        <v>0</v>
      </c>
      <c r="AR18" s="135">
        <f t="shared" si="12"/>
        <v>1</v>
      </c>
      <c r="AS18" s="26"/>
      <c r="AT18" s="134">
        <f t="shared" si="79"/>
        <v>0</v>
      </c>
      <c r="AU18" s="135">
        <f t="shared" si="14"/>
        <v>1</v>
      </c>
      <c r="AV18" s="26"/>
      <c r="AW18" s="134">
        <f t="shared" si="80"/>
        <v>0</v>
      </c>
      <c r="AX18" s="135">
        <f t="shared" si="16"/>
        <v>1</v>
      </c>
      <c r="AY18" s="26"/>
      <c r="AZ18" s="134">
        <f t="shared" si="81"/>
        <v>0</v>
      </c>
      <c r="BA18" s="135">
        <f t="shared" si="18"/>
        <v>1</v>
      </c>
      <c r="BB18" s="26"/>
      <c r="BC18" s="134">
        <f t="shared" si="82"/>
        <v>0</v>
      </c>
      <c r="BD18" s="135">
        <f t="shared" si="20"/>
        <v>1</v>
      </c>
      <c r="BE18" s="26"/>
      <c r="BF18" s="134">
        <f t="shared" si="83"/>
        <v>0</v>
      </c>
      <c r="BG18" s="135">
        <f t="shared" si="22"/>
        <v>1</v>
      </c>
      <c r="BH18" s="134"/>
      <c r="BI18" s="26"/>
      <c r="BJ18" s="26"/>
      <c r="BK18" s="135">
        <f>IF($AA$18=0,1,BJ18/$AA$18-1)</f>
        <v>1</v>
      </c>
      <c r="BL18" s="135">
        <f t="shared" si="24"/>
        <v>1</v>
      </c>
      <c r="BM18" s="167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</row>
    <row r="19" spans="1:206" s="62" customFormat="1" ht="18" customHeight="1">
      <c r="A19" s="436" t="s">
        <v>38</v>
      </c>
      <c r="B19" s="436"/>
      <c r="C19" s="26"/>
      <c r="D19" s="134">
        <f t="shared" si="63"/>
        <v>0</v>
      </c>
      <c r="E19" s="26"/>
      <c r="F19" s="26"/>
      <c r="G19" s="134">
        <f t="shared" si="64"/>
        <v>0</v>
      </c>
      <c r="H19" s="26"/>
      <c r="I19" s="134">
        <f t="shared" si="65"/>
        <v>0</v>
      </c>
      <c r="J19" s="26"/>
      <c r="K19" s="134">
        <f t="shared" si="66"/>
        <v>0</v>
      </c>
      <c r="L19" s="26"/>
      <c r="M19" s="134">
        <f t="shared" si="67"/>
        <v>0</v>
      </c>
      <c r="N19" s="26"/>
      <c r="O19" s="134">
        <f t="shared" si="68"/>
        <v>0</v>
      </c>
      <c r="P19" s="26"/>
      <c r="Q19" s="134">
        <f t="shared" si="69"/>
        <v>0</v>
      </c>
      <c r="R19" s="26"/>
      <c r="S19" s="134">
        <f t="shared" si="70"/>
        <v>0</v>
      </c>
      <c r="T19" s="26"/>
      <c r="U19" s="134">
        <f t="shared" si="71"/>
        <v>0</v>
      </c>
      <c r="V19" s="26"/>
      <c r="W19" s="134">
        <f t="shared" si="72"/>
        <v>0</v>
      </c>
      <c r="X19" s="26"/>
      <c r="Y19" s="134">
        <f t="shared" si="73"/>
        <v>0</v>
      </c>
      <c r="Z19" s="26"/>
      <c r="AA19" s="26"/>
      <c r="AB19" s="135">
        <f t="shared" si="2"/>
        <v>1</v>
      </c>
      <c r="AC19" s="26"/>
      <c r="AD19" s="26"/>
      <c r="AE19" s="134">
        <f t="shared" si="74"/>
        <v>0</v>
      </c>
      <c r="AF19" s="135">
        <f t="shared" si="4"/>
        <v>1</v>
      </c>
      <c r="AG19" s="26"/>
      <c r="AH19" s="134">
        <f t="shared" si="75"/>
        <v>0</v>
      </c>
      <c r="AI19" s="135">
        <f t="shared" si="6"/>
        <v>1</v>
      </c>
      <c r="AJ19" s="26"/>
      <c r="AK19" s="134">
        <f t="shared" si="76"/>
        <v>0</v>
      </c>
      <c r="AL19" s="135">
        <f t="shared" si="8"/>
        <v>1</v>
      </c>
      <c r="AM19" s="26"/>
      <c r="AN19" s="134">
        <f t="shared" si="77"/>
        <v>0</v>
      </c>
      <c r="AO19" s="135">
        <f t="shared" si="10"/>
        <v>1</v>
      </c>
      <c r="AP19" s="26"/>
      <c r="AQ19" s="134">
        <f t="shared" si="78"/>
        <v>0</v>
      </c>
      <c r="AR19" s="135">
        <f t="shared" si="12"/>
        <v>1</v>
      </c>
      <c r="AS19" s="26"/>
      <c r="AT19" s="134">
        <f t="shared" si="79"/>
        <v>0</v>
      </c>
      <c r="AU19" s="135">
        <f t="shared" si="14"/>
        <v>1</v>
      </c>
      <c r="AV19" s="26"/>
      <c r="AW19" s="134">
        <f t="shared" si="80"/>
        <v>0</v>
      </c>
      <c r="AX19" s="135">
        <f t="shared" si="16"/>
        <v>1</v>
      </c>
      <c r="AY19" s="26"/>
      <c r="AZ19" s="134">
        <f t="shared" si="81"/>
        <v>0</v>
      </c>
      <c r="BA19" s="135">
        <f t="shared" si="18"/>
        <v>1</v>
      </c>
      <c r="BB19" s="26"/>
      <c r="BC19" s="134">
        <f t="shared" si="82"/>
        <v>0</v>
      </c>
      <c r="BD19" s="135">
        <f t="shared" si="20"/>
        <v>1</v>
      </c>
      <c r="BE19" s="26"/>
      <c r="BF19" s="134">
        <f t="shared" si="83"/>
        <v>0</v>
      </c>
      <c r="BG19" s="135">
        <f t="shared" si="22"/>
        <v>1</v>
      </c>
      <c r="BH19" s="134"/>
      <c r="BI19" s="26"/>
      <c r="BJ19" s="26"/>
      <c r="BK19" s="135">
        <f>IF($AA$19=0,1,BJ19/$AA$19-1)</f>
        <v>1</v>
      </c>
      <c r="BL19" s="135">
        <f t="shared" si="24"/>
        <v>1</v>
      </c>
      <c r="BM19" s="167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</row>
    <row r="20" spans="1:206" s="62" customFormat="1" ht="18" customHeight="1">
      <c r="A20" s="436" t="s">
        <v>39</v>
      </c>
      <c r="B20" s="436"/>
      <c r="C20" s="26"/>
      <c r="D20" s="134">
        <f t="shared" si="63"/>
        <v>0</v>
      </c>
      <c r="E20" s="26"/>
      <c r="F20" s="26"/>
      <c r="G20" s="134">
        <f t="shared" si="64"/>
        <v>0</v>
      </c>
      <c r="H20" s="26"/>
      <c r="I20" s="134">
        <f t="shared" si="65"/>
        <v>0</v>
      </c>
      <c r="J20" s="26"/>
      <c r="K20" s="134">
        <f t="shared" si="66"/>
        <v>0</v>
      </c>
      <c r="L20" s="26"/>
      <c r="M20" s="134">
        <f t="shared" si="67"/>
        <v>0</v>
      </c>
      <c r="N20" s="26"/>
      <c r="O20" s="134">
        <f t="shared" si="68"/>
        <v>0</v>
      </c>
      <c r="P20" s="26"/>
      <c r="Q20" s="134">
        <f t="shared" si="69"/>
        <v>0</v>
      </c>
      <c r="R20" s="26"/>
      <c r="S20" s="134">
        <f t="shared" si="70"/>
        <v>0</v>
      </c>
      <c r="T20" s="26"/>
      <c r="U20" s="134">
        <f t="shared" si="71"/>
        <v>0</v>
      </c>
      <c r="V20" s="26"/>
      <c r="W20" s="134">
        <f t="shared" si="72"/>
        <v>0</v>
      </c>
      <c r="X20" s="26"/>
      <c r="Y20" s="134">
        <f t="shared" si="73"/>
        <v>0</v>
      </c>
      <c r="Z20" s="26"/>
      <c r="AA20" s="26"/>
      <c r="AB20" s="135">
        <f t="shared" si="2"/>
        <v>1</v>
      </c>
      <c r="AC20" s="26"/>
      <c r="AD20" s="26"/>
      <c r="AE20" s="134">
        <f t="shared" si="74"/>
        <v>0</v>
      </c>
      <c r="AF20" s="135">
        <f t="shared" si="4"/>
        <v>1</v>
      </c>
      <c r="AG20" s="26"/>
      <c r="AH20" s="134">
        <f t="shared" si="75"/>
        <v>0</v>
      </c>
      <c r="AI20" s="135">
        <f t="shared" si="6"/>
        <v>1</v>
      </c>
      <c r="AJ20" s="26"/>
      <c r="AK20" s="134">
        <f t="shared" si="76"/>
        <v>0</v>
      </c>
      <c r="AL20" s="135">
        <f t="shared" si="8"/>
        <v>1</v>
      </c>
      <c r="AM20" s="26"/>
      <c r="AN20" s="134">
        <f t="shared" si="77"/>
        <v>0</v>
      </c>
      <c r="AO20" s="135">
        <f t="shared" si="10"/>
        <v>1</v>
      </c>
      <c r="AP20" s="26"/>
      <c r="AQ20" s="134">
        <f t="shared" si="78"/>
        <v>0</v>
      </c>
      <c r="AR20" s="135">
        <f t="shared" si="12"/>
        <v>1</v>
      </c>
      <c r="AS20" s="26"/>
      <c r="AT20" s="134">
        <f t="shared" si="79"/>
        <v>0</v>
      </c>
      <c r="AU20" s="135">
        <f t="shared" si="14"/>
        <v>1</v>
      </c>
      <c r="AV20" s="26"/>
      <c r="AW20" s="134">
        <f t="shared" si="80"/>
        <v>0</v>
      </c>
      <c r="AX20" s="135">
        <f t="shared" si="16"/>
        <v>1</v>
      </c>
      <c r="AY20" s="26"/>
      <c r="AZ20" s="134">
        <f t="shared" si="81"/>
        <v>0</v>
      </c>
      <c r="BA20" s="135">
        <f t="shared" si="18"/>
        <v>1</v>
      </c>
      <c r="BB20" s="26"/>
      <c r="BC20" s="134">
        <f t="shared" si="82"/>
        <v>0</v>
      </c>
      <c r="BD20" s="135">
        <f t="shared" si="20"/>
        <v>1</v>
      </c>
      <c r="BE20" s="26"/>
      <c r="BF20" s="134">
        <f t="shared" si="83"/>
        <v>0</v>
      </c>
      <c r="BG20" s="135">
        <f t="shared" si="22"/>
        <v>1</v>
      </c>
      <c r="BH20" s="134"/>
      <c r="BI20" s="26"/>
      <c r="BJ20" s="26"/>
      <c r="BK20" s="135">
        <f>IF($AA$20=0,1,BJ20/$AA$20-1)</f>
        <v>1</v>
      </c>
      <c r="BL20" s="135">
        <f t="shared" si="24"/>
        <v>1</v>
      </c>
      <c r="BM20" s="167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</row>
    <row r="21" spans="1:206" s="62" customFormat="1" ht="18" customHeight="1">
      <c r="A21" s="436" t="s">
        <v>40</v>
      </c>
      <c r="B21" s="436"/>
      <c r="C21" s="26"/>
      <c r="D21" s="134">
        <f t="shared" si="63"/>
        <v>0</v>
      </c>
      <c r="E21" s="26"/>
      <c r="F21" s="26"/>
      <c r="G21" s="134">
        <f t="shared" si="64"/>
        <v>0</v>
      </c>
      <c r="H21" s="26"/>
      <c r="I21" s="134">
        <f t="shared" si="65"/>
        <v>0</v>
      </c>
      <c r="J21" s="26"/>
      <c r="K21" s="134">
        <f t="shared" si="66"/>
        <v>0</v>
      </c>
      <c r="L21" s="26"/>
      <c r="M21" s="134">
        <f t="shared" si="67"/>
        <v>0</v>
      </c>
      <c r="N21" s="26"/>
      <c r="O21" s="134">
        <f t="shared" si="68"/>
        <v>0</v>
      </c>
      <c r="P21" s="26"/>
      <c r="Q21" s="134">
        <f t="shared" si="69"/>
        <v>0</v>
      </c>
      <c r="R21" s="26"/>
      <c r="S21" s="134">
        <f t="shared" si="70"/>
        <v>0</v>
      </c>
      <c r="T21" s="26"/>
      <c r="U21" s="134">
        <f t="shared" si="71"/>
        <v>0</v>
      </c>
      <c r="V21" s="26"/>
      <c r="W21" s="134">
        <f t="shared" si="72"/>
        <v>0</v>
      </c>
      <c r="X21" s="26"/>
      <c r="Y21" s="134">
        <f t="shared" si="73"/>
        <v>0</v>
      </c>
      <c r="Z21" s="26"/>
      <c r="AA21" s="26"/>
      <c r="AB21" s="135">
        <f t="shared" si="2"/>
        <v>1</v>
      </c>
      <c r="AC21" s="26"/>
      <c r="AD21" s="26"/>
      <c r="AE21" s="134">
        <f t="shared" si="74"/>
        <v>0</v>
      </c>
      <c r="AF21" s="135">
        <f t="shared" si="4"/>
        <v>1</v>
      </c>
      <c r="AG21" s="26"/>
      <c r="AH21" s="134">
        <f t="shared" si="75"/>
        <v>0</v>
      </c>
      <c r="AI21" s="135">
        <f t="shared" si="6"/>
        <v>1</v>
      </c>
      <c r="AJ21" s="26"/>
      <c r="AK21" s="134">
        <f t="shared" si="76"/>
        <v>0</v>
      </c>
      <c r="AL21" s="135">
        <f t="shared" si="8"/>
        <v>1</v>
      </c>
      <c r="AM21" s="26"/>
      <c r="AN21" s="134">
        <f t="shared" si="77"/>
        <v>0</v>
      </c>
      <c r="AO21" s="135">
        <f t="shared" si="10"/>
        <v>1</v>
      </c>
      <c r="AP21" s="26"/>
      <c r="AQ21" s="134">
        <f t="shared" si="78"/>
        <v>0</v>
      </c>
      <c r="AR21" s="135">
        <f t="shared" si="12"/>
        <v>1</v>
      </c>
      <c r="AS21" s="26"/>
      <c r="AT21" s="134">
        <f t="shared" si="79"/>
        <v>0</v>
      </c>
      <c r="AU21" s="135">
        <f t="shared" si="14"/>
        <v>1</v>
      </c>
      <c r="AV21" s="26"/>
      <c r="AW21" s="134">
        <f t="shared" si="80"/>
        <v>0</v>
      </c>
      <c r="AX21" s="135">
        <f t="shared" si="16"/>
        <v>1</v>
      </c>
      <c r="AY21" s="26"/>
      <c r="AZ21" s="134">
        <f t="shared" si="81"/>
        <v>0</v>
      </c>
      <c r="BA21" s="135">
        <f t="shared" si="18"/>
        <v>1</v>
      </c>
      <c r="BB21" s="26"/>
      <c r="BC21" s="134">
        <f t="shared" si="82"/>
        <v>0</v>
      </c>
      <c r="BD21" s="135">
        <f t="shared" si="20"/>
        <v>1</v>
      </c>
      <c r="BE21" s="26"/>
      <c r="BF21" s="134">
        <f t="shared" si="83"/>
        <v>0</v>
      </c>
      <c r="BG21" s="135">
        <f t="shared" si="22"/>
        <v>1</v>
      </c>
      <c r="BH21" s="134"/>
      <c r="BI21" s="26"/>
      <c r="BJ21" s="26"/>
      <c r="BK21" s="135">
        <f>IF($AA$21=0,1,BJ21/$AA$21-1)</f>
        <v>1</v>
      </c>
      <c r="BL21" s="135">
        <f t="shared" si="24"/>
        <v>1</v>
      </c>
      <c r="BM21" s="167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</row>
    <row r="22" spans="1:206" s="62" customFormat="1" ht="18" customHeight="1">
      <c r="A22" s="436" t="s">
        <v>41</v>
      </c>
      <c r="B22" s="436"/>
      <c r="C22" s="26"/>
      <c r="D22" s="134">
        <f t="shared" si="63"/>
        <v>0</v>
      </c>
      <c r="E22" s="26"/>
      <c r="F22" s="26"/>
      <c r="G22" s="134">
        <f t="shared" si="64"/>
        <v>0</v>
      </c>
      <c r="H22" s="26"/>
      <c r="I22" s="134">
        <f t="shared" si="65"/>
        <v>0</v>
      </c>
      <c r="J22" s="26"/>
      <c r="K22" s="134">
        <f t="shared" si="66"/>
        <v>0</v>
      </c>
      <c r="L22" s="26"/>
      <c r="M22" s="134">
        <f t="shared" si="67"/>
        <v>0</v>
      </c>
      <c r="N22" s="26"/>
      <c r="O22" s="134">
        <f t="shared" si="68"/>
        <v>0</v>
      </c>
      <c r="P22" s="26"/>
      <c r="Q22" s="134">
        <f t="shared" si="69"/>
        <v>0</v>
      </c>
      <c r="R22" s="26"/>
      <c r="S22" s="134">
        <f t="shared" si="70"/>
        <v>0</v>
      </c>
      <c r="T22" s="26"/>
      <c r="U22" s="134">
        <f t="shared" si="71"/>
        <v>0</v>
      </c>
      <c r="V22" s="26"/>
      <c r="W22" s="134">
        <f t="shared" si="72"/>
        <v>0</v>
      </c>
      <c r="X22" s="26"/>
      <c r="Y22" s="134">
        <f t="shared" si="73"/>
        <v>0</v>
      </c>
      <c r="Z22" s="26"/>
      <c r="AA22" s="26"/>
      <c r="AB22" s="135">
        <f t="shared" si="2"/>
        <v>1</v>
      </c>
      <c r="AC22" s="26"/>
      <c r="AD22" s="26"/>
      <c r="AE22" s="134">
        <f t="shared" si="74"/>
        <v>0</v>
      </c>
      <c r="AF22" s="135">
        <f t="shared" si="4"/>
        <v>1</v>
      </c>
      <c r="AG22" s="26"/>
      <c r="AH22" s="134">
        <f t="shared" si="75"/>
        <v>0</v>
      </c>
      <c r="AI22" s="135">
        <f t="shared" si="6"/>
        <v>1</v>
      </c>
      <c r="AJ22" s="26"/>
      <c r="AK22" s="134">
        <f t="shared" si="76"/>
        <v>0</v>
      </c>
      <c r="AL22" s="135">
        <f t="shared" si="8"/>
        <v>1</v>
      </c>
      <c r="AM22" s="26"/>
      <c r="AN22" s="134">
        <f t="shared" si="77"/>
        <v>0</v>
      </c>
      <c r="AO22" s="135">
        <f t="shared" si="10"/>
        <v>1</v>
      </c>
      <c r="AP22" s="26"/>
      <c r="AQ22" s="134">
        <f t="shared" si="78"/>
        <v>0</v>
      </c>
      <c r="AR22" s="135">
        <f t="shared" si="12"/>
        <v>1</v>
      </c>
      <c r="AS22" s="26"/>
      <c r="AT22" s="134">
        <f t="shared" si="79"/>
        <v>0</v>
      </c>
      <c r="AU22" s="135">
        <f t="shared" si="14"/>
        <v>1</v>
      </c>
      <c r="AV22" s="26"/>
      <c r="AW22" s="134">
        <f t="shared" si="80"/>
        <v>0</v>
      </c>
      <c r="AX22" s="135">
        <f t="shared" si="16"/>
        <v>1</v>
      </c>
      <c r="AY22" s="26"/>
      <c r="AZ22" s="134">
        <f t="shared" si="81"/>
        <v>0</v>
      </c>
      <c r="BA22" s="135">
        <f t="shared" si="18"/>
        <v>1</v>
      </c>
      <c r="BB22" s="26"/>
      <c r="BC22" s="134">
        <f t="shared" si="82"/>
        <v>0</v>
      </c>
      <c r="BD22" s="135">
        <f t="shared" si="20"/>
        <v>1</v>
      </c>
      <c r="BE22" s="26"/>
      <c r="BF22" s="134">
        <f t="shared" si="83"/>
        <v>0</v>
      </c>
      <c r="BG22" s="135">
        <f t="shared" si="22"/>
        <v>1</v>
      </c>
      <c r="BH22" s="134"/>
      <c r="BI22" s="26"/>
      <c r="BJ22" s="26"/>
      <c r="BK22" s="135">
        <f>IF($AA$22=0,1,BJ22/$AA$22-1)</f>
        <v>1</v>
      </c>
      <c r="BL22" s="135">
        <f t="shared" si="24"/>
        <v>1</v>
      </c>
      <c r="BM22" s="167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</row>
    <row r="23" spans="1:206" s="62" customFormat="1" ht="18" customHeight="1">
      <c r="A23" s="436" t="s">
        <v>89</v>
      </c>
      <c r="B23" s="436"/>
      <c r="C23" s="26"/>
      <c r="D23" s="134">
        <f t="shared" si="63"/>
        <v>0</v>
      </c>
      <c r="E23" s="26"/>
      <c r="F23" s="26"/>
      <c r="G23" s="134">
        <f t="shared" si="64"/>
        <v>0</v>
      </c>
      <c r="H23" s="26"/>
      <c r="I23" s="134">
        <f t="shared" si="65"/>
        <v>0</v>
      </c>
      <c r="J23" s="26"/>
      <c r="K23" s="134">
        <f t="shared" si="66"/>
        <v>0</v>
      </c>
      <c r="L23" s="26"/>
      <c r="M23" s="134">
        <f t="shared" si="67"/>
        <v>0</v>
      </c>
      <c r="N23" s="26"/>
      <c r="O23" s="134">
        <f t="shared" si="68"/>
        <v>0</v>
      </c>
      <c r="P23" s="26"/>
      <c r="Q23" s="134">
        <f t="shared" si="69"/>
        <v>0</v>
      </c>
      <c r="R23" s="26"/>
      <c r="S23" s="134">
        <f t="shared" si="70"/>
        <v>0</v>
      </c>
      <c r="T23" s="26"/>
      <c r="U23" s="134">
        <f t="shared" si="71"/>
        <v>0</v>
      </c>
      <c r="V23" s="26"/>
      <c r="W23" s="134">
        <f t="shared" si="72"/>
        <v>0</v>
      </c>
      <c r="X23" s="26"/>
      <c r="Y23" s="134">
        <f t="shared" si="73"/>
        <v>0</v>
      </c>
      <c r="Z23" s="26"/>
      <c r="AA23" s="26"/>
      <c r="AB23" s="135">
        <f t="shared" si="2"/>
        <v>1</v>
      </c>
      <c r="AC23" s="26"/>
      <c r="AD23" s="26"/>
      <c r="AE23" s="134">
        <f t="shared" si="74"/>
        <v>0</v>
      </c>
      <c r="AF23" s="135">
        <f t="shared" si="4"/>
        <v>1</v>
      </c>
      <c r="AG23" s="26"/>
      <c r="AH23" s="134">
        <f t="shared" si="75"/>
        <v>0</v>
      </c>
      <c r="AI23" s="135">
        <f t="shared" si="6"/>
        <v>1</v>
      </c>
      <c r="AJ23" s="26"/>
      <c r="AK23" s="134">
        <f t="shared" si="76"/>
        <v>0</v>
      </c>
      <c r="AL23" s="135">
        <f t="shared" si="8"/>
        <v>1</v>
      </c>
      <c r="AM23" s="26"/>
      <c r="AN23" s="134">
        <f t="shared" si="77"/>
        <v>0</v>
      </c>
      <c r="AO23" s="135">
        <f t="shared" si="10"/>
        <v>1</v>
      </c>
      <c r="AP23" s="26"/>
      <c r="AQ23" s="134">
        <f t="shared" si="78"/>
        <v>0</v>
      </c>
      <c r="AR23" s="135">
        <f t="shared" si="12"/>
        <v>1</v>
      </c>
      <c r="AS23" s="26"/>
      <c r="AT23" s="134">
        <f t="shared" si="79"/>
        <v>0</v>
      </c>
      <c r="AU23" s="135">
        <f t="shared" si="14"/>
        <v>1</v>
      </c>
      <c r="AV23" s="26"/>
      <c r="AW23" s="134">
        <f t="shared" si="80"/>
        <v>0</v>
      </c>
      <c r="AX23" s="135">
        <f t="shared" si="16"/>
        <v>1</v>
      </c>
      <c r="AY23" s="26"/>
      <c r="AZ23" s="134">
        <f t="shared" si="81"/>
        <v>0</v>
      </c>
      <c r="BA23" s="135">
        <f t="shared" si="18"/>
        <v>1</v>
      </c>
      <c r="BB23" s="26"/>
      <c r="BC23" s="134">
        <f t="shared" si="82"/>
        <v>0</v>
      </c>
      <c r="BD23" s="135">
        <f t="shared" si="20"/>
        <v>1</v>
      </c>
      <c r="BE23" s="26"/>
      <c r="BF23" s="134">
        <f t="shared" si="83"/>
        <v>0</v>
      </c>
      <c r="BG23" s="135">
        <f t="shared" si="22"/>
        <v>1</v>
      </c>
      <c r="BH23" s="134"/>
      <c r="BI23" s="26"/>
      <c r="BJ23" s="26"/>
      <c r="BK23" s="135">
        <f>IF($AA$23=0,1,BJ23/$AA$23-1)</f>
        <v>1</v>
      </c>
      <c r="BL23" s="135">
        <f t="shared" si="24"/>
        <v>1</v>
      </c>
      <c r="BM23" s="167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</row>
    <row r="24" spans="1:206" s="62" customFormat="1" ht="18" customHeight="1">
      <c r="A24" s="436" t="s">
        <v>90</v>
      </c>
      <c r="B24" s="436"/>
      <c r="C24" s="26"/>
      <c r="D24" s="134">
        <f t="shared" si="63"/>
        <v>0</v>
      </c>
      <c r="E24" s="26"/>
      <c r="F24" s="26"/>
      <c r="G24" s="134">
        <f t="shared" si="64"/>
        <v>0</v>
      </c>
      <c r="H24" s="26"/>
      <c r="I24" s="134">
        <f t="shared" si="65"/>
        <v>0</v>
      </c>
      <c r="J24" s="26"/>
      <c r="K24" s="134">
        <f t="shared" si="66"/>
        <v>0</v>
      </c>
      <c r="L24" s="26"/>
      <c r="M24" s="134">
        <f t="shared" si="67"/>
        <v>0</v>
      </c>
      <c r="N24" s="26"/>
      <c r="O24" s="134">
        <f t="shared" si="68"/>
        <v>0</v>
      </c>
      <c r="P24" s="26"/>
      <c r="Q24" s="134">
        <f t="shared" si="69"/>
        <v>0</v>
      </c>
      <c r="R24" s="26"/>
      <c r="S24" s="134">
        <f t="shared" si="70"/>
        <v>0</v>
      </c>
      <c r="T24" s="26"/>
      <c r="U24" s="134">
        <f t="shared" si="71"/>
        <v>0</v>
      </c>
      <c r="V24" s="26"/>
      <c r="W24" s="134">
        <f t="shared" si="72"/>
        <v>0</v>
      </c>
      <c r="X24" s="26"/>
      <c r="Y24" s="134">
        <f t="shared" si="73"/>
        <v>0</v>
      </c>
      <c r="Z24" s="26"/>
      <c r="AA24" s="26"/>
      <c r="AB24" s="135">
        <f t="shared" si="2"/>
        <v>1</v>
      </c>
      <c r="AC24" s="26"/>
      <c r="AD24" s="26"/>
      <c r="AE24" s="134">
        <f t="shared" si="74"/>
        <v>0</v>
      </c>
      <c r="AF24" s="135">
        <f t="shared" si="4"/>
        <v>1</v>
      </c>
      <c r="AG24" s="26"/>
      <c r="AH24" s="134">
        <f t="shared" si="75"/>
        <v>0</v>
      </c>
      <c r="AI24" s="135">
        <f t="shared" si="6"/>
        <v>1</v>
      </c>
      <c r="AJ24" s="26"/>
      <c r="AK24" s="134">
        <f t="shared" si="76"/>
        <v>0</v>
      </c>
      <c r="AL24" s="135">
        <f t="shared" si="8"/>
        <v>1</v>
      </c>
      <c r="AM24" s="26"/>
      <c r="AN24" s="134">
        <f t="shared" si="77"/>
        <v>0</v>
      </c>
      <c r="AO24" s="135">
        <f t="shared" si="10"/>
        <v>1</v>
      </c>
      <c r="AP24" s="26"/>
      <c r="AQ24" s="134">
        <f t="shared" si="78"/>
        <v>0</v>
      </c>
      <c r="AR24" s="135">
        <f t="shared" si="12"/>
        <v>1</v>
      </c>
      <c r="AS24" s="26"/>
      <c r="AT24" s="134">
        <f t="shared" si="79"/>
        <v>0</v>
      </c>
      <c r="AU24" s="135">
        <f t="shared" si="14"/>
        <v>1</v>
      </c>
      <c r="AV24" s="26"/>
      <c r="AW24" s="134">
        <f t="shared" si="80"/>
        <v>0</v>
      </c>
      <c r="AX24" s="135">
        <f t="shared" si="16"/>
        <v>1</v>
      </c>
      <c r="AY24" s="26"/>
      <c r="AZ24" s="134">
        <f t="shared" si="81"/>
        <v>0</v>
      </c>
      <c r="BA24" s="135">
        <f t="shared" si="18"/>
        <v>1</v>
      </c>
      <c r="BB24" s="26"/>
      <c r="BC24" s="134">
        <f t="shared" si="82"/>
        <v>0</v>
      </c>
      <c r="BD24" s="135">
        <f t="shared" si="20"/>
        <v>1</v>
      </c>
      <c r="BE24" s="26"/>
      <c r="BF24" s="134">
        <f t="shared" si="83"/>
        <v>0</v>
      </c>
      <c r="BG24" s="135">
        <f t="shared" si="22"/>
        <v>1</v>
      </c>
      <c r="BH24" s="134"/>
      <c r="BI24" s="26"/>
      <c r="BJ24" s="26"/>
      <c r="BK24" s="135">
        <f>IF($AA$24=0,1,BJ24/$AA$24-1)</f>
        <v>1</v>
      </c>
      <c r="BL24" s="135">
        <f t="shared" si="24"/>
        <v>1</v>
      </c>
      <c r="BM24" s="167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</row>
    <row r="25" spans="1:206" s="62" customFormat="1" ht="18" customHeight="1">
      <c r="A25" s="436" t="s">
        <v>42</v>
      </c>
      <c r="B25" s="436"/>
      <c r="C25" s="26"/>
      <c r="D25" s="134">
        <f t="shared" si="63"/>
        <v>0</v>
      </c>
      <c r="E25" s="26"/>
      <c r="F25" s="26"/>
      <c r="G25" s="134">
        <f t="shared" si="64"/>
        <v>0</v>
      </c>
      <c r="H25" s="26"/>
      <c r="I25" s="134">
        <f t="shared" si="65"/>
        <v>0</v>
      </c>
      <c r="J25" s="26"/>
      <c r="K25" s="134">
        <f t="shared" si="66"/>
        <v>0</v>
      </c>
      <c r="L25" s="26"/>
      <c r="M25" s="134">
        <f t="shared" si="67"/>
        <v>0</v>
      </c>
      <c r="N25" s="26"/>
      <c r="O25" s="134">
        <f t="shared" si="68"/>
        <v>0</v>
      </c>
      <c r="P25" s="26"/>
      <c r="Q25" s="134">
        <f t="shared" si="69"/>
        <v>0</v>
      </c>
      <c r="R25" s="26"/>
      <c r="S25" s="134">
        <f t="shared" si="70"/>
        <v>0</v>
      </c>
      <c r="T25" s="26"/>
      <c r="U25" s="134">
        <f t="shared" si="71"/>
        <v>0</v>
      </c>
      <c r="V25" s="26"/>
      <c r="W25" s="134">
        <f t="shared" si="72"/>
        <v>0</v>
      </c>
      <c r="X25" s="26"/>
      <c r="Y25" s="134">
        <f t="shared" si="73"/>
        <v>0</v>
      </c>
      <c r="Z25" s="26"/>
      <c r="AA25" s="26"/>
      <c r="AB25" s="135">
        <f t="shared" si="2"/>
        <v>1</v>
      </c>
      <c r="AC25" s="26"/>
      <c r="AD25" s="26"/>
      <c r="AE25" s="134">
        <f t="shared" si="74"/>
        <v>0</v>
      </c>
      <c r="AF25" s="135">
        <f t="shared" si="4"/>
        <v>1</v>
      </c>
      <c r="AG25" s="26"/>
      <c r="AH25" s="134">
        <f t="shared" si="75"/>
        <v>0</v>
      </c>
      <c r="AI25" s="135">
        <f t="shared" si="6"/>
        <v>1</v>
      </c>
      <c r="AJ25" s="26"/>
      <c r="AK25" s="134">
        <f t="shared" si="76"/>
        <v>0</v>
      </c>
      <c r="AL25" s="135">
        <f t="shared" si="8"/>
        <v>1</v>
      </c>
      <c r="AM25" s="26"/>
      <c r="AN25" s="134">
        <f t="shared" si="77"/>
        <v>0</v>
      </c>
      <c r="AO25" s="135">
        <f t="shared" si="10"/>
        <v>1</v>
      </c>
      <c r="AP25" s="26"/>
      <c r="AQ25" s="134">
        <f t="shared" si="78"/>
        <v>0</v>
      </c>
      <c r="AR25" s="135">
        <f t="shared" si="12"/>
        <v>1</v>
      </c>
      <c r="AS25" s="26"/>
      <c r="AT25" s="134">
        <f t="shared" si="79"/>
        <v>0</v>
      </c>
      <c r="AU25" s="135">
        <f t="shared" si="14"/>
        <v>1</v>
      </c>
      <c r="AV25" s="26"/>
      <c r="AW25" s="134">
        <f t="shared" si="80"/>
        <v>0</v>
      </c>
      <c r="AX25" s="135">
        <f t="shared" si="16"/>
        <v>1</v>
      </c>
      <c r="AY25" s="26"/>
      <c r="AZ25" s="134">
        <f t="shared" si="81"/>
        <v>0</v>
      </c>
      <c r="BA25" s="135">
        <f t="shared" si="18"/>
        <v>1</v>
      </c>
      <c r="BB25" s="26"/>
      <c r="BC25" s="134">
        <f t="shared" si="82"/>
        <v>0</v>
      </c>
      <c r="BD25" s="135">
        <f t="shared" si="20"/>
        <v>1</v>
      </c>
      <c r="BE25" s="26"/>
      <c r="BF25" s="134">
        <f t="shared" si="83"/>
        <v>0</v>
      </c>
      <c r="BG25" s="135">
        <f t="shared" si="22"/>
        <v>1</v>
      </c>
      <c r="BH25" s="134"/>
      <c r="BI25" s="26"/>
      <c r="BJ25" s="26"/>
      <c r="BK25" s="135">
        <f>IF($AA$25=0,1,BJ25/$AA$25-1)</f>
        <v>1</v>
      </c>
      <c r="BL25" s="135">
        <f t="shared" si="24"/>
        <v>1</v>
      </c>
      <c r="BM25" s="167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</row>
    <row r="26" spans="1:206" s="62" customFormat="1" ht="18" customHeight="1">
      <c r="A26" s="436" t="s">
        <v>43</v>
      </c>
      <c r="B26" s="436"/>
      <c r="C26" s="26"/>
      <c r="D26" s="134">
        <f t="shared" si="63"/>
        <v>0</v>
      </c>
      <c r="E26" s="26"/>
      <c r="F26" s="26"/>
      <c r="G26" s="134">
        <f t="shared" si="64"/>
        <v>0</v>
      </c>
      <c r="H26" s="26"/>
      <c r="I26" s="134">
        <f t="shared" si="65"/>
        <v>0</v>
      </c>
      <c r="J26" s="26"/>
      <c r="K26" s="134">
        <f t="shared" si="66"/>
        <v>0</v>
      </c>
      <c r="L26" s="26"/>
      <c r="M26" s="134">
        <f t="shared" si="67"/>
        <v>0</v>
      </c>
      <c r="N26" s="26"/>
      <c r="O26" s="134">
        <f t="shared" si="68"/>
        <v>0</v>
      </c>
      <c r="P26" s="26"/>
      <c r="Q26" s="134">
        <f t="shared" si="69"/>
        <v>0</v>
      </c>
      <c r="R26" s="26"/>
      <c r="S26" s="134">
        <f t="shared" si="70"/>
        <v>0</v>
      </c>
      <c r="T26" s="26"/>
      <c r="U26" s="134">
        <f t="shared" si="71"/>
        <v>0</v>
      </c>
      <c r="V26" s="26"/>
      <c r="W26" s="134">
        <f t="shared" si="72"/>
        <v>0</v>
      </c>
      <c r="X26" s="26"/>
      <c r="Y26" s="134">
        <f t="shared" si="73"/>
        <v>0</v>
      </c>
      <c r="Z26" s="26"/>
      <c r="AA26" s="26"/>
      <c r="AB26" s="135">
        <f t="shared" si="2"/>
        <v>1</v>
      </c>
      <c r="AC26" s="26"/>
      <c r="AD26" s="26"/>
      <c r="AE26" s="134">
        <f t="shared" si="74"/>
        <v>0</v>
      </c>
      <c r="AF26" s="135">
        <f t="shared" si="4"/>
        <v>1</v>
      </c>
      <c r="AG26" s="26"/>
      <c r="AH26" s="134">
        <f t="shared" si="75"/>
        <v>0</v>
      </c>
      <c r="AI26" s="135">
        <f t="shared" si="6"/>
        <v>1</v>
      </c>
      <c r="AJ26" s="26"/>
      <c r="AK26" s="134">
        <f t="shared" si="76"/>
        <v>0</v>
      </c>
      <c r="AL26" s="135">
        <f t="shared" si="8"/>
        <v>1</v>
      </c>
      <c r="AM26" s="26"/>
      <c r="AN26" s="134">
        <f t="shared" si="77"/>
        <v>0</v>
      </c>
      <c r="AO26" s="135">
        <f t="shared" si="10"/>
        <v>1</v>
      </c>
      <c r="AP26" s="26"/>
      <c r="AQ26" s="134">
        <f t="shared" si="78"/>
        <v>0</v>
      </c>
      <c r="AR26" s="135">
        <f t="shared" si="12"/>
        <v>1</v>
      </c>
      <c r="AS26" s="26"/>
      <c r="AT26" s="134">
        <f t="shared" si="79"/>
        <v>0</v>
      </c>
      <c r="AU26" s="135">
        <f t="shared" si="14"/>
        <v>1</v>
      </c>
      <c r="AV26" s="26"/>
      <c r="AW26" s="134">
        <f t="shared" si="80"/>
        <v>0</v>
      </c>
      <c r="AX26" s="135">
        <f t="shared" si="16"/>
        <v>1</v>
      </c>
      <c r="AY26" s="26"/>
      <c r="AZ26" s="134">
        <f t="shared" si="81"/>
        <v>0</v>
      </c>
      <c r="BA26" s="135">
        <f t="shared" si="18"/>
        <v>1</v>
      </c>
      <c r="BB26" s="26"/>
      <c r="BC26" s="134">
        <f t="shared" si="82"/>
        <v>0</v>
      </c>
      <c r="BD26" s="135">
        <f t="shared" si="20"/>
        <v>1</v>
      </c>
      <c r="BE26" s="26"/>
      <c r="BF26" s="134">
        <f t="shared" si="83"/>
        <v>0</v>
      </c>
      <c r="BG26" s="135">
        <f t="shared" si="22"/>
        <v>1</v>
      </c>
      <c r="BH26" s="134"/>
      <c r="BI26" s="26"/>
      <c r="BJ26" s="26"/>
      <c r="BK26" s="135">
        <f>IF($AA$26=0,1,BJ26/$AA$26-1)</f>
        <v>1</v>
      </c>
      <c r="BL26" s="135">
        <f t="shared" si="24"/>
        <v>1</v>
      </c>
      <c r="BM26" s="167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</row>
    <row r="27" spans="1:206" s="59" customFormat="1" ht="18" customHeight="1">
      <c r="A27" s="437" t="s">
        <v>44</v>
      </c>
      <c r="B27" s="437"/>
      <c r="C27" s="132">
        <f t="shared" ref="C27" si="84">C28+C29+C31+C33+C35+C36</f>
        <v>0</v>
      </c>
      <c r="D27" s="132">
        <f>D28+D29+D31+D33+D35+D36</f>
        <v>0</v>
      </c>
      <c r="E27" s="132">
        <f t="shared" ref="E27:AA27" si="85">E28+E29+E31+E33+E35+E36</f>
        <v>0</v>
      </c>
      <c r="F27" s="132">
        <f t="shared" si="85"/>
        <v>0</v>
      </c>
      <c r="G27" s="132">
        <f t="shared" si="85"/>
        <v>0</v>
      </c>
      <c r="H27" s="132">
        <f t="shared" si="85"/>
        <v>0</v>
      </c>
      <c r="I27" s="132">
        <f t="shared" si="85"/>
        <v>0</v>
      </c>
      <c r="J27" s="132">
        <f t="shared" si="85"/>
        <v>0</v>
      </c>
      <c r="K27" s="132">
        <f t="shared" si="85"/>
        <v>0</v>
      </c>
      <c r="L27" s="132">
        <f t="shared" si="85"/>
        <v>0</v>
      </c>
      <c r="M27" s="132">
        <f t="shared" si="85"/>
        <v>0</v>
      </c>
      <c r="N27" s="132">
        <f t="shared" si="85"/>
        <v>0</v>
      </c>
      <c r="O27" s="132">
        <f t="shared" si="85"/>
        <v>0</v>
      </c>
      <c r="P27" s="132">
        <f t="shared" si="85"/>
        <v>0</v>
      </c>
      <c r="Q27" s="132">
        <f t="shared" si="85"/>
        <v>0</v>
      </c>
      <c r="R27" s="132">
        <f t="shared" si="85"/>
        <v>0</v>
      </c>
      <c r="S27" s="132">
        <f t="shared" si="85"/>
        <v>0</v>
      </c>
      <c r="T27" s="132">
        <f t="shared" si="85"/>
        <v>0</v>
      </c>
      <c r="U27" s="132">
        <f t="shared" si="85"/>
        <v>0</v>
      </c>
      <c r="V27" s="132">
        <f t="shared" si="85"/>
        <v>0</v>
      </c>
      <c r="W27" s="132">
        <f t="shared" si="85"/>
        <v>0</v>
      </c>
      <c r="X27" s="132">
        <f t="shared" si="85"/>
        <v>0</v>
      </c>
      <c r="Y27" s="132">
        <f t="shared" si="85"/>
        <v>0</v>
      </c>
      <c r="Z27" s="132">
        <f t="shared" si="85"/>
        <v>0</v>
      </c>
      <c r="AA27" s="132">
        <f t="shared" si="85"/>
        <v>0</v>
      </c>
      <c r="AB27" s="133">
        <f t="shared" si="2"/>
        <v>1</v>
      </c>
      <c r="AC27" s="132">
        <f t="shared" ref="AC27:BF27" si="86">AC28+AC29+AC31+AC33+AC35+AC36</f>
        <v>0</v>
      </c>
      <c r="AD27" s="132">
        <f t="shared" si="86"/>
        <v>0</v>
      </c>
      <c r="AE27" s="132">
        <f t="shared" si="86"/>
        <v>0</v>
      </c>
      <c r="AF27" s="133">
        <f t="shared" si="4"/>
        <v>1</v>
      </c>
      <c r="AG27" s="132">
        <f t="shared" ref="AG27" si="87">AG28+AG29+AG31+AG33+AG35+AG36</f>
        <v>0</v>
      </c>
      <c r="AH27" s="132">
        <f t="shared" si="86"/>
        <v>0</v>
      </c>
      <c r="AI27" s="133">
        <f t="shared" si="6"/>
        <v>1</v>
      </c>
      <c r="AJ27" s="132">
        <f t="shared" ref="AJ27" si="88">AJ28+AJ29+AJ31+AJ33+AJ35+AJ36</f>
        <v>0</v>
      </c>
      <c r="AK27" s="132">
        <f t="shared" si="86"/>
        <v>0</v>
      </c>
      <c r="AL27" s="133">
        <f t="shared" si="8"/>
        <v>1</v>
      </c>
      <c r="AM27" s="132">
        <f t="shared" ref="AM27" si="89">AM28+AM29+AM31+AM33+AM35+AM36</f>
        <v>0</v>
      </c>
      <c r="AN27" s="132">
        <f t="shared" si="86"/>
        <v>0</v>
      </c>
      <c r="AO27" s="133">
        <f t="shared" si="10"/>
        <v>1</v>
      </c>
      <c r="AP27" s="132">
        <f t="shared" ref="AP27" si="90">AP28+AP29+AP31+AP33+AP35+AP36</f>
        <v>0</v>
      </c>
      <c r="AQ27" s="132">
        <f t="shared" si="86"/>
        <v>0</v>
      </c>
      <c r="AR27" s="133">
        <f t="shared" si="12"/>
        <v>1</v>
      </c>
      <c r="AS27" s="132">
        <f t="shared" ref="AS27" si="91">AS28+AS29+AS31+AS33+AS35+AS36</f>
        <v>0</v>
      </c>
      <c r="AT27" s="132">
        <f t="shared" si="86"/>
        <v>0</v>
      </c>
      <c r="AU27" s="133">
        <f t="shared" si="14"/>
        <v>1</v>
      </c>
      <c r="AV27" s="132">
        <f t="shared" ref="AV27" si="92">AV28+AV29+AV31+AV33+AV35+AV36</f>
        <v>0</v>
      </c>
      <c r="AW27" s="132">
        <f t="shared" si="86"/>
        <v>0</v>
      </c>
      <c r="AX27" s="133">
        <f t="shared" si="16"/>
        <v>1</v>
      </c>
      <c r="AY27" s="132">
        <f t="shared" ref="AY27" si="93">AY28+AY29+AY31+AY33+AY35+AY36</f>
        <v>0</v>
      </c>
      <c r="AZ27" s="132">
        <f t="shared" si="86"/>
        <v>0</v>
      </c>
      <c r="BA27" s="133">
        <f t="shared" si="18"/>
        <v>1</v>
      </c>
      <c r="BB27" s="132">
        <f t="shared" ref="BB27" si="94">BB28+BB29+BB31+BB33+BB35+BB36</f>
        <v>0</v>
      </c>
      <c r="BC27" s="132">
        <f t="shared" si="86"/>
        <v>0</v>
      </c>
      <c r="BD27" s="133">
        <f t="shared" si="20"/>
        <v>1</v>
      </c>
      <c r="BE27" s="132">
        <f t="shared" ref="BE27" si="95">BE28+BE29+BE31+BE33+BE35+BE36</f>
        <v>0</v>
      </c>
      <c r="BF27" s="132">
        <f t="shared" si="86"/>
        <v>0</v>
      </c>
      <c r="BG27" s="133">
        <f t="shared" si="22"/>
        <v>1</v>
      </c>
      <c r="BH27" s="132">
        <f t="shared" ref="BH27:BJ27" si="96">BH28+BH29+BH31+BH33+BH35+BH36</f>
        <v>0</v>
      </c>
      <c r="BI27" s="132">
        <f t="shared" si="96"/>
        <v>0</v>
      </c>
      <c r="BJ27" s="132">
        <f t="shared" si="96"/>
        <v>0</v>
      </c>
      <c r="BK27" s="133">
        <f>IF($AA$27=0,1,BJ27/$AA$27-1)</f>
        <v>1</v>
      </c>
      <c r="BL27" s="133">
        <f t="shared" si="24"/>
        <v>1</v>
      </c>
      <c r="BM27" s="166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</row>
    <row r="28" spans="1:206" s="64" customFormat="1" ht="18" customHeight="1">
      <c r="A28" s="429" t="s">
        <v>94</v>
      </c>
      <c r="B28" s="429"/>
      <c r="C28" s="29"/>
      <c r="D28" s="134">
        <f t="shared" ref="D28:D36" si="97">E28+F28+H28+J28+L28+N28+P28+R28+T28+V28+X28+Z28</f>
        <v>0</v>
      </c>
      <c r="E28" s="29"/>
      <c r="F28" s="29"/>
      <c r="G28" s="134">
        <f t="shared" ref="G28:G36" si="98">E28+F28</f>
        <v>0</v>
      </c>
      <c r="H28" s="29"/>
      <c r="I28" s="134">
        <f t="shared" ref="I28:I36" si="99">G28+H28</f>
        <v>0</v>
      </c>
      <c r="J28" s="29"/>
      <c r="K28" s="134">
        <f t="shared" ref="K28:K36" si="100">I28+J28</f>
        <v>0</v>
      </c>
      <c r="L28" s="29"/>
      <c r="M28" s="134">
        <f t="shared" ref="M28:M36" si="101">K28+L28</f>
        <v>0</v>
      </c>
      <c r="N28" s="29"/>
      <c r="O28" s="134">
        <f t="shared" ref="O28:O36" si="102">M28+N28</f>
        <v>0</v>
      </c>
      <c r="P28" s="29"/>
      <c r="Q28" s="134">
        <f t="shared" ref="Q28:Q36" si="103">O28+P28</f>
        <v>0</v>
      </c>
      <c r="R28" s="29"/>
      <c r="S28" s="134">
        <f t="shared" ref="S28:S36" si="104">Q28+R28</f>
        <v>0</v>
      </c>
      <c r="T28" s="29"/>
      <c r="U28" s="134">
        <f t="shared" ref="U28:U36" si="105">S28+T28</f>
        <v>0</v>
      </c>
      <c r="V28" s="29"/>
      <c r="W28" s="134">
        <f t="shared" ref="W28:W36" si="106">U28+V28</f>
        <v>0</v>
      </c>
      <c r="X28" s="29"/>
      <c r="Y28" s="134">
        <f t="shared" ref="Y28:Y36" si="107">W28+X28</f>
        <v>0</v>
      </c>
      <c r="Z28" s="29"/>
      <c r="AA28" s="29"/>
      <c r="AB28" s="135">
        <f t="shared" si="2"/>
        <v>1</v>
      </c>
      <c r="AC28" s="29"/>
      <c r="AD28" s="29"/>
      <c r="AE28" s="134">
        <f t="shared" ref="AE28:AE36" si="108">AC28+AD28</f>
        <v>0</v>
      </c>
      <c r="AF28" s="135">
        <f t="shared" si="4"/>
        <v>1</v>
      </c>
      <c r="AG28" s="29"/>
      <c r="AH28" s="134">
        <f t="shared" ref="AH28:AH36" si="109">AE28+AG28</f>
        <v>0</v>
      </c>
      <c r="AI28" s="135">
        <f t="shared" si="6"/>
        <v>1</v>
      </c>
      <c r="AJ28" s="29"/>
      <c r="AK28" s="134">
        <f t="shared" ref="AK28:AK36" si="110">AH28+AJ28</f>
        <v>0</v>
      </c>
      <c r="AL28" s="135">
        <f t="shared" si="8"/>
        <v>1</v>
      </c>
      <c r="AM28" s="29"/>
      <c r="AN28" s="134">
        <f t="shared" ref="AN28:AN36" si="111">AK28+AM28</f>
        <v>0</v>
      </c>
      <c r="AO28" s="135">
        <f t="shared" si="10"/>
        <v>1</v>
      </c>
      <c r="AP28" s="29"/>
      <c r="AQ28" s="134">
        <f t="shared" ref="AQ28:AQ36" si="112">AN28+AP28</f>
        <v>0</v>
      </c>
      <c r="AR28" s="135">
        <f t="shared" si="12"/>
        <v>1</v>
      </c>
      <c r="AS28" s="29"/>
      <c r="AT28" s="134">
        <f t="shared" ref="AT28:AT36" si="113">AQ28+AS28</f>
        <v>0</v>
      </c>
      <c r="AU28" s="135">
        <f t="shared" si="14"/>
        <v>1</v>
      </c>
      <c r="AV28" s="29"/>
      <c r="AW28" s="134">
        <f t="shared" ref="AW28:AW36" si="114">AT28+AV28</f>
        <v>0</v>
      </c>
      <c r="AX28" s="135">
        <f t="shared" si="16"/>
        <v>1</v>
      </c>
      <c r="AY28" s="29"/>
      <c r="AZ28" s="134">
        <f t="shared" ref="AZ28:AZ36" si="115">AW28+AY28</f>
        <v>0</v>
      </c>
      <c r="BA28" s="135">
        <f t="shared" si="18"/>
        <v>1</v>
      </c>
      <c r="BB28" s="29"/>
      <c r="BC28" s="134">
        <f t="shared" ref="BC28:BC36" si="116">AZ28+BB28</f>
        <v>0</v>
      </c>
      <c r="BD28" s="135">
        <f t="shared" si="20"/>
        <v>1</v>
      </c>
      <c r="BE28" s="29"/>
      <c r="BF28" s="134">
        <f t="shared" ref="BF28:BF36" si="117">BC28+BE28</f>
        <v>0</v>
      </c>
      <c r="BG28" s="135">
        <f t="shared" si="22"/>
        <v>1</v>
      </c>
      <c r="BH28" s="134"/>
      <c r="BI28" s="26"/>
      <c r="BJ28" s="26"/>
      <c r="BK28" s="135">
        <f>IF($AA$28=0,1,BJ28/$AA$28-1)</f>
        <v>1</v>
      </c>
      <c r="BL28" s="135">
        <f t="shared" si="24"/>
        <v>1</v>
      </c>
      <c r="BM28" s="167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</row>
    <row r="29" spans="1:206" s="64" customFormat="1" ht="18" customHeight="1">
      <c r="A29" s="429" t="s">
        <v>45</v>
      </c>
      <c r="B29" s="429"/>
      <c r="C29" s="29"/>
      <c r="D29" s="134">
        <f t="shared" si="97"/>
        <v>0</v>
      </c>
      <c r="E29" s="29"/>
      <c r="F29" s="29"/>
      <c r="G29" s="134">
        <f t="shared" si="98"/>
        <v>0</v>
      </c>
      <c r="H29" s="29"/>
      <c r="I29" s="134">
        <f t="shared" si="99"/>
        <v>0</v>
      </c>
      <c r="J29" s="29"/>
      <c r="K29" s="134">
        <f t="shared" si="100"/>
        <v>0</v>
      </c>
      <c r="L29" s="29"/>
      <c r="M29" s="134">
        <f t="shared" si="101"/>
        <v>0</v>
      </c>
      <c r="N29" s="29"/>
      <c r="O29" s="134">
        <f t="shared" si="102"/>
        <v>0</v>
      </c>
      <c r="P29" s="29"/>
      <c r="Q29" s="134">
        <f t="shared" si="103"/>
        <v>0</v>
      </c>
      <c r="R29" s="29"/>
      <c r="S29" s="134">
        <f t="shared" si="104"/>
        <v>0</v>
      </c>
      <c r="T29" s="29"/>
      <c r="U29" s="134">
        <f t="shared" si="105"/>
        <v>0</v>
      </c>
      <c r="V29" s="29"/>
      <c r="W29" s="134">
        <f t="shared" si="106"/>
        <v>0</v>
      </c>
      <c r="X29" s="29"/>
      <c r="Y29" s="134">
        <f t="shared" si="107"/>
        <v>0</v>
      </c>
      <c r="Z29" s="29"/>
      <c r="AA29" s="29"/>
      <c r="AB29" s="135">
        <f t="shared" si="2"/>
        <v>1</v>
      </c>
      <c r="AC29" s="29"/>
      <c r="AD29" s="29"/>
      <c r="AE29" s="134">
        <f t="shared" si="108"/>
        <v>0</v>
      </c>
      <c r="AF29" s="135">
        <f t="shared" si="4"/>
        <v>1</v>
      </c>
      <c r="AG29" s="29"/>
      <c r="AH29" s="134">
        <f t="shared" si="109"/>
        <v>0</v>
      </c>
      <c r="AI29" s="135">
        <f t="shared" si="6"/>
        <v>1</v>
      </c>
      <c r="AJ29" s="29"/>
      <c r="AK29" s="134">
        <f t="shared" si="110"/>
        <v>0</v>
      </c>
      <c r="AL29" s="135">
        <f t="shared" si="8"/>
        <v>1</v>
      </c>
      <c r="AM29" s="29"/>
      <c r="AN29" s="134">
        <f t="shared" si="111"/>
        <v>0</v>
      </c>
      <c r="AO29" s="135">
        <f t="shared" si="10"/>
        <v>1</v>
      </c>
      <c r="AP29" s="29"/>
      <c r="AQ29" s="134">
        <f t="shared" si="112"/>
        <v>0</v>
      </c>
      <c r="AR29" s="135">
        <f t="shared" si="12"/>
        <v>1</v>
      </c>
      <c r="AS29" s="29"/>
      <c r="AT29" s="134">
        <f t="shared" si="113"/>
        <v>0</v>
      </c>
      <c r="AU29" s="135">
        <f t="shared" si="14"/>
        <v>1</v>
      </c>
      <c r="AV29" s="29"/>
      <c r="AW29" s="134">
        <f t="shared" si="114"/>
        <v>0</v>
      </c>
      <c r="AX29" s="135">
        <f t="shared" si="16"/>
        <v>1</v>
      </c>
      <c r="AY29" s="29"/>
      <c r="AZ29" s="134">
        <f t="shared" si="115"/>
        <v>0</v>
      </c>
      <c r="BA29" s="135">
        <f t="shared" si="18"/>
        <v>1</v>
      </c>
      <c r="BB29" s="29"/>
      <c r="BC29" s="134">
        <f t="shared" si="116"/>
        <v>0</v>
      </c>
      <c r="BD29" s="135">
        <f t="shared" si="20"/>
        <v>1</v>
      </c>
      <c r="BE29" s="29"/>
      <c r="BF29" s="134">
        <f t="shared" si="117"/>
        <v>0</v>
      </c>
      <c r="BG29" s="135">
        <f t="shared" si="22"/>
        <v>1</v>
      </c>
      <c r="BH29" s="134"/>
      <c r="BI29" s="26"/>
      <c r="BJ29" s="26"/>
      <c r="BK29" s="135">
        <f>IF($AA$29=0,1,BJ29/$AA$29-1)</f>
        <v>1</v>
      </c>
      <c r="BL29" s="135">
        <f t="shared" si="24"/>
        <v>1</v>
      </c>
      <c r="BM29" s="167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</row>
    <row r="30" spans="1:206" s="64" customFormat="1" ht="18" customHeight="1">
      <c r="A30" s="429" t="s">
        <v>91</v>
      </c>
      <c r="B30" s="429"/>
      <c r="C30" s="29"/>
      <c r="D30" s="134">
        <f t="shared" si="97"/>
        <v>0</v>
      </c>
      <c r="E30" s="30"/>
      <c r="F30" s="30"/>
      <c r="G30" s="134">
        <f t="shared" si="98"/>
        <v>0</v>
      </c>
      <c r="H30" s="30"/>
      <c r="I30" s="134">
        <f t="shared" si="99"/>
        <v>0</v>
      </c>
      <c r="J30" s="30"/>
      <c r="K30" s="134">
        <f t="shared" si="100"/>
        <v>0</v>
      </c>
      <c r="L30" s="30"/>
      <c r="M30" s="134">
        <f t="shared" si="101"/>
        <v>0</v>
      </c>
      <c r="N30" s="30"/>
      <c r="O30" s="134">
        <f t="shared" si="102"/>
        <v>0</v>
      </c>
      <c r="P30" s="30"/>
      <c r="Q30" s="134">
        <f t="shared" si="103"/>
        <v>0</v>
      </c>
      <c r="R30" s="30"/>
      <c r="S30" s="134">
        <f t="shared" si="104"/>
        <v>0</v>
      </c>
      <c r="T30" s="30"/>
      <c r="U30" s="134">
        <f t="shared" si="105"/>
        <v>0</v>
      </c>
      <c r="V30" s="30"/>
      <c r="W30" s="134">
        <f t="shared" si="106"/>
        <v>0</v>
      </c>
      <c r="X30" s="30"/>
      <c r="Y30" s="134">
        <f t="shared" si="107"/>
        <v>0</v>
      </c>
      <c r="Z30" s="30"/>
      <c r="AA30" s="30"/>
      <c r="AB30" s="135">
        <f t="shared" si="2"/>
        <v>1</v>
      </c>
      <c r="AC30" s="30"/>
      <c r="AD30" s="30"/>
      <c r="AE30" s="134">
        <f t="shared" si="108"/>
        <v>0</v>
      </c>
      <c r="AF30" s="135">
        <f t="shared" si="4"/>
        <v>1</v>
      </c>
      <c r="AG30" s="30"/>
      <c r="AH30" s="134">
        <f t="shared" si="109"/>
        <v>0</v>
      </c>
      <c r="AI30" s="135">
        <f t="shared" si="6"/>
        <v>1</v>
      </c>
      <c r="AJ30" s="30"/>
      <c r="AK30" s="134">
        <f t="shared" si="110"/>
        <v>0</v>
      </c>
      <c r="AL30" s="135">
        <f t="shared" si="8"/>
        <v>1</v>
      </c>
      <c r="AM30" s="30"/>
      <c r="AN30" s="134">
        <f t="shared" si="111"/>
        <v>0</v>
      </c>
      <c r="AO30" s="135">
        <f t="shared" si="10"/>
        <v>1</v>
      </c>
      <c r="AP30" s="30"/>
      <c r="AQ30" s="134">
        <f t="shared" si="112"/>
        <v>0</v>
      </c>
      <c r="AR30" s="135">
        <f t="shared" si="12"/>
        <v>1</v>
      </c>
      <c r="AS30" s="30"/>
      <c r="AT30" s="134">
        <f t="shared" si="113"/>
        <v>0</v>
      </c>
      <c r="AU30" s="135">
        <f t="shared" si="14"/>
        <v>1</v>
      </c>
      <c r="AV30" s="30"/>
      <c r="AW30" s="134">
        <f t="shared" si="114"/>
        <v>0</v>
      </c>
      <c r="AX30" s="135">
        <f t="shared" si="16"/>
        <v>1</v>
      </c>
      <c r="AY30" s="30"/>
      <c r="AZ30" s="134">
        <f t="shared" si="115"/>
        <v>0</v>
      </c>
      <c r="BA30" s="135">
        <f t="shared" si="18"/>
        <v>1</v>
      </c>
      <c r="BB30" s="30"/>
      <c r="BC30" s="134">
        <f t="shared" si="116"/>
        <v>0</v>
      </c>
      <c r="BD30" s="135">
        <f t="shared" si="20"/>
        <v>1</v>
      </c>
      <c r="BE30" s="30"/>
      <c r="BF30" s="134">
        <f t="shared" si="117"/>
        <v>0</v>
      </c>
      <c r="BG30" s="135">
        <f t="shared" si="22"/>
        <v>1</v>
      </c>
      <c r="BH30" s="134"/>
      <c r="BI30" s="26"/>
      <c r="BJ30" s="26"/>
      <c r="BK30" s="135">
        <f>IF($AA$30=0,1,BJ30/$AA$30-1)</f>
        <v>1</v>
      </c>
      <c r="BL30" s="135">
        <f t="shared" si="24"/>
        <v>1</v>
      </c>
      <c r="BM30" s="167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</row>
    <row r="31" spans="1:206" s="64" customFormat="1" ht="18" customHeight="1">
      <c r="A31" s="429" t="s">
        <v>46</v>
      </c>
      <c r="B31" s="429"/>
      <c r="C31" s="29"/>
      <c r="D31" s="134">
        <f t="shared" si="97"/>
        <v>0</v>
      </c>
      <c r="E31" s="30"/>
      <c r="F31" s="30"/>
      <c r="G31" s="134">
        <f t="shared" si="98"/>
        <v>0</v>
      </c>
      <c r="H31" s="30"/>
      <c r="I31" s="134">
        <f t="shared" si="99"/>
        <v>0</v>
      </c>
      <c r="J31" s="30"/>
      <c r="K31" s="134">
        <f t="shared" si="100"/>
        <v>0</v>
      </c>
      <c r="L31" s="30"/>
      <c r="M31" s="134">
        <f t="shared" si="101"/>
        <v>0</v>
      </c>
      <c r="N31" s="30"/>
      <c r="O31" s="134">
        <f t="shared" si="102"/>
        <v>0</v>
      </c>
      <c r="P31" s="30"/>
      <c r="Q31" s="134">
        <f t="shared" si="103"/>
        <v>0</v>
      </c>
      <c r="R31" s="30"/>
      <c r="S31" s="134">
        <f t="shared" si="104"/>
        <v>0</v>
      </c>
      <c r="T31" s="30"/>
      <c r="U31" s="134">
        <f t="shared" si="105"/>
        <v>0</v>
      </c>
      <c r="V31" s="30"/>
      <c r="W31" s="134">
        <f t="shared" si="106"/>
        <v>0</v>
      </c>
      <c r="X31" s="30"/>
      <c r="Y31" s="134">
        <f t="shared" si="107"/>
        <v>0</v>
      </c>
      <c r="Z31" s="30"/>
      <c r="AA31" s="30"/>
      <c r="AB31" s="135">
        <f t="shared" si="2"/>
        <v>1</v>
      </c>
      <c r="AC31" s="30"/>
      <c r="AD31" s="30"/>
      <c r="AE31" s="134">
        <f t="shared" si="108"/>
        <v>0</v>
      </c>
      <c r="AF31" s="135">
        <f t="shared" si="4"/>
        <v>1</v>
      </c>
      <c r="AG31" s="30"/>
      <c r="AH31" s="134">
        <f t="shared" si="109"/>
        <v>0</v>
      </c>
      <c r="AI31" s="135">
        <f t="shared" si="6"/>
        <v>1</v>
      </c>
      <c r="AJ31" s="30"/>
      <c r="AK31" s="134">
        <f t="shared" si="110"/>
        <v>0</v>
      </c>
      <c r="AL31" s="135">
        <f t="shared" si="8"/>
        <v>1</v>
      </c>
      <c r="AM31" s="30"/>
      <c r="AN31" s="134">
        <f t="shared" si="111"/>
        <v>0</v>
      </c>
      <c r="AO31" s="135">
        <f t="shared" si="10"/>
        <v>1</v>
      </c>
      <c r="AP31" s="30"/>
      <c r="AQ31" s="134">
        <f t="shared" si="112"/>
        <v>0</v>
      </c>
      <c r="AR31" s="135">
        <f t="shared" si="12"/>
        <v>1</v>
      </c>
      <c r="AS31" s="30"/>
      <c r="AT31" s="134">
        <f t="shared" si="113"/>
        <v>0</v>
      </c>
      <c r="AU31" s="135">
        <f t="shared" si="14"/>
        <v>1</v>
      </c>
      <c r="AV31" s="30"/>
      <c r="AW31" s="134">
        <f t="shared" si="114"/>
        <v>0</v>
      </c>
      <c r="AX31" s="135">
        <f t="shared" si="16"/>
        <v>1</v>
      </c>
      <c r="AY31" s="30"/>
      <c r="AZ31" s="134">
        <f t="shared" si="115"/>
        <v>0</v>
      </c>
      <c r="BA31" s="135">
        <f t="shared" si="18"/>
        <v>1</v>
      </c>
      <c r="BB31" s="30"/>
      <c r="BC31" s="134">
        <f t="shared" si="116"/>
        <v>0</v>
      </c>
      <c r="BD31" s="135">
        <f t="shared" si="20"/>
        <v>1</v>
      </c>
      <c r="BE31" s="30"/>
      <c r="BF31" s="134">
        <f t="shared" si="117"/>
        <v>0</v>
      </c>
      <c r="BG31" s="135">
        <f t="shared" si="22"/>
        <v>1</v>
      </c>
      <c r="BH31" s="134"/>
      <c r="BI31" s="26"/>
      <c r="BJ31" s="26"/>
      <c r="BK31" s="135">
        <f>IF($AA$31=0,1,BJ31/$AA$31-1)</f>
        <v>1</v>
      </c>
      <c r="BL31" s="135">
        <f t="shared" si="24"/>
        <v>1</v>
      </c>
      <c r="BM31" s="167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</row>
    <row r="32" spans="1:206" s="64" customFormat="1" ht="18" customHeight="1">
      <c r="A32" s="429" t="s">
        <v>92</v>
      </c>
      <c r="B32" s="429"/>
      <c r="C32" s="29"/>
      <c r="D32" s="134">
        <f t="shared" si="97"/>
        <v>0</v>
      </c>
      <c r="E32" s="30"/>
      <c r="F32" s="30"/>
      <c r="G32" s="134">
        <f t="shared" si="98"/>
        <v>0</v>
      </c>
      <c r="H32" s="30"/>
      <c r="I32" s="134">
        <f t="shared" si="99"/>
        <v>0</v>
      </c>
      <c r="J32" s="30"/>
      <c r="K32" s="134">
        <f t="shared" si="100"/>
        <v>0</v>
      </c>
      <c r="L32" s="30"/>
      <c r="M32" s="134">
        <f t="shared" si="101"/>
        <v>0</v>
      </c>
      <c r="N32" s="30"/>
      <c r="O32" s="134">
        <f t="shared" si="102"/>
        <v>0</v>
      </c>
      <c r="P32" s="30"/>
      <c r="Q32" s="134">
        <f t="shared" si="103"/>
        <v>0</v>
      </c>
      <c r="R32" s="30"/>
      <c r="S32" s="134">
        <f t="shared" si="104"/>
        <v>0</v>
      </c>
      <c r="T32" s="30"/>
      <c r="U32" s="134">
        <f t="shared" si="105"/>
        <v>0</v>
      </c>
      <c r="V32" s="30"/>
      <c r="W32" s="134">
        <f t="shared" si="106"/>
        <v>0</v>
      </c>
      <c r="X32" s="30"/>
      <c r="Y32" s="134">
        <f t="shared" si="107"/>
        <v>0</v>
      </c>
      <c r="Z32" s="30"/>
      <c r="AA32" s="30"/>
      <c r="AB32" s="135">
        <f t="shared" si="2"/>
        <v>1</v>
      </c>
      <c r="AC32" s="30"/>
      <c r="AD32" s="30"/>
      <c r="AE32" s="134">
        <f t="shared" si="108"/>
        <v>0</v>
      </c>
      <c r="AF32" s="135">
        <f t="shared" si="4"/>
        <v>1</v>
      </c>
      <c r="AG32" s="30"/>
      <c r="AH32" s="134">
        <f t="shared" si="109"/>
        <v>0</v>
      </c>
      <c r="AI32" s="135">
        <f t="shared" si="6"/>
        <v>1</v>
      </c>
      <c r="AJ32" s="30"/>
      <c r="AK32" s="134">
        <f t="shared" si="110"/>
        <v>0</v>
      </c>
      <c r="AL32" s="135">
        <f t="shared" si="8"/>
        <v>1</v>
      </c>
      <c r="AM32" s="30"/>
      <c r="AN32" s="134">
        <f t="shared" si="111"/>
        <v>0</v>
      </c>
      <c r="AO32" s="135">
        <f t="shared" si="10"/>
        <v>1</v>
      </c>
      <c r="AP32" s="30"/>
      <c r="AQ32" s="134">
        <f t="shared" si="112"/>
        <v>0</v>
      </c>
      <c r="AR32" s="135">
        <f t="shared" si="12"/>
        <v>1</v>
      </c>
      <c r="AS32" s="30"/>
      <c r="AT32" s="134">
        <f t="shared" si="113"/>
        <v>0</v>
      </c>
      <c r="AU32" s="135">
        <f t="shared" si="14"/>
        <v>1</v>
      </c>
      <c r="AV32" s="30"/>
      <c r="AW32" s="134">
        <f t="shared" si="114"/>
        <v>0</v>
      </c>
      <c r="AX32" s="135">
        <f t="shared" si="16"/>
        <v>1</v>
      </c>
      <c r="AY32" s="30"/>
      <c r="AZ32" s="134">
        <f t="shared" si="115"/>
        <v>0</v>
      </c>
      <c r="BA32" s="135">
        <f t="shared" si="18"/>
        <v>1</v>
      </c>
      <c r="BB32" s="30"/>
      <c r="BC32" s="134">
        <f t="shared" si="116"/>
        <v>0</v>
      </c>
      <c r="BD32" s="135">
        <f t="shared" si="20"/>
        <v>1</v>
      </c>
      <c r="BE32" s="30"/>
      <c r="BF32" s="134">
        <f t="shared" si="117"/>
        <v>0</v>
      </c>
      <c r="BG32" s="135">
        <f t="shared" si="22"/>
        <v>1</v>
      </c>
      <c r="BH32" s="134"/>
      <c r="BI32" s="26"/>
      <c r="BJ32" s="26"/>
      <c r="BK32" s="135">
        <f>IF($AA$32=0,1,BJ32/$AA$32-1)</f>
        <v>1</v>
      </c>
      <c r="BL32" s="135">
        <f t="shared" si="24"/>
        <v>1</v>
      </c>
      <c r="BM32" s="167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</row>
    <row r="33" spans="1:206" s="66" customFormat="1" ht="18" customHeight="1">
      <c r="A33" s="429" t="s">
        <v>142</v>
      </c>
      <c r="B33" s="429"/>
      <c r="C33" s="29"/>
      <c r="D33" s="134">
        <f t="shared" si="97"/>
        <v>0</v>
      </c>
      <c r="E33" s="29"/>
      <c r="F33" s="29"/>
      <c r="G33" s="134">
        <f t="shared" si="98"/>
        <v>0</v>
      </c>
      <c r="H33" s="29"/>
      <c r="I33" s="134">
        <f t="shared" si="99"/>
        <v>0</v>
      </c>
      <c r="J33" s="29"/>
      <c r="K33" s="134">
        <f t="shared" si="100"/>
        <v>0</v>
      </c>
      <c r="L33" s="29"/>
      <c r="M33" s="134">
        <f t="shared" si="101"/>
        <v>0</v>
      </c>
      <c r="N33" s="29"/>
      <c r="O33" s="134">
        <f t="shared" si="102"/>
        <v>0</v>
      </c>
      <c r="P33" s="29"/>
      <c r="Q33" s="134">
        <f t="shared" si="103"/>
        <v>0</v>
      </c>
      <c r="R33" s="29"/>
      <c r="S33" s="134">
        <f t="shared" si="104"/>
        <v>0</v>
      </c>
      <c r="T33" s="29"/>
      <c r="U33" s="134">
        <f t="shared" si="105"/>
        <v>0</v>
      </c>
      <c r="V33" s="29"/>
      <c r="W33" s="134">
        <f t="shared" si="106"/>
        <v>0</v>
      </c>
      <c r="X33" s="29"/>
      <c r="Y33" s="134">
        <f t="shared" si="107"/>
        <v>0</v>
      </c>
      <c r="Z33" s="29"/>
      <c r="AA33" s="29"/>
      <c r="AB33" s="135">
        <f t="shared" si="2"/>
        <v>1</v>
      </c>
      <c r="AC33" s="29"/>
      <c r="AD33" s="29"/>
      <c r="AE33" s="134">
        <f t="shared" si="108"/>
        <v>0</v>
      </c>
      <c r="AF33" s="135">
        <f t="shared" si="4"/>
        <v>1</v>
      </c>
      <c r="AG33" s="29"/>
      <c r="AH33" s="134">
        <f t="shared" si="109"/>
        <v>0</v>
      </c>
      <c r="AI33" s="135">
        <f t="shared" si="6"/>
        <v>1</v>
      </c>
      <c r="AJ33" s="29"/>
      <c r="AK33" s="134">
        <f t="shared" si="110"/>
        <v>0</v>
      </c>
      <c r="AL33" s="135">
        <f t="shared" si="8"/>
        <v>1</v>
      </c>
      <c r="AM33" s="29"/>
      <c r="AN33" s="134">
        <f t="shared" si="111"/>
        <v>0</v>
      </c>
      <c r="AO33" s="135">
        <f t="shared" si="10"/>
        <v>1</v>
      </c>
      <c r="AP33" s="29"/>
      <c r="AQ33" s="134">
        <f t="shared" si="112"/>
        <v>0</v>
      </c>
      <c r="AR33" s="135">
        <f t="shared" si="12"/>
        <v>1</v>
      </c>
      <c r="AS33" s="29"/>
      <c r="AT33" s="134">
        <f t="shared" si="113"/>
        <v>0</v>
      </c>
      <c r="AU33" s="135">
        <f t="shared" si="14"/>
        <v>1</v>
      </c>
      <c r="AV33" s="29"/>
      <c r="AW33" s="134">
        <f t="shared" si="114"/>
        <v>0</v>
      </c>
      <c r="AX33" s="135">
        <f t="shared" si="16"/>
        <v>1</v>
      </c>
      <c r="AY33" s="29"/>
      <c r="AZ33" s="134">
        <f t="shared" si="115"/>
        <v>0</v>
      </c>
      <c r="BA33" s="135">
        <f t="shared" si="18"/>
        <v>1</v>
      </c>
      <c r="BB33" s="29"/>
      <c r="BC33" s="134">
        <f t="shared" si="116"/>
        <v>0</v>
      </c>
      <c r="BD33" s="135">
        <f t="shared" si="20"/>
        <v>1</v>
      </c>
      <c r="BE33" s="29"/>
      <c r="BF33" s="134">
        <f t="shared" si="117"/>
        <v>0</v>
      </c>
      <c r="BG33" s="135">
        <f t="shared" si="22"/>
        <v>1</v>
      </c>
      <c r="BH33" s="134"/>
      <c r="BI33" s="26"/>
      <c r="BJ33" s="26"/>
      <c r="BK33" s="135">
        <f>IF($AA$33=0,1,BJ33/$AA$33-1)</f>
        <v>1</v>
      </c>
      <c r="BL33" s="135">
        <f t="shared" si="24"/>
        <v>1</v>
      </c>
      <c r="BM33" s="167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</row>
    <row r="34" spans="1:206" s="66" customFormat="1" ht="33" customHeight="1">
      <c r="A34" s="429" t="s">
        <v>118</v>
      </c>
      <c r="B34" s="429"/>
      <c r="C34" s="29"/>
      <c r="D34" s="134">
        <f t="shared" si="97"/>
        <v>0</v>
      </c>
      <c r="E34" s="29"/>
      <c r="F34" s="29"/>
      <c r="G34" s="134">
        <f t="shared" si="98"/>
        <v>0</v>
      </c>
      <c r="H34" s="29"/>
      <c r="I34" s="134">
        <f t="shared" si="99"/>
        <v>0</v>
      </c>
      <c r="J34" s="29"/>
      <c r="K34" s="134">
        <f t="shared" si="100"/>
        <v>0</v>
      </c>
      <c r="L34" s="29"/>
      <c r="M34" s="134">
        <f t="shared" si="101"/>
        <v>0</v>
      </c>
      <c r="N34" s="29"/>
      <c r="O34" s="134">
        <f t="shared" si="102"/>
        <v>0</v>
      </c>
      <c r="P34" s="29"/>
      <c r="Q34" s="134">
        <f t="shared" si="103"/>
        <v>0</v>
      </c>
      <c r="R34" s="29"/>
      <c r="S34" s="134">
        <f t="shared" si="104"/>
        <v>0</v>
      </c>
      <c r="T34" s="29"/>
      <c r="U34" s="134">
        <f t="shared" si="105"/>
        <v>0</v>
      </c>
      <c r="V34" s="29"/>
      <c r="W34" s="134">
        <f t="shared" si="106"/>
        <v>0</v>
      </c>
      <c r="X34" s="29"/>
      <c r="Y34" s="134">
        <f t="shared" si="107"/>
        <v>0</v>
      </c>
      <c r="Z34" s="29"/>
      <c r="AA34" s="29"/>
      <c r="AB34" s="135">
        <f t="shared" si="2"/>
        <v>1</v>
      </c>
      <c r="AC34" s="29"/>
      <c r="AD34" s="29"/>
      <c r="AE34" s="134">
        <f t="shared" si="108"/>
        <v>0</v>
      </c>
      <c r="AF34" s="135">
        <f t="shared" si="4"/>
        <v>1</v>
      </c>
      <c r="AG34" s="29"/>
      <c r="AH34" s="134">
        <f t="shared" si="109"/>
        <v>0</v>
      </c>
      <c r="AI34" s="135">
        <f t="shared" si="6"/>
        <v>1</v>
      </c>
      <c r="AJ34" s="29"/>
      <c r="AK34" s="134">
        <f t="shared" si="110"/>
        <v>0</v>
      </c>
      <c r="AL34" s="135">
        <f t="shared" si="8"/>
        <v>1</v>
      </c>
      <c r="AM34" s="29"/>
      <c r="AN34" s="134">
        <f t="shared" si="111"/>
        <v>0</v>
      </c>
      <c r="AO34" s="135">
        <f t="shared" si="10"/>
        <v>1</v>
      </c>
      <c r="AP34" s="29"/>
      <c r="AQ34" s="134">
        <f t="shared" si="112"/>
        <v>0</v>
      </c>
      <c r="AR34" s="135">
        <f t="shared" si="12"/>
        <v>1</v>
      </c>
      <c r="AS34" s="29"/>
      <c r="AT34" s="134">
        <f t="shared" si="113"/>
        <v>0</v>
      </c>
      <c r="AU34" s="135">
        <f t="shared" si="14"/>
        <v>1</v>
      </c>
      <c r="AV34" s="29"/>
      <c r="AW34" s="134">
        <f t="shared" si="114"/>
        <v>0</v>
      </c>
      <c r="AX34" s="135">
        <f t="shared" si="16"/>
        <v>1</v>
      </c>
      <c r="AY34" s="29"/>
      <c r="AZ34" s="134">
        <f t="shared" si="115"/>
        <v>0</v>
      </c>
      <c r="BA34" s="135">
        <f t="shared" si="18"/>
        <v>1</v>
      </c>
      <c r="BB34" s="29"/>
      <c r="BC34" s="134">
        <f t="shared" si="116"/>
        <v>0</v>
      </c>
      <c r="BD34" s="135">
        <f t="shared" si="20"/>
        <v>1</v>
      </c>
      <c r="BE34" s="29"/>
      <c r="BF34" s="134">
        <f t="shared" si="117"/>
        <v>0</v>
      </c>
      <c r="BG34" s="135">
        <f t="shared" si="22"/>
        <v>1</v>
      </c>
      <c r="BH34" s="134"/>
      <c r="BI34" s="26"/>
      <c r="BJ34" s="26"/>
      <c r="BK34" s="135">
        <f>IF($AA$34=0,1,BJ34/$AA$34-1)</f>
        <v>1</v>
      </c>
      <c r="BL34" s="135">
        <f t="shared" si="24"/>
        <v>1</v>
      </c>
      <c r="BM34" s="167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</row>
    <row r="35" spans="1:206" s="66" customFormat="1" ht="18" customHeight="1">
      <c r="A35" s="429" t="s">
        <v>48</v>
      </c>
      <c r="B35" s="429"/>
      <c r="C35" s="29"/>
      <c r="D35" s="134">
        <f t="shared" si="97"/>
        <v>0</v>
      </c>
      <c r="E35" s="29"/>
      <c r="F35" s="29"/>
      <c r="G35" s="134">
        <f t="shared" si="98"/>
        <v>0</v>
      </c>
      <c r="H35" s="29"/>
      <c r="I35" s="134">
        <f t="shared" si="99"/>
        <v>0</v>
      </c>
      <c r="J35" s="29"/>
      <c r="K35" s="134">
        <f t="shared" si="100"/>
        <v>0</v>
      </c>
      <c r="L35" s="29"/>
      <c r="M35" s="134">
        <f t="shared" si="101"/>
        <v>0</v>
      </c>
      <c r="N35" s="29"/>
      <c r="O35" s="134">
        <f t="shared" si="102"/>
        <v>0</v>
      </c>
      <c r="P35" s="29"/>
      <c r="Q35" s="134">
        <f t="shared" si="103"/>
        <v>0</v>
      </c>
      <c r="R35" s="29"/>
      <c r="S35" s="134">
        <f t="shared" si="104"/>
        <v>0</v>
      </c>
      <c r="T35" s="29"/>
      <c r="U35" s="134">
        <f t="shared" si="105"/>
        <v>0</v>
      </c>
      <c r="V35" s="29"/>
      <c r="W35" s="134">
        <f t="shared" si="106"/>
        <v>0</v>
      </c>
      <c r="X35" s="29"/>
      <c r="Y35" s="134">
        <f t="shared" si="107"/>
        <v>0</v>
      </c>
      <c r="Z35" s="29"/>
      <c r="AA35" s="29"/>
      <c r="AB35" s="135">
        <f t="shared" si="2"/>
        <v>1</v>
      </c>
      <c r="AC35" s="29"/>
      <c r="AD35" s="29"/>
      <c r="AE35" s="134">
        <f t="shared" si="108"/>
        <v>0</v>
      </c>
      <c r="AF35" s="135">
        <f t="shared" si="4"/>
        <v>1</v>
      </c>
      <c r="AG35" s="29"/>
      <c r="AH35" s="134">
        <f t="shared" si="109"/>
        <v>0</v>
      </c>
      <c r="AI35" s="135">
        <f t="shared" si="6"/>
        <v>1</v>
      </c>
      <c r="AJ35" s="29"/>
      <c r="AK35" s="134">
        <f t="shared" si="110"/>
        <v>0</v>
      </c>
      <c r="AL35" s="135">
        <f t="shared" si="8"/>
        <v>1</v>
      </c>
      <c r="AM35" s="29"/>
      <c r="AN35" s="134">
        <f t="shared" si="111"/>
        <v>0</v>
      </c>
      <c r="AO35" s="135">
        <f t="shared" si="10"/>
        <v>1</v>
      </c>
      <c r="AP35" s="29"/>
      <c r="AQ35" s="134">
        <f t="shared" si="112"/>
        <v>0</v>
      </c>
      <c r="AR35" s="135">
        <f t="shared" si="12"/>
        <v>1</v>
      </c>
      <c r="AS35" s="29"/>
      <c r="AT35" s="134">
        <f t="shared" si="113"/>
        <v>0</v>
      </c>
      <c r="AU35" s="135">
        <f t="shared" si="14"/>
        <v>1</v>
      </c>
      <c r="AV35" s="29"/>
      <c r="AW35" s="134">
        <f t="shared" si="114"/>
        <v>0</v>
      </c>
      <c r="AX35" s="135">
        <f t="shared" si="16"/>
        <v>1</v>
      </c>
      <c r="AY35" s="29"/>
      <c r="AZ35" s="134">
        <f t="shared" si="115"/>
        <v>0</v>
      </c>
      <c r="BA35" s="135">
        <f t="shared" si="18"/>
        <v>1</v>
      </c>
      <c r="BB35" s="29"/>
      <c r="BC35" s="134">
        <f t="shared" si="116"/>
        <v>0</v>
      </c>
      <c r="BD35" s="135">
        <f t="shared" si="20"/>
        <v>1</v>
      </c>
      <c r="BE35" s="29"/>
      <c r="BF35" s="134">
        <f t="shared" si="117"/>
        <v>0</v>
      </c>
      <c r="BG35" s="135">
        <f t="shared" si="22"/>
        <v>1</v>
      </c>
      <c r="BH35" s="134"/>
      <c r="BI35" s="26"/>
      <c r="BJ35" s="26"/>
      <c r="BK35" s="135">
        <f>IF($AA$35=0,1,BJ35/$AA$35-1)</f>
        <v>1</v>
      </c>
      <c r="BL35" s="135">
        <f t="shared" si="24"/>
        <v>1</v>
      </c>
      <c r="BM35" s="167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</row>
    <row r="36" spans="1:206" s="66" customFormat="1" ht="18" customHeight="1">
      <c r="A36" s="429" t="s">
        <v>93</v>
      </c>
      <c r="B36" s="429"/>
      <c r="C36" s="29"/>
      <c r="D36" s="134">
        <f t="shared" si="97"/>
        <v>0</v>
      </c>
      <c r="E36" s="29"/>
      <c r="F36" s="29"/>
      <c r="G36" s="134">
        <f t="shared" si="98"/>
        <v>0</v>
      </c>
      <c r="H36" s="29"/>
      <c r="I36" s="134">
        <f t="shared" si="99"/>
        <v>0</v>
      </c>
      <c r="J36" s="29"/>
      <c r="K36" s="134">
        <f t="shared" si="100"/>
        <v>0</v>
      </c>
      <c r="L36" s="29"/>
      <c r="M36" s="134">
        <f t="shared" si="101"/>
        <v>0</v>
      </c>
      <c r="N36" s="29"/>
      <c r="O36" s="134">
        <f t="shared" si="102"/>
        <v>0</v>
      </c>
      <c r="P36" s="29"/>
      <c r="Q36" s="134">
        <f t="shared" si="103"/>
        <v>0</v>
      </c>
      <c r="R36" s="29"/>
      <c r="S36" s="134">
        <f t="shared" si="104"/>
        <v>0</v>
      </c>
      <c r="T36" s="29"/>
      <c r="U36" s="134">
        <f t="shared" si="105"/>
        <v>0</v>
      </c>
      <c r="V36" s="29"/>
      <c r="W36" s="134">
        <f t="shared" si="106"/>
        <v>0</v>
      </c>
      <c r="X36" s="29"/>
      <c r="Y36" s="134">
        <f t="shared" si="107"/>
        <v>0</v>
      </c>
      <c r="Z36" s="29"/>
      <c r="AA36" s="29"/>
      <c r="AB36" s="135">
        <f t="shared" si="2"/>
        <v>1</v>
      </c>
      <c r="AC36" s="29"/>
      <c r="AD36" s="29"/>
      <c r="AE36" s="134">
        <f t="shared" si="108"/>
        <v>0</v>
      </c>
      <c r="AF36" s="135">
        <f t="shared" si="4"/>
        <v>1</v>
      </c>
      <c r="AG36" s="29"/>
      <c r="AH36" s="134">
        <f t="shared" si="109"/>
        <v>0</v>
      </c>
      <c r="AI36" s="135">
        <f t="shared" si="6"/>
        <v>1</v>
      </c>
      <c r="AJ36" s="29"/>
      <c r="AK36" s="134">
        <f t="shared" si="110"/>
        <v>0</v>
      </c>
      <c r="AL36" s="135">
        <f t="shared" si="8"/>
        <v>1</v>
      </c>
      <c r="AM36" s="29"/>
      <c r="AN36" s="134">
        <f t="shared" si="111"/>
        <v>0</v>
      </c>
      <c r="AO36" s="135">
        <f t="shared" si="10"/>
        <v>1</v>
      </c>
      <c r="AP36" s="29"/>
      <c r="AQ36" s="134">
        <f t="shared" si="112"/>
        <v>0</v>
      </c>
      <c r="AR36" s="135">
        <f t="shared" si="12"/>
        <v>1</v>
      </c>
      <c r="AS36" s="29"/>
      <c r="AT36" s="134">
        <f t="shared" si="113"/>
        <v>0</v>
      </c>
      <c r="AU36" s="135">
        <f t="shared" si="14"/>
        <v>1</v>
      </c>
      <c r="AV36" s="29"/>
      <c r="AW36" s="134">
        <f t="shared" si="114"/>
        <v>0</v>
      </c>
      <c r="AX36" s="135">
        <f t="shared" si="16"/>
        <v>1</v>
      </c>
      <c r="AY36" s="29"/>
      <c r="AZ36" s="134">
        <f t="shared" si="115"/>
        <v>0</v>
      </c>
      <c r="BA36" s="135">
        <f t="shared" si="18"/>
        <v>1</v>
      </c>
      <c r="BB36" s="29"/>
      <c r="BC36" s="134">
        <f t="shared" si="116"/>
        <v>0</v>
      </c>
      <c r="BD36" s="135">
        <f t="shared" si="20"/>
        <v>1</v>
      </c>
      <c r="BE36" s="29"/>
      <c r="BF36" s="134">
        <f t="shared" si="117"/>
        <v>0</v>
      </c>
      <c r="BG36" s="135">
        <f t="shared" si="22"/>
        <v>1</v>
      </c>
      <c r="BH36" s="134"/>
      <c r="BI36" s="26"/>
      <c r="BJ36" s="26"/>
      <c r="BK36" s="135">
        <f>IF($AA$36=0,1,BJ36/$AA$36-1)</f>
        <v>1</v>
      </c>
      <c r="BL36" s="135">
        <f t="shared" si="24"/>
        <v>1</v>
      </c>
      <c r="BM36" s="167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</row>
    <row r="37" spans="1:206" s="18" customFormat="1" ht="23.25" customHeight="1">
      <c r="A37" s="422" t="s">
        <v>49</v>
      </c>
      <c r="B37" s="422"/>
      <c r="C37" s="130">
        <f>C38+C43+C44+C45+C46+C47</f>
        <v>0</v>
      </c>
      <c r="D37" s="130">
        <f t="shared" ref="D37:AA37" si="118">D38+D43+D44+D45+D46+D47</f>
        <v>0</v>
      </c>
      <c r="E37" s="130">
        <f t="shared" si="118"/>
        <v>0</v>
      </c>
      <c r="F37" s="130">
        <f t="shared" si="118"/>
        <v>0</v>
      </c>
      <c r="G37" s="130">
        <f t="shared" si="118"/>
        <v>0</v>
      </c>
      <c r="H37" s="130">
        <f t="shared" si="118"/>
        <v>0</v>
      </c>
      <c r="I37" s="130">
        <f t="shared" si="118"/>
        <v>0</v>
      </c>
      <c r="J37" s="130">
        <f t="shared" si="118"/>
        <v>0</v>
      </c>
      <c r="K37" s="130">
        <f t="shared" si="118"/>
        <v>0</v>
      </c>
      <c r="L37" s="130">
        <f t="shared" si="118"/>
        <v>0</v>
      </c>
      <c r="M37" s="130">
        <f t="shared" si="118"/>
        <v>0</v>
      </c>
      <c r="N37" s="130">
        <f t="shared" si="118"/>
        <v>0</v>
      </c>
      <c r="O37" s="130">
        <f t="shared" si="118"/>
        <v>0</v>
      </c>
      <c r="P37" s="130">
        <f t="shared" si="118"/>
        <v>0</v>
      </c>
      <c r="Q37" s="130">
        <f t="shared" si="118"/>
        <v>0</v>
      </c>
      <c r="R37" s="130">
        <f t="shared" si="118"/>
        <v>0</v>
      </c>
      <c r="S37" s="130">
        <f t="shared" si="118"/>
        <v>0</v>
      </c>
      <c r="T37" s="130">
        <f t="shared" si="118"/>
        <v>0</v>
      </c>
      <c r="U37" s="130">
        <f t="shared" si="118"/>
        <v>0</v>
      </c>
      <c r="V37" s="130">
        <f t="shared" si="118"/>
        <v>0</v>
      </c>
      <c r="W37" s="130">
        <f t="shared" si="118"/>
        <v>0</v>
      </c>
      <c r="X37" s="130">
        <f t="shared" si="118"/>
        <v>0</v>
      </c>
      <c r="Y37" s="130">
        <f t="shared" si="118"/>
        <v>0</v>
      </c>
      <c r="Z37" s="130">
        <f t="shared" si="118"/>
        <v>0</v>
      </c>
      <c r="AA37" s="130">
        <f t="shared" si="118"/>
        <v>0</v>
      </c>
      <c r="AB37" s="131">
        <f t="shared" si="2"/>
        <v>1</v>
      </c>
      <c r="AC37" s="130">
        <f t="shared" ref="AC37:BF37" si="119">AC38+AC43+AC44+AC45+AC46+AC47</f>
        <v>0</v>
      </c>
      <c r="AD37" s="130">
        <f t="shared" si="119"/>
        <v>0</v>
      </c>
      <c r="AE37" s="130">
        <f t="shared" si="119"/>
        <v>0</v>
      </c>
      <c r="AF37" s="131">
        <f t="shared" si="4"/>
        <v>1</v>
      </c>
      <c r="AG37" s="130">
        <f t="shared" ref="AG37" si="120">AG38+AG43+AG44+AG45+AG46+AG47</f>
        <v>0</v>
      </c>
      <c r="AH37" s="130">
        <f t="shared" si="119"/>
        <v>0</v>
      </c>
      <c r="AI37" s="131">
        <f t="shared" si="6"/>
        <v>1</v>
      </c>
      <c r="AJ37" s="130">
        <f t="shared" ref="AJ37" si="121">AJ38+AJ43+AJ44+AJ45+AJ46+AJ47</f>
        <v>0</v>
      </c>
      <c r="AK37" s="130">
        <f t="shared" si="119"/>
        <v>0</v>
      </c>
      <c r="AL37" s="131">
        <f t="shared" si="8"/>
        <v>1</v>
      </c>
      <c r="AM37" s="130">
        <f t="shared" ref="AM37" si="122">AM38+AM43+AM44+AM45+AM46+AM47</f>
        <v>0</v>
      </c>
      <c r="AN37" s="130">
        <f t="shared" si="119"/>
        <v>0</v>
      </c>
      <c r="AO37" s="131">
        <f t="shared" si="10"/>
        <v>1</v>
      </c>
      <c r="AP37" s="130">
        <f t="shared" ref="AP37" si="123">AP38+AP43+AP44+AP45+AP46+AP47</f>
        <v>0</v>
      </c>
      <c r="AQ37" s="130">
        <f t="shared" si="119"/>
        <v>0</v>
      </c>
      <c r="AR37" s="131">
        <f t="shared" si="12"/>
        <v>1</v>
      </c>
      <c r="AS37" s="130">
        <f t="shared" ref="AS37" si="124">AS38+AS43+AS44+AS45+AS46+AS47</f>
        <v>0</v>
      </c>
      <c r="AT37" s="130">
        <f t="shared" si="119"/>
        <v>0</v>
      </c>
      <c r="AU37" s="131">
        <f t="shared" si="14"/>
        <v>1</v>
      </c>
      <c r="AV37" s="130">
        <f t="shared" ref="AV37" si="125">AV38+AV43+AV44+AV45+AV46+AV47</f>
        <v>0</v>
      </c>
      <c r="AW37" s="130">
        <f t="shared" si="119"/>
        <v>0</v>
      </c>
      <c r="AX37" s="131">
        <f t="shared" si="16"/>
        <v>1</v>
      </c>
      <c r="AY37" s="130">
        <f t="shared" ref="AY37" si="126">AY38+AY43+AY44+AY45+AY46+AY47</f>
        <v>0</v>
      </c>
      <c r="AZ37" s="130">
        <f t="shared" si="119"/>
        <v>0</v>
      </c>
      <c r="BA37" s="131">
        <f t="shared" si="18"/>
        <v>1</v>
      </c>
      <c r="BB37" s="130">
        <f t="shared" ref="BB37" si="127">BB38+BB43+BB44+BB45+BB46+BB47</f>
        <v>0</v>
      </c>
      <c r="BC37" s="130">
        <f t="shared" si="119"/>
        <v>0</v>
      </c>
      <c r="BD37" s="131">
        <f t="shared" si="20"/>
        <v>1</v>
      </c>
      <c r="BE37" s="130">
        <f t="shared" ref="BE37" si="128">BE38+BE43+BE44+BE45+BE46+BE47</f>
        <v>0</v>
      </c>
      <c r="BF37" s="130">
        <f t="shared" si="119"/>
        <v>0</v>
      </c>
      <c r="BG37" s="131">
        <f t="shared" si="22"/>
        <v>1</v>
      </c>
      <c r="BH37" s="130">
        <f t="shared" ref="BH37:BJ37" si="129">BH38+BH43+BH44+BH45+BH46+BH47</f>
        <v>0</v>
      </c>
      <c r="BI37" s="130">
        <f t="shared" si="129"/>
        <v>0</v>
      </c>
      <c r="BJ37" s="130">
        <f t="shared" si="129"/>
        <v>0</v>
      </c>
      <c r="BK37" s="131">
        <f>IF($AA$37=0,1,BJ37/$AA$37-1)</f>
        <v>1</v>
      </c>
      <c r="BL37" s="131">
        <f t="shared" si="24"/>
        <v>1</v>
      </c>
      <c r="BM37" s="165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</row>
    <row r="38" spans="1:206" s="68" customFormat="1" ht="19.5" customHeight="1">
      <c r="A38" s="435" t="s">
        <v>100</v>
      </c>
      <c r="B38" s="435"/>
      <c r="C38" s="140">
        <f>C39+C40+C41+C42</f>
        <v>0</v>
      </c>
      <c r="D38" s="140">
        <f t="shared" ref="D38:AA38" si="130">D39+D40+D41+D42</f>
        <v>0</v>
      </c>
      <c r="E38" s="140">
        <f t="shared" si="130"/>
        <v>0</v>
      </c>
      <c r="F38" s="140">
        <f t="shared" si="130"/>
        <v>0</v>
      </c>
      <c r="G38" s="140">
        <f t="shared" si="130"/>
        <v>0</v>
      </c>
      <c r="H38" s="140">
        <f t="shared" si="130"/>
        <v>0</v>
      </c>
      <c r="I38" s="140">
        <f t="shared" si="130"/>
        <v>0</v>
      </c>
      <c r="J38" s="140">
        <f t="shared" si="130"/>
        <v>0</v>
      </c>
      <c r="K38" s="140">
        <f t="shared" si="130"/>
        <v>0</v>
      </c>
      <c r="L38" s="140">
        <f t="shared" si="130"/>
        <v>0</v>
      </c>
      <c r="M38" s="140">
        <f t="shared" si="130"/>
        <v>0</v>
      </c>
      <c r="N38" s="140">
        <f t="shared" si="130"/>
        <v>0</v>
      </c>
      <c r="O38" s="140">
        <f t="shared" si="130"/>
        <v>0</v>
      </c>
      <c r="P38" s="140">
        <f t="shared" si="130"/>
        <v>0</v>
      </c>
      <c r="Q38" s="140">
        <f t="shared" si="130"/>
        <v>0</v>
      </c>
      <c r="R38" s="140">
        <f t="shared" si="130"/>
        <v>0</v>
      </c>
      <c r="S38" s="140">
        <f t="shared" si="130"/>
        <v>0</v>
      </c>
      <c r="T38" s="140">
        <f t="shared" si="130"/>
        <v>0</v>
      </c>
      <c r="U38" s="140">
        <f t="shared" si="130"/>
        <v>0</v>
      </c>
      <c r="V38" s="140">
        <f t="shared" si="130"/>
        <v>0</v>
      </c>
      <c r="W38" s="140">
        <f t="shared" si="130"/>
        <v>0</v>
      </c>
      <c r="X38" s="140">
        <f t="shared" si="130"/>
        <v>0</v>
      </c>
      <c r="Y38" s="140">
        <f t="shared" si="130"/>
        <v>0</v>
      </c>
      <c r="Z38" s="140">
        <f t="shared" si="130"/>
        <v>0</v>
      </c>
      <c r="AA38" s="140">
        <f t="shared" si="130"/>
        <v>0</v>
      </c>
      <c r="AB38" s="133">
        <f t="shared" si="2"/>
        <v>1</v>
      </c>
      <c r="AC38" s="140">
        <f t="shared" ref="AC38:BF38" si="131">AC39+AC40+AC41+AC42</f>
        <v>0</v>
      </c>
      <c r="AD38" s="140">
        <f t="shared" si="131"/>
        <v>0</v>
      </c>
      <c r="AE38" s="140">
        <f t="shared" si="131"/>
        <v>0</v>
      </c>
      <c r="AF38" s="133">
        <f t="shared" si="4"/>
        <v>1</v>
      </c>
      <c r="AG38" s="140">
        <f t="shared" ref="AG38" si="132">AG39+AG40+AG41+AG42</f>
        <v>0</v>
      </c>
      <c r="AH38" s="140">
        <f t="shared" si="131"/>
        <v>0</v>
      </c>
      <c r="AI38" s="133">
        <f t="shared" si="6"/>
        <v>1</v>
      </c>
      <c r="AJ38" s="140">
        <f t="shared" ref="AJ38" si="133">AJ39+AJ40+AJ41+AJ42</f>
        <v>0</v>
      </c>
      <c r="AK38" s="140">
        <f t="shared" si="131"/>
        <v>0</v>
      </c>
      <c r="AL38" s="133">
        <f t="shared" si="8"/>
        <v>1</v>
      </c>
      <c r="AM38" s="140">
        <f t="shared" ref="AM38" si="134">AM39+AM40+AM41+AM42</f>
        <v>0</v>
      </c>
      <c r="AN38" s="140">
        <f t="shared" si="131"/>
        <v>0</v>
      </c>
      <c r="AO38" s="133">
        <f t="shared" si="10"/>
        <v>1</v>
      </c>
      <c r="AP38" s="140">
        <f t="shared" ref="AP38" si="135">AP39+AP40+AP41+AP42</f>
        <v>0</v>
      </c>
      <c r="AQ38" s="140">
        <f t="shared" si="131"/>
        <v>0</v>
      </c>
      <c r="AR38" s="133">
        <f t="shared" si="12"/>
        <v>1</v>
      </c>
      <c r="AS38" s="140">
        <f t="shared" ref="AS38" si="136">AS39+AS40+AS41+AS42</f>
        <v>0</v>
      </c>
      <c r="AT38" s="140">
        <f t="shared" si="131"/>
        <v>0</v>
      </c>
      <c r="AU38" s="133">
        <f t="shared" si="14"/>
        <v>1</v>
      </c>
      <c r="AV38" s="140">
        <f t="shared" ref="AV38" si="137">AV39+AV40+AV41+AV42</f>
        <v>0</v>
      </c>
      <c r="AW38" s="140">
        <f t="shared" si="131"/>
        <v>0</v>
      </c>
      <c r="AX38" s="133">
        <f t="shared" si="16"/>
        <v>1</v>
      </c>
      <c r="AY38" s="140">
        <f t="shared" ref="AY38" si="138">AY39+AY40+AY41+AY42</f>
        <v>0</v>
      </c>
      <c r="AZ38" s="140">
        <f t="shared" si="131"/>
        <v>0</v>
      </c>
      <c r="BA38" s="133">
        <f t="shared" si="18"/>
        <v>1</v>
      </c>
      <c r="BB38" s="140">
        <f t="shared" ref="BB38" si="139">BB39+BB40+BB41+BB42</f>
        <v>0</v>
      </c>
      <c r="BC38" s="140">
        <f t="shared" si="131"/>
        <v>0</v>
      </c>
      <c r="BD38" s="133">
        <f t="shared" si="20"/>
        <v>1</v>
      </c>
      <c r="BE38" s="140">
        <f t="shared" ref="BE38" si="140">BE39+BE40+BE41+BE42</f>
        <v>0</v>
      </c>
      <c r="BF38" s="140">
        <f t="shared" si="131"/>
        <v>0</v>
      </c>
      <c r="BG38" s="133">
        <f t="shared" si="22"/>
        <v>1</v>
      </c>
      <c r="BH38" s="140">
        <f t="shared" ref="BH38:BJ38" si="141">BH39+BH40+BH41+BH42</f>
        <v>0</v>
      </c>
      <c r="BI38" s="140">
        <f t="shared" si="141"/>
        <v>0</v>
      </c>
      <c r="BJ38" s="140">
        <f t="shared" si="141"/>
        <v>0</v>
      </c>
      <c r="BK38" s="133">
        <f>IF($AA$38=0,1,BJ38/$AA$38-1)</f>
        <v>1</v>
      </c>
      <c r="BL38" s="133">
        <f t="shared" si="24"/>
        <v>1</v>
      </c>
      <c r="BM38" s="166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</row>
    <row r="39" spans="1:206" s="64" customFormat="1" ht="18" customHeight="1">
      <c r="A39" s="426" t="s">
        <v>105</v>
      </c>
      <c r="B39" s="426"/>
      <c r="C39" s="29"/>
      <c r="D39" s="134">
        <f t="shared" ref="D39:D46" si="142">E39+F39+H39+J39+L39+N39+P39+R39+T39+V39+X39+Z39</f>
        <v>0</v>
      </c>
      <c r="E39" s="29"/>
      <c r="F39" s="29"/>
      <c r="G39" s="134">
        <f t="shared" ref="G39:G73" si="143">E39+F39</f>
        <v>0</v>
      </c>
      <c r="H39" s="29"/>
      <c r="I39" s="134">
        <f>G39+H39</f>
        <v>0</v>
      </c>
      <c r="J39" s="29"/>
      <c r="K39" s="134">
        <f>I39+J39</f>
        <v>0</v>
      </c>
      <c r="L39" s="29"/>
      <c r="M39" s="134">
        <f>K39+L39</f>
        <v>0</v>
      </c>
      <c r="N39" s="29"/>
      <c r="O39" s="134">
        <f>M39+N39</f>
        <v>0</v>
      </c>
      <c r="P39" s="29"/>
      <c r="Q39" s="134">
        <f>O39+P39</f>
        <v>0</v>
      </c>
      <c r="R39" s="29"/>
      <c r="S39" s="134">
        <f>Q39+R39</f>
        <v>0</v>
      </c>
      <c r="T39" s="29"/>
      <c r="U39" s="134">
        <f>S39+T39</f>
        <v>0</v>
      </c>
      <c r="V39" s="29"/>
      <c r="W39" s="134">
        <f>U39+V39</f>
        <v>0</v>
      </c>
      <c r="X39" s="29"/>
      <c r="Y39" s="134">
        <f>W39+X39</f>
        <v>0</v>
      </c>
      <c r="Z39" s="29"/>
      <c r="AA39" s="29"/>
      <c r="AB39" s="135">
        <f t="shared" si="2"/>
        <v>1</v>
      </c>
      <c r="AC39" s="29"/>
      <c r="AD39" s="29"/>
      <c r="AE39" s="134">
        <f t="shared" ref="AE39:AE46" si="144">AC39+AD39</f>
        <v>0</v>
      </c>
      <c r="AF39" s="135">
        <f t="shared" si="4"/>
        <v>1</v>
      </c>
      <c r="AG39" s="29"/>
      <c r="AH39" s="134">
        <f>AE39+AG39</f>
        <v>0</v>
      </c>
      <c r="AI39" s="135">
        <f t="shared" si="6"/>
        <v>1</v>
      </c>
      <c r="AJ39" s="29"/>
      <c r="AK39" s="134">
        <f>AH39+AJ39</f>
        <v>0</v>
      </c>
      <c r="AL39" s="135">
        <f t="shared" si="8"/>
        <v>1</v>
      </c>
      <c r="AM39" s="29"/>
      <c r="AN39" s="134">
        <f>AK39+AM39</f>
        <v>0</v>
      </c>
      <c r="AO39" s="135">
        <f t="shared" si="10"/>
        <v>1</v>
      </c>
      <c r="AP39" s="29"/>
      <c r="AQ39" s="134">
        <f>AN39+AP39</f>
        <v>0</v>
      </c>
      <c r="AR39" s="135">
        <f t="shared" si="12"/>
        <v>1</v>
      </c>
      <c r="AS39" s="29"/>
      <c r="AT39" s="134">
        <f>AQ39+AS39</f>
        <v>0</v>
      </c>
      <c r="AU39" s="135">
        <f t="shared" si="14"/>
        <v>1</v>
      </c>
      <c r="AV39" s="29"/>
      <c r="AW39" s="134">
        <f>AT39+AV39</f>
        <v>0</v>
      </c>
      <c r="AX39" s="135">
        <f t="shared" si="16"/>
        <v>1</v>
      </c>
      <c r="AY39" s="29"/>
      <c r="AZ39" s="134">
        <f>AW39+AY39</f>
        <v>0</v>
      </c>
      <c r="BA39" s="135">
        <f t="shared" si="18"/>
        <v>1</v>
      </c>
      <c r="BB39" s="29"/>
      <c r="BC39" s="134">
        <f>AZ39+BB39</f>
        <v>0</v>
      </c>
      <c r="BD39" s="135">
        <f t="shared" si="20"/>
        <v>1</v>
      </c>
      <c r="BE39" s="29"/>
      <c r="BF39" s="134">
        <f>BC39+BE39</f>
        <v>0</v>
      </c>
      <c r="BG39" s="135">
        <f t="shared" si="22"/>
        <v>1</v>
      </c>
      <c r="BH39" s="134"/>
      <c r="BI39" s="26"/>
      <c r="BJ39" s="26"/>
      <c r="BK39" s="135">
        <f>IF($AA$39=0,1,BJ39/$AA$39-1)</f>
        <v>1</v>
      </c>
      <c r="BL39" s="135">
        <f t="shared" si="24"/>
        <v>1</v>
      </c>
      <c r="BM39" s="167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</row>
    <row r="40" spans="1:206" s="64" customFormat="1" ht="18" customHeight="1">
      <c r="A40" s="426" t="s">
        <v>99</v>
      </c>
      <c r="B40" s="426"/>
      <c r="C40" s="29"/>
      <c r="D40" s="134">
        <f t="shared" si="142"/>
        <v>0</v>
      </c>
      <c r="E40" s="29"/>
      <c r="F40" s="29"/>
      <c r="G40" s="134">
        <f t="shared" si="143"/>
        <v>0</v>
      </c>
      <c r="H40" s="29"/>
      <c r="I40" s="134">
        <f>G40+H40</f>
        <v>0</v>
      </c>
      <c r="J40" s="29"/>
      <c r="K40" s="134">
        <f>I40+J40</f>
        <v>0</v>
      </c>
      <c r="L40" s="29"/>
      <c r="M40" s="134">
        <f>K40+L40</f>
        <v>0</v>
      </c>
      <c r="N40" s="29"/>
      <c r="O40" s="134">
        <f>M40+N40</f>
        <v>0</v>
      </c>
      <c r="P40" s="29"/>
      <c r="Q40" s="134">
        <f>O40+P40</f>
        <v>0</v>
      </c>
      <c r="R40" s="29"/>
      <c r="S40" s="134">
        <f>Q40+R40</f>
        <v>0</v>
      </c>
      <c r="T40" s="29"/>
      <c r="U40" s="134">
        <f>S40+T40</f>
        <v>0</v>
      </c>
      <c r="V40" s="29"/>
      <c r="W40" s="134">
        <f>U40+V40</f>
        <v>0</v>
      </c>
      <c r="X40" s="29"/>
      <c r="Y40" s="134">
        <f>W40+X40</f>
        <v>0</v>
      </c>
      <c r="Z40" s="29"/>
      <c r="AA40" s="29"/>
      <c r="AB40" s="135">
        <f t="shared" si="2"/>
        <v>1</v>
      </c>
      <c r="AC40" s="29"/>
      <c r="AD40" s="29"/>
      <c r="AE40" s="134">
        <f t="shared" si="144"/>
        <v>0</v>
      </c>
      <c r="AF40" s="135">
        <f t="shared" si="4"/>
        <v>1</v>
      </c>
      <c r="AG40" s="29"/>
      <c r="AH40" s="134">
        <f>AE40+AG40</f>
        <v>0</v>
      </c>
      <c r="AI40" s="135">
        <f t="shared" si="6"/>
        <v>1</v>
      </c>
      <c r="AJ40" s="29"/>
      <c r="AK40" s="134">
        <f>AH40+AJ40</f>
        <v>0</v>
      </c>
      <c r="AL40" s="135">
        <f t="shared" si="8"/>
        <v>1</v>
      </c>
      <c r="AM40" s="29"/>
      <c r="AN40" s="134">
        <f>AK40+AM40</f>
        <v>0</v>
      </c>
      <c r="AO40" s="135">
        <f t="shared" si="10"/>
        <v>1</v>
      </c>
      <c r="AP40" s="29"/>
      <c r="AQ40" s="134">
        <f>AN40+AP40</f>
        <v>0</v>
      </c>
      <c r="AR40" s="135">
        <f t="shared" si="12"/>
        <v>1</v>
      </c>
      <c r="AS40" s="29"/>
      <c r="AT40" s="134">
        <f>AQ40+AS40</f>
        <v>0</v>
      </c>
      <c r="AU40" s="135">
        <f t="shared" si="14"/>
        <v>1</v>
      </c>
      <c r="AV40" s="29"/>
      <c r="AW40" s="134">
        <f>AT40+AV40</f>
        <v>0</v>
      </c>
      <c r="AX40" s="135">
        <f t="shared" si="16"/>
        <v>1</v>
      </c>
      <c r="AY40" s="29"/>
      <c r="AZ40" s="134">
        <f>AW40+AY40</f>
        <v>0</v>
      </c>
      <c r="BA40" s="135">
        <f t="shared" si="18"/>
        <v>1</v>
      </c>
      <c r="BB40" s="29"/>
      <c r="BC40" s="134">
        <f>AZ40+BB40</f>
        <v>0</v>
      </c>
      <c r="BD40" s="135">
        <f t="shared" si="20"/>
        <v>1</v>
      </c>
      <c r="BE40" s="29"/>
      <c r="BF40" s="134">
        <f>BC40+BE40</f>
        <v>0</v>
      </c>
      <c r="BG40" s="135">
        <f t="shared" si="22"/>
        <v>1</v>
      </c>
      <c r="BH40" s="134"/>
      <c r="BI40" s="26"/>
      <c r="BJ40" s="26"/>
      <c r="BK40" s="135">
        <f>IF($AA$40=0,1,BJ40/$AA$40-1)</f>
        <v>1</v>
      </c>
      <c r="BL40" s="135">
        <f t="shared" si="24"/>
        <v>1</v>
      </c>
      <c r="BM40" s="167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</row>
    <row r="41" spans="1:206" s="64" customFormat="1" ht="18" customHeight="1">
      <c r="A41" s="426" t="s">
        <v>95</v>
      </c>
      <c r="B41" s="426"/>
      <c r="C41" s="29"/>
      <c r="D41" s="134">
        <f t="shared" si="142"/>
        <v>0</v>
      </c>
      <c r="E41" s="29"/>
      <c r="F41" s="29"/>
      <c r="G41" s="134">
        <f t="shared" si="143"/>
        <v>0</v>
      </c>
      <c r="H41" s="29"/>
      <c r="I41" s="134"/>
      <c r="J41" s="29"/>
      <c r="K41" s="134"/>
      <c r="L41" s="29"/>
      <c r="M41" s="134"/>
      <c r="N41" s="29"/>
      <c r="O41" s="134"/>
      <c r="P41" s="29"/>
      <c r="Q41" s="134"/>
      <c r="R41" s="29"/>
      <c r="S41" s="134"/>
      <c r="T41" s="29"/>
      <c r="U41" s="134"/>
      <c r="V41" s="29"/>
      <c r="W41" s="134"/>
      <c r="X41" s="29"/>
      <c r="Y41" s="134"/>
      <c r="Z41" s="29"/>
      <c r="AA41" s="29"/>
      <c r="AB41" s="135">
        <f t="shared" ref="AB41:AB72" si="145">IF(D41=0,1,AA41/D41-1)</f>
        <v>1</v>
      </c>
      <c r="AC41" s="29"/>
      <c r="AD41" s="29"/>
      <c r="AE41" s="134">
        <f t="shared" si="144"/>
        <v>0</v>
      </c>
      <c r="AF41" s="135">
        <f t="shared" ref="AF41:AF72" si="146">IF(G41=0,1,AE41/G41-1)</f>
        <v>1</v>
      </c>
      <c r="AG41" s="29"/>
      <c r="AH41" s="134"/>
      <c r="AI41" s="135">
        <f t="shared" ref="AI41:AI72" si="147">IF(I41=0,1,AH41/I41-1)</f>
        <v>1</v>
      </c>
      <c r="AJ41" s="29"/>
      <c r="AK41" s="134"/>
      <c r="AL41" s="135">
        <f t="shared" ref="AL41:AL72" si="148">IF(K41=0,1,AK41/K41-1)</f>
        <v>1</v>
      </c>
      <c r="AM41" s="29"/>
      <c r="AN41" s="134"/>
      <c r="AO41" s="135">
        <f t="shared" ref="AO41:AO72" si="149">IF(M41=0,1,AN41/M41-1)</f>
        <v>1</v>
      </c>
      <c r="AP41" s="29"/>
      <c r="AQ41" s="134"/>
      <c r="AR41" s="135">
        <f t="shared" ref="AR41:AR72" si="150">IF(O41=0,1,AQ41/O41-1)</f>
        <v>1</v>
      </c>
      <c r="AS41" s="29"/>
      <c r="AT41" s="134"/>
      <c r="AU41" s="135">
        <f t="shared" ref="AU41:AU72" si="151">IF(Q41=0,1,AT41/Q41-1)</f>
        <v>1</v>
      </c>
      <c r="AV41" s="29"/>
      <c r="AW41" s="134"/>
      <c r="AX41" s="135">
        <f t="shared" ref="AX41:AX72" si="152">IF(S41=0,1,AW41/S41-1)</f>
        <v>1</v>
      </c>
      <c r="AY41" s="29"/>
      <c r="AZ41" s="134"/>
      <c r="BA41" s="135">
        <f t="shared" ref="BA41:BA72" si="153">IF(U41=0,1,AZ41/U41-1)</f>
        <v>1</v>
      </c>
      <c r="BB41" s="29"/>
      <c r="BC41" s="134"/>
      <c r="BD41" s="135">
        <f t="shared" ref="BD41:BD72" si="154">IF(W41=0,1,BC41/W41-1)</f>
        <v>1</v>
      </c>
      <c r="BE41" s="29"/>
      <c r="BF41" s="134"/>
      <c r="BG41" s="135">
        <f t="shared" ref="BG41:BG72" si="155">IF(Y41=0,1,BF41/Y41-1)</f>
        <v>1</v>
      </c>
      <c r="BH41" s="134"/>
      <c r="BI41" s="26"/>
      <c r="BJ41" s="26"/>
      <c r="BK41" s="135">
        <f>IF($AA$41=0,1,BJ41/$AA$41-1)</f>
        <v>1</v>
      </c>
      <c r="BL41" s="135">
        <f t="shared" si="24"/>
        <v>1</v>
      </c>
      <c r="BM41" s="167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</row>
    <row r="42" spans="1:206" s="64" customFormat="1" ht="18" customHeight="1">
      <c r="A42" s="426" t="s">
        <v>98</v>
      </c>
      <c r="B42" s="426"/>
      <c r="C42" s="29"/>
      <c r="D42" s="134">
        <f t="shared" si="142"/>
        <v>0</v>
      </c>
      <c r="E42" s="29"/>
      <c r="F42" s="29"/>
      <c r="G42" s="134">
        <f t="shared" si="143"/>
        <v>0</v>
      </c>
      <c r="H42" s="29"/>
      <c r="I42" s="134">
        <f>G42+H42</f>
        <v>0</v>
      </c>
      <c r="J42" s="29"/>
      <c r="K42" s="134">
        <f>I42+J42</f>
        <v>0</v>
      </c>
      <c r="L42" s="29"/>
      <c r="M42" s="134">
        <f>K42+L42</f>
        <v>0</v>
      </c>
      <c r="N42" s="29"/>
      <c r="O42" s="134">
        <f>M42+N42</f>
        <v>0</v>
      </c>
      <c r="P42" s="29"/>
      <c r="Q42" s="134">
        <f>O42+P42</f>
        <v>0</v>
      </c>
      <c r="R42" s="29"/>
      <c r="S42" s="134">
        <f>Q42+R42</f>
        <v>0</v>
      </c>
      <c r="T42" s="29"/>
      <c r="U42" s="134">
        <f>S42+T42</f>
        <v>0</v>
      </c>
      <c r="V42" s="29"/>
      <c r="W42" s="134">
        <f>U42+V42</f>
        <v>0</v>
      </c>
      <c r="X42" s="29"/>
      <c r="Y42" s="134">
        <f>W42+X42</f>
        <v>0</v>
      </c>
      <c r="Z42" s="29"/>
      <c r="AA42" s="29"/>
      <c r="AB42" s="135">
        <f t="shared" si="145"/>
        <v>1</v>
      </c>
      <c r="AC42" s="29"/>
      <c r="AD42" s="29"/>
      <c r="AE42" s="134">
        <f t="shared" si="144"/>
        <v>0</v>
      </c>
      <c r="AF42" s="135">
        <f t="shared" si="146"/>
        <v>1</v>
      </c>
      <c r="AG42" s="29"/>
      <c r="AH42" s="134">
        <f>AE42+AG42</f>
        <v>0</v>
      </c>
      <c r="AI42" s="135">
        <f t="shared" si="147"/>
        <v>1</v>
      </c>
      <c r="AJ42" s="29"/>
      <c r="AK42" s="134">
        <f>AH42+AJ42</f>
        <v>0</v>
      </c>
      <c r="AL42" s="135">
        <f t="shared" si="148"/>
        <v>1</v>
      </c>
      <c r="AM42" s="29"/>
      <c r="AN42" s="134">
        <f>AK42+AM42</f>
        <v>0</v>
      </c>
      <c r="AO42" s="135">
        <f t="shared" si="149"/>
        <v>1</v>
      </c>
      <c r="AP42" s="29"/>
      <c r="AQ42" s="134">
        <f>AN42+AP42</f>
        <v>0</v>
      </c>
      <c r="AR42" s="135">
        <f t="shared" si="150"/>
        <v>1</v>
      </c>
      <c r="AS42" s="29"/>
      <c r="AT42" s="134">
        <f>AQ42+AS42</f>
        <v>0</v>
      </c>
      <c r="AU42" s="135">
        <f t="shared" si="151"/>
        <v>1</v>
      </c>
      <c r="AV42" s="29"/>
      <c r="AW42" s="134">
        <f>AT42+AV42</f>
        <v>0</v>
      </c>
      <c r="AX42" s="135">
        <f t="shared" si="152"/>
        <v>1</v>
      </c>
      <c r="AY42" s="29"/>
      <c r="AZ42" s="134">
        <f>AW42+AY42</f>
        <v>0</v>
      </c>
      <c r="BA42" s="135">
        <f t="shared" si="153"/>
        <v>1</v>
      </c>
      <c r="BB42" s="29"/>
      <c r="BC42" s="134">
        <f>AZ42+BB42</f>
        <v>0</v>
      </c>
      <c r="BD42" s="135">
        <f t="shared" si="154"/>
        <v>1</v>
      </c>
      <c r="BE42" s="29"/>
      <c r="BF42" s="134">
        <f>BC42+BE42</f>
        <v>0</v>
      </c>
      <c r="BG42" s="135">
        <f t="shared" si="155"/>
        <v>1</v>
      </c>
      <c r="BH42" s="134"/>
      <c r="BI42" s="26"/>
      <c r="BJ42" s="26"/>
      <c r="BK42" s="135">
        <f>IF($AA$42=0,1,BJ42/$AA$42-1)</f>
        <v>1</v>
      </c>
      <c r="BL42" s="135">
        <f t="shared" si="24"/>
        <v>1</v>
      </c>
      <c r="BM42" s="167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</row>
    <row r="43" spans="1:206" s="68" customFormat="1" ht="18" customHeight="1">
      <c r="A43" s="434" t="s">
        <v>97</v>
      </c>
      <c r="B43" s="434"/>
      <c r="C43" s="53"/>
      <c r="D43" s="140">
        <f t="shared" si="142"/>
        <v>0</v>
      </c>
      <c r="E43" s="53"/>
      <c r="F43" s="53"/>
      <c r="G43" s="132">
        <f t="shared" si="143"/>
        <v>0</v>
      </c>
      <c r="H43" s="53"/>
      <c r="I43" s="132">
        <f>G43+H43</f>
        <v>0</v>
      </c>
      <c r="J43" s="53"/>
      <c r="K43" s="132">
        <f>I43+J43</f>
        <v>0</v>
      </c>
      <c r="L43" s="53"/>
      <c r="M43" s="132">
        <f>K43+L43</f>
        <v>0</v>
      </c>
      <c r="N43" s="53"/>
      <c r="O43" s="132">
        <f>M43+N43</f>
        <v>0</v>
      </c>
      <c r="P43" s="53"/>
      <c r="Q43" s="132">
        <f>O43+P43</f>
        <v>0</v>
      </c>
      <c r="R43" s="53"/>
      <c r="S43" s="132">
        <f>Q43+R43</f>
        <v>0</v>
      </c>
      <c r="T43" s="53"/>
      <c r="U43" s="132">
        <f>S43+T43</f>
        <v>0</v>
      </c>
      <c r="V43" s="53"/>
      <c r="W43" s="132">
        <f>U43+V43</f>
        <v>0</v>
      </c>
      <c r="X43" s="53"/>
      <c r="Y43" s="132">
        <f>W43+X43</f>
        <v>0</v>
      </c>
      <c r="Z43" s="53"/>
      <c r="AA43" s="53"/>
      <c r="AB43" s="142">
        <f t="shared" si="145"/>
        <v>1</v>
      </c>
      <c r="AC43" s="53"/>
      <c r="AD43" s="53"/>
      <c r="AE43" s="132">
        <f t="shared" si="144"/>
        <v>0</v>
      </c>
      <c r="AF43" s="142">
        <f t="shared" si="146"/>
        <v>1</v>
      </c>
      <c r="AG43" s="53"/>
      <c r="AH43" s="132">
        <f>AE43+AG43</f>
        <v>0</v>
      </c>
      <c r="AI43" s="142">
        <f t="shared" si="147"/>
        <v>1</v>
      </c>
      <c r="AJ43" s="53"/>
      <c r="AK43" s="132">
        <f>AH43+AJ43</f>
        <v>0</v>
      </c>
      <c r="AL43" s="142">
        <f t="shared" si="148"/>
        <v>1</v>
      </c>
      <c r="AM43" s="53"/>
      <c r="AN43" s="132">
        <f>AK43+AM43</f>
        <v>0</v>
      </c>
      <c r="AO43" s="142">
        <f t="shared" si="149"/>
        <v>1</v>
      </c>
      <c r="AP43" s="53"/>
      <c r="AQ43" s="132">
        <f>AN43+AP43</f>
        <v>0</v>
      </c>
      <c r="AR43" s="142">
        <f t="shared" si="150"/>
        <v>1</v>
      </c>
      <c r="AS43" s="53"/>
      <c r="AT43" s="132">
        <f>AQ43+AS43</f>
        <v>0</v>
      </c>
      <c r="AU43" s="142">
        <f t="shared" si="151"/>
        <v>1</v>
      </c>
      <c r="AV43" s="53"/>
      <c r="AW43" s="132">
        <f>AT43+AV43</f>
        <v>0</v>
      </c>
      <c r="AX43" s="142">
        <f t="shared" si="152"/>
        <v>1</v>
      </c>
      <c r="AY43" s="53"/>
      <c r="AZ43" s="132">
        <f>AW43+AY43</f>
        <v>0</v>
      </c>
      <c r="BA43" s="142">
        <f t="shared" si="153"/>
        <v>1</v>
      </c>
      <c r="BB43" s="53"/>
      <c r="BC43" s="132">
        <f>AZ43+BB43</f>
        <v>0</v>
      </c>
      <c r="BD43" s="142">
        <f t="shared" si="154"/>
        <v>1</v>
      </c>
      <c r="BE43" s="53"/>
      <c r="BF43" s="132">
        <f>BC43+BE43</f>
        <v>0</v>
      </c>
      <c r="BG43" s="142">
        <f t="shared" si="155"/>
        <v>1</v>
      </c>
      <c r="BH43" s="132"/>
      <c r="BI43" s="23"/>
      <c r="BJ43" s="23"/>
      <c r="BK43" s="142">
        <f>IF($AA$43=0,1,BJ43/$AA$43-1)</f>
        <v>1</v>
      </c>
      <c r="BL43" s="142">
        <f t="shared" si="24"/>
        <v>1</v>
      </c>
      <c r="BM43" s="166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</row>
    <row r="44" spans="1:206" s="68" customFormat="1" ht="18" customHeight="1">
      <c r="A44" s="434" t="s">
        <v>101</v>
      </c>
      <c r="B44" s="434"/>
      <c r="C44" s="53"/>
      <c r="D44" s="140">
        <f t="shared" si="142"/>
        <v>0</v>
      </c>
      <c r="E44" s="53"/>
      <c r="F44" s="53"/>
      <c r="G44" s="132">
        <f t="shared" si="143"/>
        <v>0</v>
      </c>
      <c r="H44" s="53"/>
      <c r="I44" s="132">
        <f>G44+H44</f>
        <v>0</v>
      </c>
      <c r="J44" s="53"/>
      <c r="K44" s="132">
        <f>I44+J44</f>
        <v>0</v>
      </c>
      <c r="L44" s="53"/>
      <c r="M44" s="132">
        <f>K44+L44</f>
        <v>0</v>
      </c>
      <c r="N44" s="53"/>
      <c r="O44" s="132">
        <f>M44+N44</f>
        <v>0</v>
      </c>
      <c r="P44" s="53"/>
      <c r="Q44" s="132">
        <f>O44+P44</f>
        <v>0</v>
      </c>
      <c r="R44" s="53"/>
      <c r="S44" s="132">
        <f>Q44+R44</f>
        <v>0</v>
      </c>
      <c r="T44" s="53"/>
      <c r="U44" s="132">
        <f>S44+T44</f>
        <v>0</v>
      </c>
      <c r="V44" s="53"/>
      <c r="W44" s="132">
        <f>U44+V44</f>
        <v>0</v>
      </c>
      <c r="X44" s="53"/>
      <c r="Y44" s="132">
        <f>W44+X44</f>
        <v>0</v>
      </c>
      <c r="Z44" s="53"/>
      <c r="AA44" s="53"/>
      <c r="AB44" s="142">
        <f t="shared" si="145"/>
        <v>1</v>
      </c>
      <c r="AC44" s="53"/>
      <c r="AD44" s="53"/>
      <c r="AE44" s="132">
        <f t="shared" si="144"/>
        <v>0</v>
      </c>
      <c r="AF44" s="142">
        <f t="shared" si="146"/>
        <v>1</v>
      </c>
      <c r="AG44" s="53"/>
      <c r="AH44" s="132">
        <f>AE44+AG44</f>
        <v>0</v>
      </c>
      <c r="AI44" s="142">
        <f t="shared" si="147"/>
        <v>1</v>
      </c>
      <c r="AJ44" s="53"/>
      <c r="AK44" s="132">
        <f>AH44+AJ44</f>
        <v>0</v>
      </c>
      <c r="AL44" s="142">
        <f t="shared" si="148"/>
        <v>1</v>
      </c>
      <c r="AM44" s="53"/>
      <c r="AN44" s="132">
        <f>AK44+AM44</f>
        <v>0</v>
      </c>
      <c r="AO44" s="142">
        <f t="shared" si="149"/>
        <v>1</v>
      </c>
      <c r="AP44" s="53"/>
      <c r="AQ44" s="132">
        <f>AN44+AP44</f>
        <v>0</v>
      </c>
      <c r="AR44" s="142">
        <f t="shared" si="150"/>
        <v>1</v>
      </c>
      <c r="AS44" s="53"/>
      <c r="AT44" s="132">
        <f>AQ44+AS44</f>
        <v>0</v>
      </c>
      <c r="AU44" s="142">
        <f t="shared" si="151"/>
        <v>1</v>
      </c>
      <c r="AV44" s="53"/>
      <c r="AW44" s="132">
        <f>AT44+AV44</f>
        <v>0</v>
      </c>
      <c r="AX44" s="142">
        <f t="shared" si="152"/>
        <v>1</v>
      </c>
      <c r="AY44" s="53"/>
      <c r="AZ44" s="132">
        <f>AW44+AY44</f>
        <v>0</v>
      </c>
      <c r="BA44" s="142">
        <f t="shared" si="153"/>
        <v>1</v>
      </c>
      <c r="BB44" s="53"/>
      <c r="BC44" s="132">
        <f>AZ44+BB44</f>
        <v>0</v>
      </c>
      <c r="BD44" s="142">
        <f t="shared" si="154"/>
        <v>1</v>
      </c>
      <c r="BE44" s="53"/>
      <c r="BF44" s="132">
        <f>BC44+BE44</f>
        <v>0</v>
      </c>
      <c r="BG44" s="142">
        <f t="shared" si="155"/>
        <v>1</v>
      </c>
      <c r="BH44" s="132"/>
      <c r="BI44" s="23"/>
      <c r="BJ44" s="23"/>
      <c r="BK44" s="142">
        <f>IF($AA$44=0,1,BJ44/$AA$44-1)</f>
        <v>1</v>
      </c>
      <c r="BL44" s="142">
        <f t="shared" si="24"/>
        <v>1</v>
      </c>
      <c r="BM44" s="166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</row>
    <row r="45" spans="1:206" s="68" customFormat="1" ht="18" customHeight="1">
      <c r="A45" s="434" t="s">
        <v>102</v>
      </c>
      <c r="B45" s="434"/>
      <c r="C45" s="53"/>
      <c r="D45" s="140">
        <f t="shared" si="142"/>
        <v>0</v>
      </c>
      <c r="E45" s="53"/>
      <c r="F45" s="53"/>
      <c r="G45" s="132">
        <f t="shared" si="143"/>
        <v>0</v>
      </c>
      <c r="H45" s="53"/>
      <c r="I45" s="132">
        <f>G45+H45</f>
        <v>0</v>
      </c>
      <c r="J45" s="53"/>
      <c r="K45" s="132">
        <f>I45+J45</f>
        <v>0</v>
      </c>
      <c r="L45" s="53"/>
      <c r="M45" s="132">
        <f>K45+L45</f>
        <v>0</v>
      </c>
      <c r="N45" s="53"/>
      <c r="O45" s="132">
        <f>M45+N45</f>
        <v>0</v>
      </c>
      <c r="P45" s="53"/>
      <c r="Q45" s="132">
        <f>O45+P45</f>
        <v>0</v>
      </c>
      <c r="R45" s="53"/>
      <c r="S45" s="132">
        <f>Q45+R45</f>
        <v>0</v>
      </c>
      <c r="T45" s="53"/>
      <c r="U45" s="132">
        <f>S45+T45</f>
        <v>0</v>
      </c>
      <c r="V45" s="53"/>
      <c r="W45" s="132">
        <f>U45+V45</f>
        <v>0</v>
      </c>
      <c r="X45" s="53"/>
      <c r="Y45" s="132">
        <f>W45+X45</f>
        <v>0</v>
      </c>
      <c r="Z45" s="53"/>
      <c r="AA45" s="53"/>
      <c r="AB45" s="142">
        <f t="shared" si="145"/>
        <v>1</v>
      </c>
      <c r="AC45" s="53"/>
      <c r="AD45" s="53"/>
      <c r="AE45" s="132">
        <f t="shared" si="144"/>
        <v>0</v>
      </c>
      <c r="AF45" s="142">
        <f t="shared" si="146"/>
        <v>1</v>
      </c>
      <c r="AG45" s="53"/>
      <c r="AH45" s="132">
        <f>AE45+AG45</f>
        <v>0</v>
      </c>
      <c r="AI45" s="142">
        <f t="shared" si="147"/>
        <v>1</v>
      </c>
      <c r="AJ45" s="53"/>
      <c r="AK45" s="132">
        <f>AH45+AJ45</f>
        <v>0</v>
      </c>
      <c r="AL45" s="142">
        <f t="shared" si="148"/>
        <v>1</v>
      </c>
      <c r="AM45" s="53"/>
      <c r="AN45" s="132">
        <f>AK45+AM45</f>
        <v>0</v>
      </c>
      <c r="AO45" s="142">
        <f t="shared" si="149"/>
        <v>1</v>
      </c>
      <c r="AP45" s="53"/>
      <c r="AQ45" s="132">
        <f>AN45+AP45</f>
        <v>0</v>
      </c>
      <c r="AR45" s="142">
        <f t="shared" si="150"/>
        <v>1</v>
      </c>
      <c r="AS45" s="53"/>
      <c r="AT45" s="132">
        <f>AQ45+AS45</f>
        <v>0</v>
      </c>
      <c r="AU45" s="142">
        <f t="shared" si="151"/>
        <v>1</v>
      </c>
      <c r="AV45" s="53"/>
      <c r="AW45" s="132">
        <f>AT45+AV45</f>
        <v>0</v>
      </c>
      <c r="AX45" s="142">
        <f t="shared" si="152"/>
        <v>1</v>
      </c>
      <c r="AY45" s="53"/>
      <c r="AZ45" s="132">
        <f>AW45+AY45</f>
        <v>0</v>
      </c>
      <c r="BA45" s="142">
        <f t="shared" si="153"/>
        <v>1</v>
      </c>
      <c r="BB45" s="53"/>
      <c r="BC45" s="132">
        <f>AZ45+BB45</f>
        <v>0</v>
      </c>
      <c r="BD45" s="142">
        <f t="shared" si="154"/>
        <v>1</v>
      </c>
      <c r="BE45" s="53"/>
      <c r="BF45" s="132">
        <f>BC45+BE45</f>
        <v>0</v>
      </c>
      <c r="BG45" s="142">
        <f t="shared" si="155"/>
        <v>1</v>
      </c>
      <c r="BH45" s="132"/>
      <c r="BI45" s="23"/>
      <c r="BJ45" s="23"/>
      <c r="BK45" s="142">
        <f>IF($AA$45=0,1,BJ45/$AA$45-1)</f>
        <v>1</v>
      </c>
      <c r="BL45" s="142">
        <f t="shared" si="24"/>
        <v>1</v>
      </c>
      <c r="BM45" s="166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</row>
    <row r="46" spans="1:206" s="68" customFormat="1" ht="18" customHeight="1">
      <c r="A46" s="434" t="s">
        <v>103</v>
      </c>
      <c r="B46" s="434"/>
      <c r="C46" s="53"/>
      <c r="D46" s="140">
        <f t="shared" si="142"/>
        <v>0</v>
      </c>
      <c r="E46" s="53"/>
      <c r="F46" s="53"/>
      <c r="G46" s="132">
        <f t="shared" si="143"/>
        <v>0</v>
      </c>
      <c r="H46" s="53"/>
      <c r="I46" s="132"/>
      <c r="J46" s="53"/>
      <c r="K46" s="132"/>
      <c r="L46" s="53"/>
      <c r="M46" s="132"/>
      <c r="N46" s="53"/>
      <c r="O46" s="132"/>
      <c r="P46" s="53"/>
      <c r="Q46" s="132"/>
      <c r="R46" s="53"/>
      <c r="S46" s="132"/>
      <c r="T46" s="53"/>
      <c r="U46" s="132"/>
      <c r="V46" s="53"/>
      <c r="W46" s="132"/>
      <c r="X46" s="53"/>
      <c r="Y46" s="132"/>
      <c r="Z46" s="53"/>
      <c r="AA46" s="53"/>
      <c r="AB46" s="142">
        <f t="shared" si="145"/>
        <v>1</v>
      </c>
      <c r="AC46" s="53"/>
      <c r="AD46" s="53"/>
      <c r="AE46" s="132">
        <f t="shared" si="144"/>
        <v>0</v>
      </c>
      <c r="AF46" s="142">
        <f t="shared" si="146"/>
        <v>1</v>
      </c>
      <c r="AG46" s="53"/>
      <c r="AH46" s="132"/>
      <c r="AI46" s="142">
        <f t="shared" si="147"/>
        <v>1</v>
      </c>
      <c r="AJ46" s="53"/>
      <c r="AK46" s="132"/>
      <c r="AL46" s="142">
        <f t="shared" si="148"/>
        <v>1</v>
      </c>
      <c r="AM46" s="53"/>
      <c r="AN46" s="132"/>
      <c r="AO46" s="142">
        <f t="shared" si="149"/>
        <v>1</v>
      </c>
      <c r="AP46" s="53"/>
      <c r="AQ46" s="132"/>
      <c r="AR46" s="142">
        <f t="shared" si="150"/>
        <v>1</v>
      </c>
      <c r="AS46" s="53"/>
      <c r="AT46" s="132"/>
      <c r="AU46" s="142">
        <f t="shared" si="151"/>
        <v>1</v>
      </c>
      <c r="AV46" s="53"/>
      <c r="AW46" s="132"/>
      <c r="AX46" s="142">
        <f t="shared" si="152"/>
        <v>1</v>
      </c>
      <c r="AY46" s="53"/>
      <c r="AZ46" s="132"/>
      <c r="BA46" s="142">
        <f t="shared" si="153"/>
        <v>1</v>
      </c>
      <c r="BB46" s="53"/>
      <c r="BC46" s="132"/>
      <c r="BD46" s="142">
        <f t="shared" si="154"/>
        <v>1</v>
      </c>
      <c r="BE46" s="53"/>
      <c r="BF46" s="132"/>
      <c r="BG46" s="142">
        <f t="shared" si="155"/>
        <v>1</v>
      </c>
      <c r="BH46" s="132"/>
      <c r="BI46" s="23"/>
      <c r="BJ46" s="23"/>
      <c r="BK46" s="142">
        <f>IF($AA$46=0,1,BJ46/$AA$46-1)</f>
        <v>1</v>
      </c>
      <c r="BL46" s="142">
        <f t="shared" si="24"/>
        <v>1</v>
      </c>
      <c r="BM46" s="166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</row>
    <row r="47" spans="1:206" s="70" customFormat="1" ht="18" customHeight="1">
      <c r="A47" s="434" t="s">
        <v>106</v>
      </c>
      <c r="B47" s="434"/>
      <c r="C47" s="140">
        <f t="shared" ref="C47:F47" si="156">C48+C49+C55+C56+C61+C57+C58+C59+C60+C62</f>
        <v>0</v>
      </c>
      <c r="D47" s="140">
        <f t="shared" si="156"/>
        <v>0</v>
      </c>
      <c r="E47" s="140">
        <f t="shared" si="156"/>
        <v>0</v>
      </c>
      <c r="F47" s="140">
        <f t="shared" si="156"/>
        <v>0</v>
      </c>
      <c r="G47" s="132">
        <f t="shared" si="143"/>
        <v>0</v>
      </c>
      <c r="H47" s="140">
        <f t="shared" ref="H47:AA47" si="157">H48+H49+H55+H56+H61+H57+H58+H59+H60+H62</f>
        <v>0</v>
      </c>
      <c r="I47" s="140">
        <f t="shared" si="157"/>
        <v>0</v>
      </c>
      <c r="J47" s="140">
        <f t="shared" si="157"/>
        <v>0</v>
      </c>
      <c r="K47" s="140">
        <f t="shared" si="157"/>
        <v>0</v>
      </c>
      <c r="L47" s="140">
        <f t="shared" si="157"/>
        <v>0</v>
      </c>
      <c r="M47" s="140">
        <f t="shared" si="157"/>
        <v>0</v>
      </c>
      <c r="N47" s="140">
        <f t="shared" si="157"/>
        <v>0</v>
      </c>
      <c r="O47" s="140">
        <f t="shared" si="157"/>
        <v>0</v>
      </c>
      <c r="P47" s="140">
        <f t="shared" si="157"/>
        <v>0</v>
      </c>
      <c r="Q47" s="140">
        <f t="shared" si="157"/>
        <v>0</v>
      </c>
      <c r="R47" s="140">
        <f t="shared" si="157"/>
        <v>0</v>
      </c>
      <c r="S47" s="140">
        <f t="shared" si="157"/>
        <v>0</v>
      </c>
      <c r="T47" s="140">
        <f t="shared" si="157"/>
        <v>0</v>
      </c>
      <c r="U47" s="140">
        <f t="shared" si="157"/>
        <v>0</v>
      </c>
      <c r="V47" s="140">
        <f t="shared" si="157"/>
        <v>0</v>
      </c>
      <c r="W47" s="140">
        <f t="shared" si="157"/>
        <v>0</v>
      </c>
      <c r="X47" s="140">
        <f t="shared" si="157"/>
        <v>0</v>
      </c>
      <c r="Y47" s="140">
        <f t="shared" si="157"/>
        <v>0</v>
      </c>
      <c r="Z47" s="140">
        <f t="shared" si="157"/>
        <v>0</v>
      </c>
      <c r="AA47" s="140">
        <f t="shared" si="157"/>
        <v>0</v>
      </c>
      <c r="AB47" s="142">
        <f t="shared" si="145"/>
        <v>1</v>
      </c>
      <c r="AC47" s="140">
        <f t="shared" ref="AC47:AE47" si="158">AC48+AC49+AC55+AC56+AC61+AC57+AC58+AC59+AC60+AC62</f>
        <v>0</v>
      </c>
      <c r="AD47" s="140">
        <f t="shared" si="158"/>
        <v>0</v>
      </c>
      <c r="AE47" s="140">
        <f t="shared" si="158"/>
        <v>0</v>
      </c>
      <c r="AF47" s="142">
        <f t="shared" si="146"/>
        <v>1</v>
      </c>
      <c r="AG47" s="140">
        <f>AG48+AG49+AG55+AG56+AG61+AG57+AG58+AG59+AG60+AG62</f>
        <v>0</v>
      </c>
      <c r="AH47" s="140">
        <f>AH48+AH49+AH55+AH56+AH61+AH57+AH58+AH59+AH60+AH62</f>
        <v>0</v>
      </c>
      <c r="AI47" s="142">
        <f t="shared" si="147"/>
        <v>1</v>
      </c>
      <c r="AJ47" s="140">
        <f>AJ48+AJ49+AJ55+AJ56+AJ61+AJ57+AJ58+AJ59+AJ60+AJ62</f>
        <v>0</v>
      </c>
      <c r="AK47" s="140">
        <f>AK48+AK49+AK55+AK56+AK61+AK57+AK58+AK59+AK60+AK62</f>
        <v>0</v>
      </c>
      <c r="AL47" s="142">
        <f t="shared" si="148"/>
        <v>1</v>
      </c>
      <c r="AM47" s="140">
        <f>AM48+AM49+AM55+AM56+AM61+AM57+AM58+AM59+AM60+AM62</f>
        <v>0</v>
      </c>
      <c r="AN47" s="140">
        <f>AN48+AN49+AN55+AN56+AN61+AN57+AN58+AN59+AN60+AN62</f>
        <v>0</v>
      </c>
      <c r="AO47" s="142">
        <f t="shared" si="149"/>
        <v>1</v>
      </c>
      <c r="AP47" s="140">
        <f>AP48+AP49+AP55+AP56+AP61+AP57+AP58+AP59+AP60+AP62</f>
        <v>0</v>
      </c>
      <c r="AQ47" s="140">
        <f>AQ48+AQ49+AQ55+AQ56+AQ61+AQ57+AQ58+AQ59+AQ60+AQ62</f>
        <v>0</v>
      </c>
      <c r="AR47" s="142">
        <f t="shared" si="150"/>
        <v>1</v>
      </c>
      <c r="AS47" s="140">
        <f>AS48+AS49+AS55+AS56+AS61+AS57+AS58+AS59+AS60+AS62</f>
        <v>0</v>
      </c>
      <c r="AT47" s="140">
        <f>AT48+AT49+AT55+AT56+AT61+AT57+AT58+AT59+AT60+AT62</f>
        <v>0</v>
      </c>
      <c r="AU47" s="142">
        <f t="shared" si="151"/>
        <v>1</v>
      </c>
      <c r="AV47" s="140">
        <f>AV48+AV49+AV55+AV56+AV61+AV57+AV58+AV59+AV60+AV62</f>
        <v>0</v>
      </c>
      <c r="AW47" s="140">
        <f>AW48+AW49+AW55+AW56+AW61+AW57+AW58+AW59+AW60+AW62</f>
        <v>0</v>
      </c>
      <c r="AX47" s="142">
        <f t="shared" si="152"/>
        <v>1</v>
      </c>
      <c r="AY47" s="140">
        <f>AY48+AY49+AY55+AY56+AY61+AY57+AY58+AY59+AY60+AY62</f>
        <v>0</v>
      </c>
      <c r="AZ47" s="140">
        <f>AZ48+AZ49+AZ55+AZ56+AZ61+AZ57+AZ58+AZ59+AZ60+AZ62</f>
        <v>0</v>
      </c>
      <c r="BA47" s="142">
        <f t="shared" si="153"/>
        <v>1</v>
      </c>
      <c r="BB47" s="140">
        <f>BB48+BB49+BB55+BB56+BB61+BB57+BB58+BB59+BB60+BB62</f>
        <v>0</v>
      </c>
      <c r="BC47" s="140">
        <f>BC48+BC49+BC55+BC56+BC61+BC57+BC58+BC59+BC60+BC62</f>
        <v>0</v>
      </c>
      <c r="BD47" s="142">
        <f t="shared" si="154"/>
        <v>1</v>
      </c>
      <c r="BE47" s="140">
        <f>BE48+BE49+BE55+BE56+BE61+BE57+BE58+BE59+BE60+BE62</f>
        <v>0</v>
      </c>
      <c r="BF47" s="140">
        <f>BF48+BF49+BF55+BF56+BF61+BF57+BF58+BF59+BF60+BF62</f>
        <v>0</v>
      </c>
      <c r="BG47" s="142">
        <f t="shared" si="155"/>
        <v>1</v>
      </c>
      <c r="BH47" s="140">
        <f t="shared" ref="BH47:BJ47" si="159">BH48+BH49+BH55+BH56+BH61+BH57+BH58+BH59+BH60+BH62</f>
        <v>0</v>
      </c>
      <c r="BI47" s="140">
        <f t="shared" si="159"/>
        <v>0</v>
      </c>
      <c r="BJ47" s="140">
        <f t="shared" si="159"/>
        <v>0</v>
      </c>
      <c r="BK47" s="142">
        <f>IF($AA$47=0,1,BJ47/$AA$47-1)</f>
        <v>1</v>
      </c>
      <c r="BL47" s="142">
        <f t="shared" si="24"/>
        <v>1</v>
      </c>
      <c r="BM47" s="166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</row>
    <row r="48" spans="1:206" s="64" customFormat="1" ht="21.75" customHeight="1">
      <c r="A48" s="426" t="s">
        <v>132</v>
      </c>
      <c r="B48" s="426"/>
      <c r="C48" s="29"/>
      <c r="D48" s="134">
        <f>E48+F48+H48+J48+L48+N48+P48+R48+T48+V48+X48+Z48</f>
        <v>0</v>
      </c>
      <c r="E48" s="29"/>
      <c r="F48" s="29"/>
      <c r="G48" s="134">
        <f t="shared" si="143"/>
        <v>0</v>
      </c>
      <c r="H48" s="29"/>
      <c r="I48" s="134"/>
      <c r="J48" s="29"/>
      <c r="K48" s="134"/>
      <c r="L48" s="29"/>
      <c r="M48" s="134"/>
      <c r="N48" s="29"/>
      <c r="O48" s="134"/>
      <c r="P48" s="29"/>
      <c r="Q48" s="134"/>
      <c r="R48" s="29"/>
      <c r="S48" s="134"/>
      <c r="T48" s="29"/>
      <c r="U48" s="134"/>
      <c r="V48" s="29"/>
      <c r="W48" s="134"/>
      <c r="X48" s="29"/>
      <c r="Y48" s="134"/>
      <c r="Z48" s="29"/>
      <c r="AA48" s="29"/>
      <c r="AB48" s="135">
        <f t="shared" si="145"/>
        <v>1</v>
      </c>
      <c r="AC48" s="29"/>
      <c r="AD48" s="29"/>
      <c r="AE48" s="134">
        <f t="shared" ref="AE48:AE73" si="160">AC48+AD48</f>
        <v>0</v>
      </c>
      <c r="AF48" s="135">
        <f t="shared" si="146"/>
        <v>1</v>
      </c>
      <c r="AG48" s="29"/>
      <c r="AH48" s="134"/>
      <c r="AI48" s="135">
        <f t="shared" si="147"/>
        <v>1</v>
      </c>
      <c r="AJ48" s="29"/>
      <c r="AK48" s="134"/>
      <c r="AL48" s="135">
        <f t="shared" si="148"/>
        <v>1</v>
      </c>
      <c r="AM48" s="29"/>
      <c r="AN48" s="134"/>
      <c r="AO48" s="135">
        <f t="shared" si="149"/>
        <v>1</v>
      </c>
      <c r="AP48" s="29"/>
      <c r="AQ48" s="134"/>
      <c r="AR48" s="135">
        <f t="shared" si="150"/>
        <v>1</v>
      </c>
      <c r="AS48" s="29"/>
      <c r="AT48" s="134"/>
      <c r="AU48" s="135">
        <f t="shared" si="151"/>
        <v>1</v>
      </c>
      <c r="AV48" s="29"/>
      <c r="AW48" s="134"/>
      <c r="AX48" s="135">
        <f t="shared" si="152"/>
        <v>1</v>
      </c>
      <c r="AY48" s="29"/>
      <c r="AZ48" s="134"/>
      <c r="BA48" s="135">
        <f t="shared" si="153"/>
        <v>1</v>
      </c>
      <c r="BB48" s="29"/>
      <c r="BC48" s="134"/>
      <c r="BD48" s="135">
        <f t="shared" si="154"/>
        <v>1</v>
      </c>
      <c r="BE48" s="29"/>
      <c r="BF48" s="134"/>
      <c r="BG48" s="135">
        <f t="shared" si="155"/>
        <v>1</v>
      </c>
      <c r="BH48" s="134"/>
      <c r="BI48" s="26"/>
      <c r="BJ48" s="26"/>
      <c r="BK48" s="135">
        <f>IF($AA$48=0,1,BJ48/$AA$48-1)</f>
        <v>1</v>
      </c>
      <c r="BL48" s="135">
        <f t="shared" si="24"/>
        <v>1</v>
      </c>
      <c r="BM48" s="167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</row>
    <row r="49" spans="1:206" s="66" customFormat="1" ht="18" customHeight="1">
      <c r="A49" s="426" t="s">
        <v>108</v>
      </c>
      <c r="B49" s="426"/>
      <c r="C49" s="29">
        <f>C50+C51+C52</f>
        <v>0</v>
      </c>
      <c r="D49" s="137">
        <f t="shared" ref="D49:AA49" si="161">D50+D51+D52</f>
        <v>0</v>
      </c>
      <c r="E49" s="29">
        <f t="shared" si="161"/>
        <v>0</v>
      </c>
      <c r="F49" s="29">
        <f t="shared" si="161"/>
        <v>0</v>
      </c>
      <c r="G49" s="134">
        <f t="shared" si="143"/>
        <v>0</v>
      </c>
      <c r="H49" s="29">
        <f t="shared" ref="H49" si="162">H50+H51+H52</f>
        <v>0</v>
      </c>
      <c r="I49" s="137">
        <f t="shared" si="161"/>
        <v>0</v>
      </c>
      <c r="J49" s="29">
        <f t="shared" si="161"/>
        <v>0</v>
      </c>
      <c r="K49" s="137">
        <f t="shared" si="161"/>
        <v>0</v>
      </c>
      <c r="L49" s="29">
        <f t="shared" si="161"/>
        <v>0</v>
      </c>
      <c r="M49" s="137">
        <f t="shared" si="161"/>
        <v>0</v>
      </c>
      <c r="N49" s="29">
        <f t="shared" si="161"/>
        <v>0</v>
      </c>
      <c r="O49" s="137">
        <f t="shared" si="161"/>
        <v>0</v>
      </c>
      <c r="P49" s="29">
        <f t="shared" si="161"/>
        <v>0</v>
      </c>
      <c r="Q49" s="137">
        <f t="shared" si="161"/>
        <v>0</v>
      </c>
      <c r="R49" s="29">
        <f t="shared" si="161"/>
        <v>0</v>
      </c>
      <c r="S49" s="137">
        <f t="shared" si="161"/>
        <v>0</v>
      </c>
      <c r="T49" s="29">
        <f t="shared" si="161"/>
        <v>0</v>
      </c>
      <c r="U49" s="137">
        <f t="shared" si="161"/>
        <v>0</v>
      </c>
      <c r="V49" s="29">
        <f t="shared" si="161"/>
        <v>0</v>
      </c>
      <c r="W49" s="137">
        <f t="shared" si="161"/>
        <v>0</v>
      </c>
      <c r="X49" s="29">
        <f t="shared" si="161"/>
        <v>0</v>
      </c>
      <c r="Y49" s="137">
        <f t="shared" si="161"/>
        <v>0</v>
      </c>
      <c r="Z49" s="29">
        <f t="shared" si="161"/>
        <v>0</v>
      </c>
      <c r="AA49" s="29">
        <f t="shared" si="161"/>
        <v>0</v>
      </c>
      <c r="AB49" s="135">
        <f t="shared" si="145"/>
        <v>1</v>
      </c>
      <c r="AC49" s="29">
        <f t="shared" ref="AC49:AD49" si="163">AC50+AC51+AC52</f>
        <v>0</v>
      </c>
      <c r="AD49" s="29">
        <f t="shared" si="163"/>
        <v>0</v>
      </c>
      <c r="AE49" s="134">
        <f t="shared" si="160"/>
        <v>0</v>
      </c>
      <c r="AF49" s="135">
        <f t="shared" si="146"/>
        <v>1</v>
      </c>
      <c r="AG49" s="29">
        <f t="shared" ref="AG49:BF49" si="164">AG50+AG51+AG52</f>
        <v>0</v>
      </c>
      <c r="AH49" s="134">
        <f t="shared" si="164"/>
        <v>0</v>
      </c>
      <c r="AI49" s="135">
        <f t="shared" si="147"/>
        <v>1</v>
      </c>
      <c r="AJ49" s="29">
        <f t="shared" ref="AJ49" si="165">AJ50+AJ51+AJ52</f>
        <v>0</v>
      </c>
      <c r="AK49" s="134">
        <f t="shared" si="164"/>
        <v>0</v>
      </c>
      <c r="AL49" s="135">
        <f t="shared" si="148"/>
        <v>1</v>
      </c>
      <c r="AM49" s="29">
        <f t="shared" ref="AM49" si="166">AM50+AM51+AM52</f>
        <v>0</v>
      </c>
      <c r="AN49" s="134">
        <f t="shared" si="164"/>
        <v>0</v>
      </c>
      <c r="AO49" s="135">
        <f t="shared" si="149"/>
        <v>1</v>
      </c>
      <c r="AP49" s="29">
        <f t="shared" ref="AP49" si="167">AP50+AP51+AP52</f>
        <v>0</v>
      </c>
      <c r="AQ49" s="134">
        <f t="shared" si="164"/>
        <v>0</v>
      </c>
      <c r="AR49" s="135">
        <f t="shared" si="150"/>
        <v>1</v>
      </c>
      <c r="AS49" s="29">
        <f t="shared" ref="AS49" si="168">AS50+AS51+AS52</f>
        <v>0</v>
      </c>
      <c r="AT49" s="134">
        <f t="shared" si="164"/>
        <v>0</v>
      </c>
      <c r="AU49" s="135">
        <f t="shared" si="151"/>
        <v>1</v>
      </c>
      <c r="AV49" s="29">
        <f t="shared" ref="AV49" si="169">AV50+AV51+AV52</f>
        <v>0</v>
      </c>
      <c r="AW49" s="134">
        <f t="shared" si="164"/>
        <v>0</v>
      </c>
      <c r="AX49" s="135">
        <f t="shared" si="152"/>
        <v>1</v>
      </c>
      <c r="AY49" s="29">
        <f t="shared" ref="AY49" si="170">AY50+AY51+AY52</f>
        <v>0</v>
      </c>
      <c r="AZ49" s="134">
        <f t="shared" si="164"/>
        <v>0</v>
      </c>
      <c r="BA49" s="135">
        <f t="shared" si="153"/>
        <v>1</v>
      </c>
      <c r="BB49" s="29">
        <f t="shared" ref="BB49" si="171">BB50+BB51+BB52</f>
        <v>0</v>
      </c>
      <c r="BC49" s="134">
        <f t="shared" si="164"/>
        <v>0</v>
      </c>
      <c r="BD49" s="135">
        <f t="shared" si="154"/>
        <v>1</v>
      </c>
      <c r="BE49" s="29">
        <f t="shared" ref="BE49" si="172">BE50+BE51+BE52</f>
        <v>0</v>
      </c>
      <c r="BF49" s="134">
        <f t="shared" si="164"/>
        <v>0</v>
      </c>
      <c r="BG49" s="135">
        <f t="shared" si="155"/>
        <v>1</v>
      </c>
      <c r="BH49" s="134">
        <f t="shared" ref="BH49:BJ49" si="173">BH50+BH51+BH52</f>
        <v>0</v>
      </c>
      <c r="BI49" s="134">
        <f t="shared" si="173"/>
        <v>0</v>
      </c>
      <c r="BJ49" s="134">
        <f t="shared" si="173"/>
        <v>0</v>
      </c>
      <c r="BK49" s="135">
        <f>IF($AA$49=0,1,BJ49/$AA$49-1)</f>
        <v>1</v>
      </c>
      <c r="BL49" s="135">
        <f t="shared" si="24"/>
        <v>1</v>
      </c>
      <c r="BM49" s="167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</row>
    <row r="50" spans="1:206" s="66" customFormat="1" ht="18" customHeight="1">
      <c r="A50" s="426" t="s">
        <v>110</v>
      </c>
      <c r="B50" s="426"/>
      <c r="C50" s="29"/>
      <c r="D50" s="134">
        <f t="shared" ref="D50:D73" si="174">E50+F50+H50+J50+L50+N50+P50+R50+T50+V50+X50+Z50</f>
        <v>0</v>
      </c>
      <c r="E50" s="29"/>
      <c r="F50" s="29"/>
      <c r="G50" s="134">
        <f t="shared" si="143"/>
        <v>0</v>
      </c>
      <c r="H50" s="29"/>
      <c r="I50" s="134"/>
      <c r="J50" s="29"/>
      <c r="K50" s="134"/>
      <c r="L50" s="29"/>
      <c r="M50" s="134"/>
      <c r="N50" s="29"/>
      <c r="O50" s="134"/>
      <c r="P50" s="29"/>
      <c r="Q50" s="134"/>
      <c r="R50" s="29"/>
      <c r="S50" s="134"/>
      <c r="T50" s="29"/>
      <c r="U50" s="134"/>
      <c r="V50" s="29"/>
      <c r="W50" s="134"/>
      <c r="X50" s="29"/>
      <c r="Y50" s="134"/>
      <c r="Z50" s="29"/>
      <c r="AA50" s="29"/>
      <c r="AB50" s="135">
        <f t="shared" si="145"/>
        <v>1</v>
      </c>
      <c r="AC50" s="29"/>
      <c r="AD50" s="29"/>
      <c r="AE50" s="134">
        <f t="shared" si="160"/>
        <v>0</v>
      </c>
      <c r="AF50" s="135">
        <f t="shared" si="146"/>
        <v>1</v>
      </c>
      <c r="AG50" s="29"/>
      <c r="AH50" s="134"/>
      <c r="AI50" s="135">
        <f t="shared" si="147"/>
        <v>1</v>
      </c>
      <c r="AJ50" s="29"/>
      <c r="AK50" s="134"/>
      <c r="AL50" s="135">
        <f t="shared" si="148"/>
        <v>1</v>
      </c>
      <c r="AM50" s="29"/>
      <c r="AN50" s="134"/>
      <c r="AO50" s="135">
        <f t="shared" si="149"/>
        <v>1</v>
      </c>
      <c r="AP50" s="29"/>
      <c r="AQ50" s="134"/>
      <c r="AR50" s="135">
        <f t="shared" si="150"/>
        <v>1</v>
      </c>
      <c r="AS50" s="29"/>
      <c r="AT50" s="134"/>
      <c r="AU50" s="135">
        <f t="shared" si="151"/>
        <v>1</v>
      </c>
      <c r="AV50" s="29"/>
      <c r="AW50" s="134"/>
      <c r="AX50" s="135">
        <f t="shared" si="152"/>
        <v>1</v>
      </c>
      <c r="AY50" s="29"/>
      <c r="AZ50" s="134"/>
      <c r="BA50" s="135">
        <f t="shared" si="153"/>
        <v>1</v>
      </c>
      <c r="BB50" s="29"/>
      <c r="BC50" s="134"/>
      <c r="BD50" s="135">
        <f t="shared" si="154"/>
        <v>1</v>
      </c>
      <c r="BE50" s="29"/>
      <c r="BF50" s="134"/>
      <c r="BG50" s="135">
        <f t="shared" si="155"/>
        <v>1</v>
      </c>
      <c r="BH50" s="134"/>
      <c r="BI50" s="26"/>
      <c r="BJ50" s="26"/>
      <c r="BK50" s="135">
        <f>IF($AA$50=0,1,BJ50/$AA$50-1)</f>
        <v>1</v>
      </c>
      <c r="BL50" s="135">
        <f t="shared" si="24"/>
        <v>1</v>
      </c>
      <c r="BM50" s="167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</row>
    <row r="51" spans="1:206" s="66" customFormat="1" ht="18" customHeight="1">
      <c r="A51" s="426" t="s">
        <v>111</v>
      </c>
      <c r="B51" s="426"/>
      <c r="C51" s="29"/>
      <c r="D51" s="134">
        <f t="shared" si="174"/>
        <v>0</v>
      </c>
      <c r="E51" s="29"/>
      <c r="F51" s="29"/>
      <c r="G51" s="134">
        <f t="shared" si="143"/>
        <v>0</v>
      </c>
      <c r="H51" s="29"/>
      <c r="I51" s="134"/>
      <c r="J51" s="29"/>
      <c r="K51" s="134"/>
      <c r="L51" s="29"/>
      <c r="M51" s="134"/>
      <c r="N51" s="29"/>
      <c r="O51" s="134"/>
      <c r="P51" s="29"/>
      <c r="Q51" s="134"/>
      <c r="R51" s="29"/>
      <c r="S51" s="134"/>
      <c r="T51" s="29"/>
      <c r="U51" s="134"/>
      <c r="V51" s="29"/>
      <c r="W51" s="134"/>
      <c r="X51" s="29"/>
      <c r="Y51" s="134"/>
      <c r="Z51" s="29"/>
      <c r="AA51" s="29"/>
      <c r="AB51" s="135">
        <f t="shared" si="145"/>
        <v>1</v>
      </c>
      <c r="AC51" s="29"/>
      <c r="AD51" s="29"/>
      <c r="AE51" s="134">
        <f t="shared" si="160"/>
        <v>0</v>
      </c>
      <c r="AF51" s="135">
        <f t="shared" si="146"/>
        <v>1</v>
      </c>
      <c r="AG51" s="29"/>
      <c r="AH51" s="134"/>
      <c r="AI51" s="135">
        <f t="shared" si="147"/>
        <v>1</v>
      </c>
      <c r="AJ51" s="29"/>
      <c r="AK51" s="134"/>
      <c r="AL51" s="135">
        <f t="shared" si="148"/>
        <v>1</v>
      </c>
      <c r="AM51" s="29"/>
      <c r="AN51" s="134"/>
      <c r="AO51" s="135">
        <f t="shared" si="149"/>
        <v>1</v>
      </c>
      <c r="AP51" s="29"/>
      <c r="AQ51" s="134"/>
      <c r="AR51" s="135">
        <f t="shared" si="150"/>
        <v>1</v>
      </c>
      <c r="AS51" s="29"/>
      <c r="AT51" s="134"/>
      <c r="AU51" s="135">
        <f t="shared" si="151"/>
        <v>1</v>
      </c>
      <c r="AV51" s="29"/>
      <c r="AW51" s="134"/>
      <c r="AX51" s="135">
        <f t="shared" si="152"/>
        <v>1</v>
      </c>
      <c r="AY51" s="29"/>
      <c r="AZ51" s="134"/>
      <c r="BA51" s="135">
        <f t="shared" si="153"/>
        <v>1</v>
      </c>
      <c r="BB51" s="29"/>
      <c r="BC51" s="134"/>
      <c r="BD51" s="135">
        <f t="shared" si="154"/>
        <v>1</v>
      </c>
      <c r="BE51" s="29"/>
      <c r="BF51" s="134"/>
      <c r="BG51" s="135">
        <f t="shared" si="155"/>
        <v>1</v>
      </c>
      <c r="BH51" s="134"/>
      <c r="BI51" s="26"/>
      <c r="BJ51" s="26"/>
      <c r="BK51" s="135">
        <f>IF($AA$51=0,1,BJ51/$AA$51-1)</f>
        <v>1</v>
      </c>
      <c r="BL51" s="135">
        <f t="shared" si="24"/>
        <v>1</v>
      </c>
      <c r="BM51" s="167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</row>
    <row r="52" spans="1:206" s="66" customFormat="1" ht="18" customHeight="1">
      <c r="A52" s="426" t="s">
        <v>112</v>
      </c>
      <c r="B52" s="426"/>
      <c r="C52" s="29"/>
      <c r="D52" s="134">
        <f t="shared" si="174"/>
        <v>0</v>
      </c>
      <c r="E52" s="29"/>
      <c r="F52" s="29"/>
      <c r="G52" s="134">
        <f t="shared" si="143"/>
        <v>0</v>
      </c>
      <c r="H52" s="29"/>
      <c r="I52" s="134"/>
      <c r="J52" s="29"/>
      <c r="K52" s="134"/>
      <c r="L52" s="29"/>
      <c r="M52" s="134"/>
      <c r="N52" s="29"/>
      <c r="O52" s="134"/>
      <c r="P52" s="29"/>
      <c r="Q52" s="134"/>
      <c r="R52" s="29"/>
      <c r="S52" s="134"/>
      <c r="T52" s="29"/>
      <c r="U52" s="134"/>
      <c r="V52" s="29"/>
      <c r="W52" s="134"/>
      <c r="X52" s="29"/>
      <c r="Y52" s="134"/>
      <c r="Z52" s="29"/>
      <c r="AA52" s="29"/>
      <c r="AB52" s="135">
        <f t="shared" si="145"/>
        <v>1</v>
      </c>
      <c r="AC52" s="29"/>
      <c r="AD52" s="29"/>
      <c r="AE52" s="134">
        <f t="shared" si="160"/>
        <v>0</v>
      </c>
      <c r="AF52" s="135">
        <f t="shared" si="146"/>
        <v>1</v>
      </c>
      <c r="AG52" s="29"/>
      <c r="AH52" s="134"/>
      <c r="AI52" s="135">
        <f t="shared" si="147"/>
        <v>1</v>
      </c>
      <c r="AJ52" s="29"/>
      <c r="AK52" s="134"/>
      <c r="AL52" s="135">
        <f t="shared" si="148"/>
        <v>1</v>
      </c>
      <c r="AM52" s="29"/>
      <c r="AN52" s="134"/>
      <c r="AO52" s="135">
        <f t="shared" si="149"/>
        <v>1</v>
      </c>
      <c r="AP52" s="29"/>
      <c r="AQ52" s="134"/>
      <c r="AR52" s="135">
        <f t="shared" si="150"/>
        <v>1</v>
      </c>
      <c r="AS52" s="29"/>
      <c r="AT52" s="134"/>
      <c r="AU52" s="135">
        <f t="shared" si="151"/>
        <v>1</v>
      </c>
      <c r="AV52" s="29"/>
      <c r="AW52" s="134"/>
      <c r="AX52" s="135">
        <f t="shared" si="152"/>
        <v>1</v>
      </c>
      <c r="AY52" s="29"/>
      <c r="AZ52" s="134"/>
      <c r="BA52" s="135">
        <f t="shared" si="153"/>
        <v>1</v>
      </c>
      <c r="BB52" s="29"/>
      <c r="BC52" s="134"/>
      <c r="BD52" s="135">
        <f t="shared" si="154"/>
        <v>1</v>
      </c>
      <c r="BE52" s="29"/>
      <c r="BF52" s="134"/>
      <c r="BG52" s="135">
        <f t="shared" si="155"/>
        <v>1</v>
      </c>
      <c r="BH52" s="134"/>
      <c r="BI52" s="26"/>
      <c r="BJ52" s="26"/>
      <c r="BK52" s="135">
        <f>IF($AA$52=0,1,BJ52/$AA$52-1)</f>
        <v>1</v>
      </c>
      <c r="BL52" s="135">
        <f t="shared" si="24"/>
        <v>1</v>
      </c>
      <c r="BM52" s="167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</row>
    <row r="53" spans="1:206" s="66" customFormat="1" ht="18" customHeight="1">
      <c r="A53" s="426" t="s">
        <v>104</v>
      </c>
      <c r="B53" s="426"/>
      <c r="C53" s="29"/>
      <c r="D53" s="134">
        <f t="shared" si="174"/>
        <v>0</v>
      </c>
      <c r="E53" s="29"/>
      <c r="F53" s="29"/>
      <c r="G53" s="134">
        <f t="shared" si="143"/>
        <v>0</v>
      </c>
      <c r="H53" s="29"/>
      <c r="I53" s="134">
        <f>G53+H53</f>
        <v>0</v>
      </c>
      <c r="J53" s="29"/>
      <c r="K53" s="134">
        <f>I53+J53</f>
        <v>0</v>
      </c>
      <c r="L53" s="29"/>
      <c r="M53" s="134">
        <f>K53+L53</f>
        <v>0</v>
      </c>
      <c r="N53" s="29"/>
      <c r="O53" s="134">
        <f>M53+N53</f>
        <v>0</v>
      </c>
      <c r="P53" s="29"/>
      <c r="Q53" s="134">
        <f>O53+P53</f>
        <v>0</v>
      </c>
      <c r="R53" s="29"/>
      <c r="S53" s="134">
        <f>Q53+R53</f>
        <v>0</v>
      </c>
      <c r="T53" s="29"/>
      <c r="U53" s="134">
        <f>S53+T53</f>
        <v>0</v>
      </c>
      <c r="V53" s="29"/>
      <c r="W53" s="134">
        <f>U53+V53</f>
        <v>0</v>
      </c>
      <c r="X53" s="29"/>
      <c r="Y53" s="134">
        <f>W53+X53</f>
        <v>0</v>
      </c>
      <c r="Z53" s="29"/>
      <c r="AA53" s="29"/>
      <c r="AB53" s="135">
        <f t="shared" si="145"/>
        <v>1</v>
      </c>
      <c r="AC53" s="29"/>
      <c r="AD53" s="29"/>
      <c r="AE53" s="134">
        <f t="shared" si="160"/>
        <v>0</v>
      </c>
      <c r="AF53" s="135">
        <f t="shared" si="146"/>
        <v>1</v>
      </c>
      <c r="AG53" s="29"/>
      <c r="AH53" s="134">
        <f>AE53+AG53</f>
        <v>0</v>
      </c>
      <c r="AI53" s="135">
        <f t="shared" si="147"/>
        <v>1</v>
      </c>
      <c r="AJ53" s="29"/>
      <c r="AK53" s="134">
        <f>AH53+AJ53</f>
        <v>0</v>
      </c>
      <c r="AL53" s="135">
        <f t="shared" si="148"/>
        <v>1</v>
      </c>
      <c r="AM53" s="29"/>
      <c r="AN53" s="134">
        <f>AK53+AM53</f>
        <v>0</v>
      </c>
      <c r="AO53" s="135">
        <f t="shared" si="149"/>
        <v>1</v>
      </c>
      <c r="AP53" s="29"/>
      <c r="AQ53" s="134">
        <f>AN53+AP53</f>
        <v>0</v>
      </c>
      <c r="AR53" s="135">
        <f t="shared" si="150"/>
        <v>1</v>
      </c>
      <c r="AS53" s="29"/>
      <c r="AT53" s="134">
        <f>AQ53+AS53</f>
        <v>0</v>
      </c>
      <c r="AU53" s="135">
        <f t="shared" si="151"/>
        <v>1</v>
      </c>
      <c r="AV53" s="29"/>
      <c r="AW53" s="134">
        <f>AT53+AV53</f>
        <v>0</v>
      </c>
      <c r="AX53" s="135">
        <f t="shared" si="152"/>
        <v>1</v>
      </c>
      <c r="AY53" s="29"/>
      <c r="AZ53" s="134">
        <f>AW53+AY53</f>
        <v>0</v>
      </c>
      <c r="BA53" s="135">
        <f t="shared" si="153"/>
        <v>1</v>
      </c>
      <c r="BB53" s="29"/>
      <c r="BC53" s="134">
        <f>AZ53+BB53</f>
        <v>0</v>
      </c>
      <c r="BD53" s="135">
        <f t="shared" si="154"/>
        <v>1</v>
      </c>
      <c r="BE53" s="29"/>
      <c r="BF53" s="134">
        <f>BC53+BE53</f>
        <v>0</v>
      </c>
      <c r="BG53" s="135">
        <f t="shared" si="155"/>
        <v>1</v>
      </c>
      <c r="BH53" s="134"/>
      <c r="BI53" s="26"/>
      <c r="BJ53" s="26"/>
      <c r="BK53" s="135">
        <f>IF($AA$53=0,1,BJ53/$AA$53-1)</f>
        <v>1</v>
      </c>
      <c r="BL53" s="135">
        <f t="shared" si="24"/>
        <v>1</v>
      </c>
      <c r="BM53" s="167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</row>
    <row r="54" spans="1:206" s="66" customFormat="1" ht="18" customHeight="1">
      <c r="A54" s="426" t="s">
        <v>107</v>
      </c>
      <c r="B54" s="426"/>
      <c r="C54" s="29"/>
      <c r="D54" s="134">
        <f t="shared" si="174"/>
        <v>0</v>
      </c>
      <c r="E54" s="29"/>
      <c r="F54" s="29"/>
      <c r="G54" s="134">
        <f t="shared" si="143"/>
        <v>0</v>
      </c>
      <c r="H54" s="29"/>
      <c r="I54" s="134"/>
      <c r="J54" s="29"/>
      <c r="K54" s="134"/>
      <c r="L54" s="29"/>
      <c r="M54" s="134"/>
      <c r="N54" s="29"/>
      <c r="O54" s="134"/>
      <c r="P54" s="29"/>
      <c r="Q54" s="134"/>
      <c r="R54" s="29"/>
      <c r="S54" s="134"/>
      <c r="T54" s="29"/>
      <c r="U54" s="134"/>
      <c r="V54" s="29"/>
      <c r="W54" s="134"/>
      <c r="X54" s="29"/>
      <c r="Y54" s="134"/>
      <c r="Z54" s="29"/>
      <c r="AA54" s="29"/>
      <c r="AB54" s="135">
        <f t="shared" si="145"/>
        <v>1</v>
      </c>
      <c r="AC54" s="29"/>
      <c r="AD54" s="29"/>
      <c r="AE54" s="134">
        <f t="shared" si="160"/>
        <v>0</v>
      </c>
      <c r="AF54" s="135">
        <f t="shared" si="146"/>
        <v>1</v>
      </c>
      <c r="AG54" s="29"/>
      <c r="AH54" s="134"/>
      <c r="AI54" s="135">
        <f t="shared" si="147"/>
        <v>1</v>
      </c>
      <c r="AJ54" s="29"/>
      <c r="AK54" s="134"/>
      <c r="AL54" s="135">
        <f t="shared" si="148"/>
        <v>1</v>
      </c>
      <c r="AM54" s="29"/>
      <c r="AN54" s="134"/>
      <c r="AO54" s="135">
        <f t="shared" si="149"/>
        <v>1</v>
      </c>
      <c r="AP54" s="29"/>
      <c r="AQ54" s="134"/>
      <c r="AR54" s="135">
        <f t="shared" si="150"/>
        <v>1</v>
      </c>
      <c r="AS54" s="29"/>
      <c r="AT54" s="134"/>
      <c r="AU54" s="135">
        <f t="shared" si="151"/>
        <v>1</v>
      </c>
      <c r="AV54" s="29"/>
      <c r="AW54" s="134"/>
      <c r="AX54" s="135">
        <f t="shared" si="152"/>
        <v>1</v>
      </c>
      <c r="AY54" s="29"/>
      <c r="AZ54" s="134"/>
      <c r="BA54" s="135">
        <f t="shared" si="153"/>
        <v>1</v>
      </c>
      <c r="BB54" s="29"/>
      <c r="BC54" s="134"/>
      <c r="BD54" s="135">
        <f t="shared" si="154"/>
        <v>1</v>
      </c>
      <c r="BE54" s="29"/>
      <c r="BF54" s="134"/>
      <c r="BG54" s="135">
        <f t="shared" si="155"/>
        <v>1</v>
      </c>
      <c r="BH54" s="134"/>
      <c r="BI54" s="26"/>
      <c r="BJ54" s="26"/>
      <c r="BK54" s="135">
        <f>IF($AA$54=0,1,BJ54/$AA$54-1)</f>
        <v>1</v>
      </c>
      <c r="BL54" s="135">
        <f t="shared" si="24"/>
        <v>1</v>
      </c>
      <c r="BM54" s="167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</row>
    <row r="55" spans="1:206" s="64" customFormat="1" ht="18" customHeight="1">
      <c r="A55" s="426" t="s">
        <v>131</v>
      </c>
      <c r="B55" s="426"/>
      <c r="C55" s="29"/>
      <c r="D55" s="134">
        <f t="shared" si="174"/>
        <v>0</v>
      </c>
      <c r="E55" s="29"/>
      <c r="F55" s="29"/>
      <c r="G55" s="134">
        <f t="shared" si="143"/>
        <v>0</v>
      </c>
      <c r="H55" s="29"/>
      <c r="I55" s="134">
        <f>G55+H55</f>
        <v>0</v>
      </c>
      <c r="J55" s="29"/>
      <c r="K55" s="134">
        <f>I55+J55</f>
        <v>0</v>
      </c>
      <c r="L55" s="29"/>
      <c r="M55" s="134">
        <f>K55+L55</f>
        <v>0</v>
      </c>
      <c r="N55" s="29"/>
      <c r="O55" s="134">
        <f>M55+N55</f>
        <v>0</v>
      </c>
      <c r="P55" s="29"/>
      <c r="Q55" s="134">
        <f>O55+P55</f>
        <v>0</v>
      </c>
      <c r="R55" s="29"/>
      <c r="S55" s="134">
        <f>Q55+R55</f>
        <v>0</v>
      </c>
      <c r="T55" s="29"/>
      <c r="U55" s="134">
        <f>S55+T55</f>
        <v>0</v>
      </c>
      <c r="V55" s="29"/>
      <c r="W55" s="134">
        <f>U55+V55</f>
        <v>0</v>
      </c>
      <c r="X55" s="29"/>
      <c r="Y55" s="134">
        <f>W55+X55</f>
        <v>0</v>
      </c>
      <c r="Z55" s="29"/>
      <c r="AA55" s="29"/>
      <c r="AB55" s="135">
        <f t="shared" si="145"/>
        <v>1</v>
      </c>
      <c r="AC55" s="29"/>
      <c r="AD55" s="29"/>
      <c r="AE55" s="134">
        <f t="shared" si="160"/>
        <v>0</v>
      </c>
      <c r="AF55" s="135">
        <f t="shared" si="146"/>
        <v>1</v>
      </c>
      <c r="AG55" s="29"/>
      <c r="AH55" s="134">
        <f>AE55+AG55</f>
        <v>0</v>
      </c>
      <c r="AI55" s="135">
        <f t="shared" si="147"/>
        <v>1</v>
      </c>
      <c r="AJ55" s="29"/>
      <c r="AK55" s="134">
        <f>AH55+AJ55</f>
        <v>0</v>
      </c>
      <c r="AL55" s="135">
        <f t="shared" si="148"/>
        <v>1</v>
      </c>
      <c r="AM55" s="29"/>
      <c r="AN55" s="134">
        <f>AK55+AM55</f>
        <v>0</v>
      </c>
      <c r="AO55" s="135">
        <f t="shared" si="149"/>
        <v>1</v>
      </c>
      <c r="AP55" s="29"/>
      <c r="AQ55" s="134">
        <f>AN55+AP55</f>
        <v>0</v>
      </c>
      <c r="AR55" s="135">
        <f t="shared" si="150"/>
        <v>1</v>
      </c>
      <c r="AS55" s="29"/>
      <c r="AT55" s="134">
        <f>AQ55+AS55</f>
        <v>0</v>
      </c>
      <c r="AU55" s="135">
        <f t="shared" si="151"/>
        <v>1</v>
      </c>
      <c r="AV55" s="29"/>
      <c r="AW55" s="134">
        <f>AT55+AV55</f>
        <v>0</v>
      </c>
      <c r="AX55" s="135">
        <f t="shared" si="152"/>
        <v>1</v>
      </c>
      <c r="AY55" s="29"/>
      <c r="AZ55" s="134">
        <f>AW55+AY55</f>
        <v>0</v>
      </c>
      <c r="BA55" s="135">
        <f t="shared" si="153"/>
        <v>1</v>
      </c>
      <c r="BB55" s="29"/>
      <c r="BC55" s="134">
        <f>AZ55+BB55</f>
        <v>0</v>
      </c>
      <c r="BD55" s="135">
        <f t="shared" si="154"/>
        <v>1</v>
      </c>
      <c r="BE55" s="29"/>
      <c r="BF55" s="134">
        <f>BC55+BE55</f>
        <v>0</v>
      </c>
      <c r="BG55" s="135">
        <f t="shared" si="155"/>
        <v>1</v>
      </c>
      <c r="BH55" s="134"/>
      <c r="BI55" s="26"/>
      <c r="BJ55" s="26"/>
      <c r="BK55" s="135">
        <f>IF($AA$55=0,1,BJ55/$AA$55-1)</f>
        <v>1</v>
      </c>
      <c r="BL55" s="135">
        <f t="shared" si="24"/>
        <v>1</v>
      </c>
      <c r="BM55" s="167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</row>
    <row r="56" spans="1:206" s="64" customFormat="1" ht="18" customHeight="1">
      <c r="A56" s="426" t="s">
        <v>109</v>
      </c>
      <c r="B56" s="426"/>
      <c r="C56" s="29"/>
      <c r="D56" s="134">
        <f t="shared" si="174"/>
        <v>0</v>
      </c>
      <c r="E56" s="29"/>
      <c r="F56" s="29"/>
      <c r="G56" s="134">
        <f t="shared" si="143"/>
        <v>0</v>
      </c>
      <c r="H56" s="29"/>
      <c r="I56" s="134">
        <f>G56+H56</f>
        <v>0</v>
      </c>
      <c r="J56" s="29"/>
      <c r="K56" s="134">
        <f>I56+J56</f>
        <v>0</v>
      </c>
      <c r="L56" s="29"/>
      <c r="M56" s="134">
        <f>K56+L56</f>
        <v>0</v>
      </c>
      <c r="N56" s="29"/>
      <c r="O56" s="134">
        <f>M56+N56</f>
        <v>0</v>
      </c>
      <c r="P56" s="29"/>
      <c r="Q56" s="134">
        <f>O56+P56</f>
        <v>0</v>
      </c>
      <c r="R56" s="29"/>
      <c r="S56" s="134">
        <f>Q56+R56</f>
        <v>0</v>
      </c>
      <c r="T56" s="29"/>
      <c r="U56" s="134">
        <f>S56+T56</f>
        <v>0</v>
      </c>
      <c r="V56" s="29"/>
      <c r="W56" s="134">
        <f>U56+V56</f>
        <v>0</v>
      </c>
      <c r="X56" s="29"/>
      <c r="Y56" s="134">
        <f>W56+X56</f>
        <v>0</v>
      </c>
      <c r="Z56" s="29"/>
      <c r="AA56" s="29"/>
      <c r="AB56" s="135">
        <f t="shared" si="145"/>
        <v>1</v>
      </c>
      <c r="AC56" s="29"/>
      <c r="AD56" s="29"/>
      <c r="AE56" s="134">
        <f t="shared" si="160"/>
        <v>0</v>
      </c>
      <c r="AF56" s="135">
        <f t="shared" si="146"/>
        <v>1</v>
      </c>
      <c r="AG56" s="29"/>
      <c r="AH56" s="134">
        <f>AE56+AG56</f>
        <v>0</v>
      </c>
      <c r="AI56" s="135">
        <f t="shared" si="147"/>
        <v>1</v>
      </c>
      <c r="AJ56" s="29"/>
      <c r="AK56" s="134">
        <f>AH56+AJ56</f>
        <v>0</v>
      </c>
      <c r="AL56" s="135">
        <f t="shared" si="148"/>
        <v>1</v>
      </c>
      <c r="AM56" s="29"/>
      <c r="AN56" s="134">
        <f>AK56+AM56</f>
        <v>0</v>
      </c>
      <c r="AO56" s="135">
        <f t="shared" si="149"/>
        <v>1</v>
      </c>
      <c r="AP56" s="29"/>
      <c r="AQ56" s="134">
        <f>AN56+AP56</f>
        <v>0</v>
      </c>
      <c r="AR56" s="135">
        <f t="shared" si="150"/>
        <v>1</v>
      </c>
      <c r="AS56" s="29"/>
      <c r="AT56" s="134">
        <f>AQ56+AS56</f>
        <v>0</v>
      </c>
      <c r="AU56" s="135">
        <f t="shared" si="151"/>
        <v>1</v>
      </c>
      <c r="AV56" s="29"/>
      <c r="AW56" s="134">
        <f>AT56+AV56</f>
        <v>0</v>
      </c>
      <c r="AX56" s="135">
        <f t="shared" si="152"/>
        <v>1</v>
      </c>
      <c r="AY56" s="29"/>
      <c r="AZ56" s="134">
        <f>AW56+AY56</f>
        <v>0</v>
      </c>
      <c r="BA56" s="135">
        <f t="shared" si="153"/>
        <v>1</v>
      </c>
      <c r="BB56" s="29"/>
      <c r="BC56" s="134">
        <f>AZ56+BB56</f>
        <v>0</v>
      </c>
      <c r="BD56" s="135">
        <f t="shared" si="154"/>
        <v>1</v>
      </c>
      <c r="BE56" s="29"/>
      <c r="BF56" s="134">
        <f>BC56+BE56</f>
        <v>0</v>
      </c>
      <c r="BG56" s="135">
        <f t="shared" si="155"/>
        <v>1</v>
      </c>
      <c r="BH56" s="134"/>
      <c r="BI56" s="26"/>
      <c r="BJ56" s="26"/>
      <c r="BK56" s="135">
        <f>IF($AA$56=0,1,BJ56/$AA$56-1)</f>
        <v>1</v>
      </c>
      <c r="BL56" s="135">
        <f t="shared" si="24"/>
        <v>1</v>
      </c>
      <c r="BM56" s="167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</row>
    <row r="57" spans="1:206" s="64" customFormat="1" ht="18" customHeight="1">
      <c r="A57" s="426" t="s">
        <v>119</v>
      </c>
      <c r="B57" s="426"/>
      <c r="C57" s="29"/>
      <c r="D57" s="134">
        <f t="shared" si="174"/>
        <v>0</v>
      </c>
      <c r="E57" s="29"/>
      <c r="F57" s="29"/>
      <c r="G57" s="134">
        <f t="shared" si="143"/>
        <v>0</v>
      </c>
      <c r="H57" s="29"/>
      <c r="I57" s="134"/>
      <c r="J57" s="29"/>
      <c r="K57" s="134"/>
      <c r="L57" s="29"/>
      <c r="M57" s="134"/>
      <c r="N57" s="29"/>
      <c r="O57" s="134"/>
      <c r="P57" s="29"/>
      <c r="Q57" s="134"/>
      <c r="R57" s="29"/>
      <c r="S57" s="134"/>
      <c r="T57" s="29"/>
      <c r="U57" s="134"/>
      <c r="V57" s="29"/>
      <c r="W57" s="134"/>
      <c r="X57" s="29"/>
      <c r="Y57" s="134"/>
      <c r="Z57" s="29"/>
      <c r="AA57" s="29"/>
      <c r="AB57" s="135">
        <f t="shared" si="145"/>
        <v>1</v>
      </c>
      <c r="AC57" s="29"/>
      <c r="AD57" s="29"/>
      <c r="AE57" s="134">
        <f t="shared" si="160"/>
        <v>0</v>
      </c>
      <c r="AF57" s="135">
        <f t="shared" si="146"/>
        <v>1</v>
      </c>
      <c r="AG57" s="29"/>
      <c r="AH57" s="134"/>
      <c r="AI57" s="135">
        <f t="shared" si="147"/>
        <v>1</v>
      </c>
      <c r="AJ57" s="29"/>
      <c r="AK57" s="134"/>
      <c r="AL57" s="135">
        <f t="shared" si="148"/>
        <v>1</v>
      </c>
      <c r="AM57" s="29"/>
      <c r="AN57" s="134"/>
      <c r="AO57" s="135">
        <f t="shared" si="149"/>
        <v>1</v>
      </c>
      <c r="AP57" s="29"/>
      <c r="AQ57" s="134"/>
      <c r="AR57" s="135">
        <f t="shared" si="150"/>
        <v>1</v>
      </c>
      <c r="AS57" s="29"/>
      <c r="AT57" s="134"/>
      <c r="AU57" s="135">
        <f t="shared" si="151"/>
        <v>1</v>
      </c>
      <c r="AV57" s="29"/>
      <c r="AW57" s="134"/>
      <c r="AX57" s="135">
        <f t="shared" si="152"/>
        <v>1</v>
      </c>
      <c r="AY57" s="29"/>
      <c r="AZ57" s="134"/>
      <c r="BA57" s="135">
        <f t="shared" si="153"/>
        <v>1</v>
      </c>
      <c r="BB57" s="29"/>
      <c r="BC57" s="134"/>
      <c r="BD57" s="135">
        <f t="shared" si="154"/>
        <v>1</v>
      </c>
      <c r="BE57" s="29"/>
      <c r="BF57" s="134"/>
      <c r="BG57" s="135">
        <f t="shared" si="155"/>
        <v>1</v>
      </c>
      <c r="BH57" s="134"/>
      <c r="BI57" s="26"/>
      <c r="BJ57" s="26"/>
      <c r="BK57" s="135">
        <f>IF($AA$57=0,1,BJ57/$AA$57-1)</f>
        <v>1</v>
      </c>
      <c r="BL57" s="135">
        <f t="shared" si="24"/>
        <v>1</v>
      </c>
      <c r="BM57" s="167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</row>
    <row r="58" spans="1:206" s="64" customFormat="1" ht="18" customHeight="1">
      <c r="A58" s="426" t="s">
        <v>120</v>
      </c>
      <c r="B58" s="426"/>
      <c r="C58" s="29"/>
      <c r="D58" s="134">
        <f t="shared" si="174"/>
        <v>0</v>
      </c>
      <c r="E58" s="29"/>
      <c r="F58" s="29"/>
      <c r="G58" s="134">
        <f t="shared" si="143"/>
        <v>0</v>
      </c>
      <c r="H58" s="29"/>
      <c r="I58" s="134">
        <f>G58+H58</f>
        <v>0</v>
      </c>
      <c r="J58" s="29"/>
      <c r="K58" s="134">
        <f>I58+J58</f>
        <v>0</v>
      </c>
      <c r="L58" s="29"/>
      <c r="M58" s="134">
        <f>K58+L58</f>
        <v>0</v>
      </c>
      <c r="N58" s="29"/>
      <c r="O58" s="134">
        <f>M58+N58</f>
        <v>0</v>
      </c>
      <c r="P58" s="29"/>
      <c r="Q58" s="134">
        <f>O58+P58</f>
        <v>0</v>
      </c>
      <c r="R58" s="29"/>
      <c r="S58" s="134">
        <f>Q58+R58</f>
        <v>0</v>
      </c>
      <c r="T58" s="29"/>
      <c r="U58" s="134">
        <f>S58+T58</f>
        <v>0</v>
      </c>
      <c r="V58" s="29"/>
      <c r="W58" s="134">
        <f>U58+V58</f>
        <v>0</v>
      </c>
      <c r="X58" s="29"/>
      <c r="Y58" s="134">
        <f>W58+X58</f>
        <v>0</v>
      </c>
      <c r="Z58" s="29"/>
      <c r="AA58" s="29"/>
      <c r="AB58" s="135">
        <f t="shared" si="145"/>
        <v>1</v>
      </c>
      <c r="AC58" s="29"/>
      <c r="AD58" s="29"/>
      <c r="AE58" s="134">
        <f t="shared" si="160"/>
        <v>0</v>
      </c>
      <c r="AF58" s="135">
        <f t="shared" si="146"/>
        <v>1</v>
      </c>
      <c r="AG58" s="29"/>
      <c r="AH58" s="134">
        <f>AE58+AG58</f>
        <v>0</v>
      </c>
      <c r="AI58" s="135">
        <f t="shared" si="147"/>
        <v>1</v>
      </c>
      <c r="AJ58" s="29"/>
      <c r="AK58" s="134">
        <f>AH58+AJ58</f>
        <v>0</v>
      </c>
      <c r="AL58" s="135">
        <f t="shared" si="148"/>
        <v>1</v>
      </c>
      <c r="AM58" s="29"/>
      <c r="AN58" s="134">
        <f>AK58+AM58</f>
        <v>0</v>
      </c>
      <c r="AO58" s="135">
        <f t="shared" si="149"/>
        <v>1</v>
      </c>
      <c r="AP58" s="29"/>
      <c r="AQ58" s="134">
        <f>AN58+AP58</f>
        <v>0</v>
      </c>
      <c r="AR58" s="135">
        <f t="shared" si="150"/>
        <v>1</v>
      </c>
      <c r="AS58" s="29"/>
      <c r="AT58" s="134">
        <f>AQ58+AS58</f>
        <v>0</v>
      </c>
      <c r="AU58" s="135">
        <f t="shared" si="151"/>
        <v>1</v>
      </c>
      <c r="AV58" s="29"/>
      <c r="AW58" s="134">
        <f>AT58+AV58</f>
        <v>0</v>
      </c>
      <c r="AX58" s="135">
        <f t="shared" si="152"/>
        <v>1</v>
      </c>
      <c r="AY58" s="29"/>
      <c r="AZ58" s="134">
        <f>AW58+AY58</f>
        <v>0</v>
      </c>
      <c r="BA58" s="135">
        <f t="shared" si="153"/>
        <v>1</v>
      </c>
      <c r="BB58" s="29"/>
      <c r="BC58" s="134">
        <f>AZ58+BB58</f>
        <v>0</v>
      </c>
      <c r="BD58" s="135">
        <f t="shared" si="154"/>
        <v>1</v>
      </c>
      <c r="BE58" s="29"/>
      <c r="BF58" s="134">
        <f>BC58+BE58</f>
        <v>0</v>
      </c>
      <c r="BG58" s="135">
        <f t="shared" si="155"/>
        <v>1</v>
      </c>
      <c r="BH58" s="134"/>
      <c r="BI58" s="26"/>
      <c r="BJ58" s="26"/>
      <c r="BK58" s="135">
        <f>IF($AA$58=0,1,BJ58/$AA$58-1)</f>
        <v>1</v>
      </c>
      <c r="BL58" s="135">
        <f t="shared" si="24"/>
        <v>1</v>
      </c>
      <c r="BM58" s="167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</row>
    <row r="59" spans="1:206" s="64" customFormat="1" ht="18" customHeight="1">
      <c r="A59" s="426" t="s">
        <v>121</v>
      </c>
      <c r="B59" s="426"/>
      <c r="C59" s="29"/>
      <c r="D59" s="134">
        <f t="shared" si="174"/>
        <v>0</v>
      </c>
      <c r="E59" s="29"/>
      <c r="F59" s="29"/>
      <c r="G59" s="134">
        <f t="shared" si="143"/>
        <v>0</v>
      </c>
      <c r="H59" s="29"/>
      <c r="I59" s="134"/>
      <c r="J59" s="29"/>
      <c r="K59" s="134"/>
      <c r="L59" s="29"/>
      <c r="M59" s="134"/>
      <c r="N59" s="29"/>
      <c r="O59" s="134"/>
      <c r="P59" s="29"/>
      <c r="Q59" s="134"/>
      <c r="R59" s="29"/>
      <c r="S59" s="134"/>
      <c r="T59" s="29"/>
      <c r="U59" s="134"/>
      <c r="V59" s="29"/>
      <c r="W59" s="134"/>
      <c r="X59" s="29"/>
      <c r="Y59" s="134"/>
      <c r="Z59" s="29"/>
      <c r="AA59" s="29"/>
      <c r="AB59" s="135">
        <f t="shared" si="145"/>
        <v>1</v>
      </c>
      <c r="AC59" s="29"/>
      <c r="AD59" s="29"/>
      <c r="AE59" s="134">
        <f t="shared" si="160"/>
        <v>0</v>
      </c>
      <c r="AF59" s="135">
        <f t="shared" si="146"/>
        <v>1</v>
      </c>
      <c r="AG59" s="29"/>
      <c r="AH59" s="134"/>
      <c r="AI59" s="135">
        <f t="shared" si="147"/>
        <v>1</v>
      </c>
      <c r="AJ59" s="29"/>
      <c r="AK59" s="134"/>
      <c r="AL59" s="135">
        <f t="shared" si="148"/>
        <v>1</v>
      </c>
      <c r="AM59" s="29"/>
      <c r="AN59" s="134"/>
      <c r="AO59" s="135">
        <f t="shared" si="149"/>
        <v>1</v>
      </c>
      <c r="AP59" s="29"/>
      <c r="AQ59" s="134"/>
      <c r="AR59" s="135">
        <f t="shared" si="150"/>
        <v>1</v>
      </c>
      <c r="AS59" s="29"/>
      <c r="AT59" s="134"/>
      <c r="AU59" s="135">
        <f t="shared" si="151"/>
        <v>1</v>
      </c>
      <c r="AV59" s="29"/>
      <c r="AW59" s="134"/>
      <c r="AX59" s="135">
        <f t="shared" si="152"/>
        <v>1</v>
      </c>
      <c r="AY59" s="29"/>
      <c r="AZ59" s="134"/>
      <c r="BA59" s="135">
        <f t="shared" si="153"/>
        <v>1</v>
      </c>
      <c r="BB59" s="29"/>
      <c r="BC59" s="134"/>
      <c r="BD59" s="135">
        <f t="shared" si="154"/>
        <v>1</v>
      </c>
      <c r="BE59" s="29"/>
      <c r="BF59" s="134"/>
      <c r="BG59" s="135">
        <f t="shared" si="155"/>
        <v>1</v>
      </c>
      <c r="BH59" s="134"/>
      <c r="BI59" s="26"/>
      <c r="BJ59" s="26"/>
      <c r="BK59" s="135">
        <f>IF($AA$59=0,1,BJ59/$AA$59-1)</f>
        <v>1</v>
      </c>
      <c r="BL59" s="135">
        <f t="shared" si="24"/>
        <v>1</v>
      </c>
      <c r="BM59" s="167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</row>
    <row r="60" spans="1:206" s="64" customFormat="1" ht="18" customHeight="1">
      <c r="A60" s="426" t="s">
        <v>122</v>
      </c>
      <c r="B60" s="426"/>
      <c r="C60" s="29"/>
      <c r="D60" s="134">
        <f t="shared" si="174"/>
        <v>0</v>
      </c>
      <c r="E60" s="29"/>
      <c r="F60" s="29"/>
      <c r="G60" s="134">
        <f t="shared" si="143"/>
        <v>0</v>
      </c>
      <c r="H60" s="29"/>
      <c r="I60" s="134"/>
      <c r="J60" s="29"/>
      <c r="K60" s="134"/>
      <c r="L60" s="29"/>
      <c r="M60" s="134"/>
      <c r="N60" s="29"/>
      <c r="O60" s="134"/>
      <c r="P60" s="29"/>
      <c r="Q60" s="134"/>
      <c r="R60" s="29"/>
      <c r="S60" s="134"/>
      <c r="T60" s="29"/>
      <c r="U60" s="134"/>
      <c r="V60" s="29"/>
      <c r="W60" s="134"/>
      <c r="X60" s="29"/>
      <c r="Y60" s="134"/>
      <c r="Z60" s="29"/>
      <c r="AA60" s="29"/>
      <c r="AB60" s="135">
        <f t="shared" si="145"/>
        <v>1</v>
      </c>
      <c r="AC60" s="29"/>
      <c r="AD60" s="29"/>
      <c r="AE60" s="134">
        <f t="shared" si="160"/>
        <v>0</v>
      </c>
      <c r="AF60" s="135">
        <f t="shared" si="146"/>
        <v>1</v>
      </c>
      <c r="AG60" s="29"/>
      <c r="AH60" s="134"/>
      <c r="AI60" s="135">
        <f t="shared" si="147"/>
        <v>1</v>
      </c>
      <c r="AJ60" s="29"/>
      <c r="AK60" s="134"/>
      <c r="AL60" s="135">
        <f t="shared" si="148"/>
        <v>1</v>
      </c>
      <c r="AM60" s="29"/>
      <c r="AN60" s="134"/>
      <c r="AO60" s="135">
        <f t="shared" si="149"/>
        <v>1</v>
      </c>
      <c r="AP60" s="29"/>
      <c r="AQ60" s="134"/>
      <c r="AR60" s="135">
        <f t="shared" si="150"/>
        <v>1</v>
      </c>
      <c r="AS60" s="29"/>
      <c r="AT60" s="134"/>
      <c r="AU60" s="135">
        <f t="shared" si="151"/>
        <v>1</v>
      </c>
      <c r="AV60" s="29"/>
      <c r="AW60" s="134"/>
      <c r="AX60" s="135">
        <f t="shared" si="152"/>
        <v>1</v>
      </c>
      <c r="AY60" s="29"/>
      <c r="AZ60" s="134"/>
      <c r="BA60" s="135">
        <f t="shared" si="153"/>
        <v>1</v>
      </c>
      <c r="BB60" s="29"/>
      <c r="BC60" s="134"/>
      <c r="BD60" s="135">
        <f t="shared" si="154"/>
        <v>1</v>
      </c>
      <c r="BE60" s="29"/>
      <c r="BF60" s="134"/>
      <c r="BG60" s="135">
        <f t="shared" si="155"/>
        <v>1</v>
      </c>
      <c r="BH60" s="134"/>
      <c r="BI60" s="26"/>
      <c r="BJ60" s="26"/>
      <c r="BK60" s="135">
        <f>IF($AA$60=0,1,BJ60/$AA$60-1)</f>
        <v>1</v>
      </c>
      <c r="BL60" s="135">
        <f t="shared" si="24"/>
        <v>1</v>
      </c>
      <c r="BM60" s="167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</row>
    <row r="61" spans="1:206" s="64" customFormat="1" ht="18" customHeight="1">
      <c r="A61" s="426" t="s">
        <v>123</v>
      </c>
      <c r="B61" s="426"/>
      <c r="C61" s="29"/>
      <c r="D61" s="134">
        <f t="shared" si="174"/>
        <v>0</v>
      </c>
      <c r="E61" s="29"/>
      <c r="F61" s="29"/>
      <c r="G61" s="134">
        <f t="shared" si="143"/>
        <v>0</v>
      </c>
      <c r="H61" s="29"/>
      <c r="I61" s="134">
        <f>G61+H61</f>
        <v>0</v>
      </c>
      <c r="J61" s="29"/>
      <c r="K61" s="134">
        <f>I61+J61</f>
        <v>0</v>
      </c>
      <c r="L61" s="29"/>
      <c r="M61" s="134">
        <f>K61+L61</f>
        <v>0</v>
      </c>
      <c r="N61" s="29"/>
      <c r="O61" s="134">
        <f>M61+N61</f>
        <v>0</v>
      </c>
      <c r="P61" s="29"/>
      <c r="Q61" s="134">
        <f>O61+P61</f>
        <v>0</v>
      </c>
      <c r="R61" s="29"/>
      <c r="S61" s="134">
        <f>Q61+R61</f>
        <v>0</v>
      </c>
      <c r="T61" s="29"/>
      <c r="U61" s="134">
        <f>S61+T61</f>
        <v>0</v>
      </c>
      <c r="V61" s="29"/>
      <c r="W61" s="134">
        <f>U61+V61</f>
        <v>0</v>
      </c>
      <c r="X61" s="29"/>
      <c r="Y61" s="134">
        <f>W61+X61</f>
        <v>0</v>
      </c>
      <c r="Z61" s="29"/>
      <c r="AA61" s="29"/>
      <c r="AB61" s="135">
        <f t="shared" si="145"/>
        <v>1</v>
      </c>
      <c r="AC61" s="29"/>
      <c r="AD61" s="29"/>
      <c r="AE61" s="134">
        <f t="shared" si="160"/>
        <v>0</v>
      </c>
      <c r="AF61" s="135">
        <f t="shared" si="146"/>
        <v>1</v>
      </c>
      <c r="AG61" s="29"/>
      <c r="AH61" s="134">
        <f>AE61+AG61</f>
        <v>0</v>
      </c>
      <c r="AI61" s="135">
        <f t="shared" si="147"/>
        <v>1</v>
      </c>
      <c r="AJ61" s="29"/>
      <c r="AK61" s="134">
        <f>AH61+AJ61</f>
        <v>0</v>
      </c>
      <c r="AL61" s="135">
        <f t="shared" si="148"/>
        <v>1</v>
      </c>
      <c r="AM61" s="29"/>
      <c r="AN61" s="134">
        <f>AK61+AM61</f>
        <v>0</v>
      </c>
      <c r="AO61" s="135">
        <f t="shared" si="149"/>
        <v>1</v>
      </c>
      <c r="AP61" s="29"/>
      <c r="AQ61" s="134">
        <f>AN61+AP61</f>
        <v>0</v>
      </c>
      <c r="AR61" s="135">
        <f t="shared" si="150"/>
        <v>1</v>
      </c>
      <c r="AS61" s="29"/>
      <c r="AT61" s="134">
        <f>AQ61+AS61</f>
        <v>0</v>
      </c>
      <c r="AU61" s="135">
        <f t="shared" si="151"/>
        <v>1</v>
      </c>
      <c r="AV61" s="29"/>
      <c r="AW61" s="134">
        <f>AT61+AV61</f>
        <v>0</v>
      </c>
      <c r="AX61" s="135">
        <f t="shared" si="152"/>
        <v>1</v>
      </c>
      <c r="AY61" s="29"/>
      <c r="AZ61" s="134">
        <f>AW61+AY61</f>
        <v>0</v>
      </c>
      <c r="BA61" s="135">
        <f t="shared" si="153"/>
        <v>1</v>
      </c>
      <c r="BB61" s="29"/>
      <c r="BC61" s="134">
        <f>AZ61+BB61</f>
        <v>0</v>
      </c>
      <c r="BD61" s="135">
        <f t="shared" si="154"/>
        <v>1</v>
      </c>
      <c r="BE61" s="29"/>
      <c r="BF61" s="134">
        <f>BC61+BE61</f>
        <v>0</v>
      </c>
      <c r="BG61" s="135">
        <f t="shared" si="155"/>
        <v>1</v>
      </c>
      <c r="BH61" s="134"/>
      <c r="BI61" s="26"/>
      <c r="BJ61" s="26"/>
      <c r="BK61" s="135">
        <f>IF($AA$61=0,1,BJ61/$AA$61-1)</f>
        <v>1</v>
      </c>
      <c r="BL61" s="135">
        <f t="shared" si="24"/>
        <v>1</v>
      </c>
      <c r="BM61" s="167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</row>
    <row r="62" spans="1:206" s="64" customFormat="1" ht="18" customHeight="1">
      <c r="A62" s="426" t="s">
        <v>124</v>
      </c>
      <c r="B62" s="426"/>
      <c r="C62" s="29"/>
      <c r="D62" s="134">
        <f t="shared" si="174"/>
        <v>0</v>
      </c>
      <c r="E62" s="29"/>
      <c r="F62" s="29"/>
      <c r="G62" s="134">
        <f t="shared" si="143"/>
        <v>0</v>
      </c>
      <c r="H62" s="29"/>
      <c r="I62" s="134"/>
      <c r="J62" s="29"/>
      <c r="K62" s="134"/>
      <c r="L62" s="29"/>
      <c r="M62" s="134"/>
      <c r="N62" s="29"/>
      <c r="O62" s="134"/>
      <c r="P62" s="29"/>
      <c r="Q62" s="134"/>
      <c r="R62" s="29"/>
      <c r="S62" s="134"/>
      <c r="T62" s="29"/>
      <c r="U62" s="134"/>
      <c r="V62" s="29"/>
      <c r="W62" s="134"/>
      <c r="X62" s="29"/>
      <c r="Y62" s="134"/>
      <c r="Z62" s="29"/>
      <c r="AA62" s="29"/>
      <c r="AB62" s="135">
        <f t="shared" si="145"/>
        <v>1</v>
      </c>
      <c r="AC62" s="29"/>
      <c r="AD62" s="29"/>
      <c r="AE62" s="134">
        <f t="shared" si="160"/>
        <v>0</v>
      </c>
      <c r="AF62" s="135">
        <f t="shared" si="146"/>
        <v>1</v>
      </c>
      <c r="AG62" s="29"/>
      <c r="AH62" s="134"/>
      <c r="AI62" s="135">
        <f t="shared" si="147"/>
        <v>1</v>
      </c>
      <c r="AJ62" s="29"/>
      <c r="AK62" s="134"/>
      <c r="AL62" s="135">
        <f t="shared" si="148"/>
        <v>1</v>
      </c>
      <c r="AM62" s="29"/>
      <c r="AN62" s="134"/>
      <c r="AO62" s="135">
        <f t="shared" si="149"/>
        <v>1</v>
      </c>
      <c r="AP62" s="29"/>
      <c r="AQ62" s="134"/>
      <c r="AR62" s="135">
        <f t="shared" si="150"/>
        <v>1</v>
      </c>
      <c r="AS62" s="29"/>
      <c r="AT62" s="134"/>
      <c r="AU62" s="135">
        <f t="shared" si="151"/>
        <v>1</v>
      </c>
      <c r="AV62" s="29"/>
      <c r="AW62" s="134"/>
      <c r="AX62" s="135">
        <f t="shared" si="152"/>
        <v>1</v>
      </c>
      <c r="AY62" s="29"/>
      <c r="AZ62" s="134"/>
      <c r="BA62" s="135">
        <f t="shared" si="153"/>
        <v>1</v>
      </c>
      <c r="BB62" s="29"/>
      <c r="BC62" s="134"/>
      <c r="BD62" s="135">
        <f t="shared" si="154"/>
        <v>1</v>
      </c>
      <c r="BE62" s="29"/>
      <c r="BF62" s="134"/>
      <c r="BG62" s="135">
        <f t="shared" si="155"/>
        <v>1</v>
      </c>
      <c r="BH62" s="134"/>
      <c r="BI62" s="26"/>
      <c r="BJ62" s="26"/>
      <c r="BK62" s="135">
        <f>IF($AA$62=0,1,BJ62/$AA$62-1)</f>
        <v>1</v>
      </c>
      <c r="BL62" s="135">
        <f t="shared" si="24"/>
        <v>1</v>
      </c>
      <c r="BM62" s="167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</row>
    <row r="63" spans="1:206" s="64" customFormat="1" ht="18.75" customHeight="1">
      <c r="A63" s="426" t="s">
        <v>133</v>
      </c>
      <c r="B63" s="426"/>
      <c r="C63" s="29"/>
      <c r="D63" s="134">
        <f t="shared" si="174"/>
        <v>0</v>
      </c>
      <c r="E63" s="29"/>
      <c r="F63" s="29"/>
      <c r="G63" s="134">
        <f t="shared" si="143"/>
        <v>0</v>
      </c>
      <c r="H63" s="29"/>
      <c r="I63" s="134"/>
      <c r="J63" s="29"/>
      <c r="K63" s="134"/>
      <c r="L63" s="29"/>
      <c r="M63" s="134"/>
      <c r="N63" s="29"/>
      <c r="O63" s="134"/>
      <c r="P63" s="29"/>
      <c r="Q63" s="134"/>
      <c r="R63" s="29"/>
      <c r="S63" s="134"/>
      <c r="T63" s="29"/>
      <c r="U63" s="134"/>
      <c r="V63" s="29"/>
      <c r="W63" s="134"/>
      <c r="X63" s="29"/>
      <c r="Y63" s="134"/>
      <c r="Z63" s="29"/>
      <c r="AA63" s="29"/>
      <c r="AB63" s="135">
        <f t="shared" si="145"/>
        <v>1</v>
      </c>
      <c r="AC63" s="29"/>
      <c r="AD63" s="29"/>
      <c r="AE63" s="134">
        <f t="shared" si="160"/>
        <v>0</v>
      </c>
      <c r="AF63" s="135">
        <f t="shared" si="146"/>
        <v>1</v>
      </c>
      <c r="AG63" s="29"/>
      <c r="AH63" s="134"/>
      <c r="AI63" s="135">
        <f t="shared" si="147"/>
        <v>1</v>
      </c>
      <c r="AJ63" s="29"/>
      <c r="AK63" s="134"/>
      <c r="AL63" s="135">
        <f t="shared" si="148"/>
        <v>1</v>
      </c>
      <c r="AM63" s="29"/>
      <c r="AN63" s="134"/>
      <c r="AO63" s="135">
        <f t="shared" si="149"/>
        <v>1</v>
      </c>
      <c r="AP63" s="29"/>
      <c r="AQ63" s="134"/>
      <c r="AR63" s="135">
        <f t="shared" si="150"/>
        <v>1</v>
      </c>
      <c r="AS63" s="29"/>
      <c r="AT63" s="134"/>
      <c r="AU63" s="135">
        <f t="shared" si="151"/>
        <v>1</v>
      </c>
      <c r="AV63" s="29"/>
      <c r="AW63" s="134"/>
      <c r="AX63" s="135">
        <f t="shared" si="152"/>
        <v>1</v>
      </c>
      <c r="AY63" s="29"/>
      <c r="AZ63" s="134"/>
      <c r="BA63" s="135">
        <f t="shared" si="153"/>
        <v>1</v>
      </c>
      <c r="BB63" s="29"/>
      <c r="BC63" s="134"/>
      <c r="BD63" s="135">
        <f t="shared" si="154"/>
        <v>1</v>
      </c>
      <c r="BE63" s="29"/>
      <c r="BF63" s="134"/>
      <c r="BG63" s="135">
        <f t="shared" si="155"/>
        <v>1</v>
      </c>
      <c r="BH63" s="134"/>
      <c r="BI63" s="26"/>
      <c r="BJ63" s="26"/>
      <c r="BK63" s="135">
        <f>IF($AA$63=0,1,BJ63/$AA$63-1)</f>
        <v>1</v>
      </c>
      <c r="BL63" s="135">
        <f t="shared" si="24"/>
        <v>1</v>
      </c>
      <c r="BM63" s="167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</row>
    <row r="64" spans="1:206" s="64" customFormat="1" ht="18.75" hidden="1" customHeight="1">
      <c r="A64" s="188"/>
      <c r="B64" s="189"/>
      <c r="C64" s="29"/>
      <c r="D64" s="134">
        <f t="shared" si="174"/>
        <v>0</v>
      </c>
      <c r="E64" s="29"/>
      <c r="F64" s="29"/>
      <c r="G64" s="134">
        <f t="shared" si="143"/>
        <v>0</v>
      </c>
      <c r="H64" s="29"/>
      <c r="I64" s="134"/>
      <c r="J64" s="29"/>
      <c r="K64" s="134"/>
      <c r="L64" s="29"/>
      <c r="M64" s="134"/>
      <c r="N64" s="29"/>
      <c r="O64" s="134"/>
      <c r="P64" s="29"/>
      <c r="Q64" s="134"/>
      <c r="R64" s="29"/>
      <c r="S64" s="134"/>
      <c r="T64" s="29"/>
      <c r="U64" s="134"/>
      <c r="V64" s="29"/>
      <c r="W64" s="134"/>
      <c r="X64" s="29"/>
      <c r="Y64" s="134"/>
      <c r="Z64" s="29"/>
      <c r="AA64" s="29"/>
      <c r="AB64" s="135">
        <f t="shared" si="145"/>
        <v>1</v>
      </c>
      <c r="AC64" s="29"/>
      <c r="AD64" s="29"/>
      <c r="AE64" s="134">
        <f t="shared" si="160"/>
        <v>0</v>
      </c>
      <c r="AF64" s="135">
        <f t="shared" si="146"/>
        <v>1</v>
      </c>
      <c r="AG64" s="29"/>
      <c r="AH64" s="134"/>
      <c r="AI64" s="135">
        <f t="shared" si="147"/>
        <v>1</v>
      </c>
      <c r="AJ64" s="29"/>
      <c r="AK64" s="134"/>
      <c r="AL64" s="135">
        <f t="shared" si="148"/>
        <v>1</v>
      </c>
      <c r="AM64" s="29"/>
      <c r="AN64" s="134"/>
      <c r="AO64" s="135">
        <f t="shared" si="149"/>
        <v>1</v>
      </c>
      <c r="AP64" s="29"/>
      <c r="AQ64" s="134"/>
      <c r="AR64" s="135">
        <f t="shared" si="150"/>
        <v>1</v>
      </c>
      <c r="AS64" s="29"/>
      <c r="AT64" s="134"/>
      <c r="AU64" s="135">
        <f t="shared" si="151"/>
        <v>1</v>
      </c>
      <c r="AV64" s="29"/>
      <c r="AW64" s="134"/>
      <c r="AX64" s="135">
        <f t="shared" si="152"/>
        <v>1</v>
      </c>
      <c r="AY64" s="29"/>
      <c r="AZ64" s="134"/>
      <c r="BA64" s="135">
        <f t="shared" si="153"/>
        <v>1</v>
      </c>
      <c r="BB64" s="29"/>
      <c r="BC64" s="134"/>
      <c r="BD64" s="135">
        <f t="shared" si="154"/>
        <v>1</v>
      </c>
      <c r="BE64" s="29"/>
      <c r="BF64" s="134"/>
      <c r="BG64" s="135">
        <f t="shared" si="155"/>
        <v>1</v>
      </c>
      <c r="BH64" s="134"/>
      <c r="BI64" s="134"/>
      <c r="BJ64" s="134"/>
      <c r="BK64" s="135">
        <f t="shared" ref="BK64:BK73" si="175">IF($AA$63=0,1,BJ64/$AA$63-1)</f>
        <v>1</v>
      </c>
      <c r="BL64" s="135">
        <f t="shared" ref="BL64:BL73" si="176">IF($D$63=0,1,BJ64/$D$63-1)</f>
        <v>1</v>
      </c>
      <c r="BM64" s="167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</row>
    <row r="65" spans="1:206" s="64" customFormat="1" ht="18.75" hidden="1" customHeight="1">
      <c r="A65" s="188"/>
      <c r="B65" s="189"/>
      <c r="C65" s="29"/>
      <c r="D65" s="134">
        <f t="shared" si="174"/>
        <v>0</v>
      </c>
      <c r="E65" s="29"/>
      <c r="F65" s="29"/>
      <c r="G65" s="134">
        <f t="shared" si="143"/>
        <v>0</v>
      </c>
      <c r="H65" s="29"/>
      <c r="I65" s="134"/>
      <c r="J65" s="29"/>
      <c r="K65" s="134"/>
      <c r="L65" s="29"/>
      <c r="M65" s="134"/>
      <c r="N65" s="29"/>
      <c r="O65" s="134"/>
      <c r="P65" s="29"/>
      <c r="Q65" s="134"/>
      <c r="R65" s="29"/>
      <c r="S65" s="134"/>
      <c r="T65" s="29"/>
      <c r="U65" s="134"/>
      <c r="V65" s="29"/>
      <c r="W65" s="134"/>
      <c r="X65" s="29"/>
      <c r="Y65" s="134"/>
      <c r="Z65" s="29"/>
      <c r="AA65" s="29"/>
      <c r="AB65" s="135">
        <f t="shared" si="145"/>
        <v>1</v>
      </c>
      <c r="AC65" s="29"/>
      <c r="AD65" s="29"/>
      <c r="AE65" s="134">
        <f t="shared" si="160"/>
        <v>0</v>
      </c>
      <c r="AF65" s="135">
        <f t="shared" si="146"/>
        <v>1</v>
      </c>
      <c r="AG65" s="29"/>
      <c r="AH65" s="134"/>
      <c r="AI65" s="135">
        <f t="shared" si="147"/>
        <v>1</v>
      </c>
      <c r="AJ65" s="29"/>
      <c r="AK65" s="134"/>
      <c r="AL65" s="135">
        <f t="shared" si="148"/>
        <v>1</v>
      </c>
      <c r="AM65" s="29"/>
      <c r="AN65" s="134"/>
      <c r="AO65" s="135">
        <f t="shared" si="149"/>
        <v>1</v>
      </c>
      <c r="AP65" s="29"/>
      <c r="AQ65" s="134"/>
      <c r="AR65" s="135">
        <f t="shared" si="150"/>
        <v>1</v>
      </c>
      <c r="AS65" s="29"/>
      <c r="AT65" s="134"/>
      <c r="AU65" s="135">
        <f t="shared" si="151"/>
        <v>1</v>
      </c>
      <c r="AV65" s="29"/>
      <c r="AW65" s="134"/>
      <c r="AX65" s="135">
        <f t="shared" si="152"/>
        <v>1</v>
      </c>
      <c r="AY65" s="29"/>
      <c r="AZ65" s="134"/>
      <c r="BA65" s="135">
        <f t="shared" si="153"/>
        <v>1</v>
      </c>
      <c r="BB65" s="29"/>
      <c r="BC65" s="134"/>
      <c r="BD65" s="135">
        <f t="shared" si="154"/>
        <v>1</v>
      </c>
      <c r="BE65" s="29"/>
      <c r="BF65" s="134"/>
      <c r="BG65" s="135">
        <f t="shared" si="155"/>
        <v>1</v>
      </c>
      <c r="BH65" s="134"/>
      <c r="BI65" s="134"/>
      <c r="BJ65" s="134"/>
      <c r="BK65" s="135">
        <f t="shared" si="175"/>
        <v>1</v>
      </c>
      <c r="BL65" s="135">
        <f t="shared" si="176"/>
        <v>1</v>
      </c>
      <c r="BM65" s="167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</row>
    <row r="66" spans="1:206" s="64" customFormat="1" ht="18.75" hidden="1" customHeight="1">
      <c r="A66" s="188"/>
      <c r="B66" s="189"/>
      <c r="C66" s="29"/>
      <c r="D66" s="134">
        <f t="shared" si="174"/>
        <v>0</v>
      </c>
      <c r="E66" s="29"/>
      <c r="F66" s="29"/>
      <c r="G66" s="134">
        <f t="shared" si="143"/>
        <v>0</v>
      </c>
      <c r="H66" s="29"/>
      <c r="I66" s="134"/>
      <c r="J66" s="29"/>
      <c r="K66" s="134"/>
      <c r="L66" s="29"/>
      <c r="M66" s="134"/>
      <c r="N66" s="29"/>
      <c r="O66" s="134"/>
      <c r="P66" s="29"/>
      <c r="Q66" s="134"/>
      <c r="R66" s="29"/>
      <c r="S66" s="134"/>
      <c r="T66" s="29"/>
      <c r="U66" s="134"/>
      <c r="V66" s="29"/>
      <c r="W66" s="134"/>
      <c r="X66" s="29"/>
      <c r="Y66" s="134"/>
      <c r="Z66" s="29"/>
      <c r="AA66" s="29"/>
      <c r="AB66" s="135">
        <f t="shared" si="145"/>
        <v>1</v>
      </c>
      <c r="AC66" s="29"/>
      <c r="AD66" s="29"/>
      <c r="AE66" s="134">
        <f t="shared" si="160"/>
        <v>0</v>
      </c>
      <c r="AF66" s="135">
        <f t="shared" si="146"/>
        <v>1</v>
      </c>
      <c r="AG66" s="29"/>
      <c r="AH66" s="134"/>
      <c r="AI66" s="135">
        <f t="shared" si="147"/>
        <v>1</v>
      </c>
      <c r="AJ66" s="29"/>
      <c r="AK66" s="134"/>
      <c r="AL66" s="135">
        <f t="shared" si="148"/>
        <v>1</v>
      </c>
      <c r="AM66" s="29"/>
      <c r="AN66" s="134"/>
      <c r="AO66" s="135">
        <f t="shared" si="149"/>
        <v>1</v>
      </c>
      <c r="AP66" s="29"/>
      <c r="AQ66" s="134"/>
      <c r="AR66" s="135">
        <f t="shared" si="150"/>
        <v>1</v>
      </c>
      <c r="AS66" s="29"/>
      <c r="AT66" s="134"/>
      <c r="AU66" s="135">
        <f t="shared" si="151"/>
        <v>1</v>
      </c>
      <c r="AV66" s="29"/>
      <c r="AW66" s="134"/>
      <c r="AX66" s="135">
        <f t="shared" si="152"/>
        <v>1</v>
      </c>
      <c r="AY66" s="29"/>
      <c r="AZ66" s="134"/>
      <c r="BA66" s="135">
        <f t="shared" si="153"/>
        <v>1</v>
      </c>
      <c r="BB66" s="29"/>
      <c r="BC66" s="134"/>
      <c r="BD66" s="135">
        <f t="shared" si="154"/>
        <v>1</v>
      </c>
      <c r="BE66" s="29"/>
      <c r="BF66" s="134"/>
      <c r="BG66" s="135">
        <f t="shared" si="155"/>
        <v>1</v>
      </c>
      <c r="BH66" s="134"/>
      <c r="BI66" s="134"/>
      <c r="BJ66" s="134"/>
      <c r="BK66" s="135">
        <f t="shared" si="175"/>
        <v>1</v>
      </c>
      <c r="BL66" s="135">
        <f t="shared" si="176"/>
        <v>1</v>
      </c>
      <c r="BM66" s="167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</row>
    <row r="67" spans="1:206" s="64" customFormat="1" ht="18.75" hidden="1" customHeight="1">
      <c r="A67" s="188"/>
      <c r="B67" s="189"/>
      <c r="C67" s="29"/>
      <c r="D67" s="134">
        <f t="shared" si="174"/>
        <v>0</v>
      </c>
      <c r="E67" s="29"/>
      <c r="F67" s="29"/>
      <c r="G67" s="134">
        <f t="shared" si="143"/>
        <v>0</v>
      </c>
      <c r="H67" s="29"/>
      <c r="I67" s="134"/>
      <c r="J67" s="29"/>
      <c r="K67" s="134"/>
      <c r="L67" s="29"/>
      <c r="M67" s="134"/>
      <c r="N67" s="29"/>
      <c r="O67" s="134"/>
      <c r="P67" s="29"/>
      <c r="Q67" s="134"/>
      <c r="R67" s="29"/>
      <c r="S67" s="134"/>
      <c r="T67" s="29"/>
      <c r="U67" s="134"/>
      <c r="V67" s="29"/>
      <c r="W67" s="134"/>
      <c r="X67" s="29"/>
      <c r="Y67" s="134"/>
      <c r="Z67" s="29"/>
      <c r="AA67" s="29"/>
      <c r="AB67" s="135">
        <f t="shared" si="145"/>
        <v>1</v>
      </c>
      <c r="AC67" s="29"/>
      <c r="AD67" s="29"/>
      <c r="AE67" s="134">
        <f t="shared" si="160"/>
        <v>0</v>
      </c>
      <c r="AF67" s="135">
        <f t="shared" si="146"/>
        <v>1</v>
      </c>
      <c r="AG67" s="29"/>
      <c r="AH67" s="134"/>
      <c r="AI67" s="135">
        <f t="shared" si="147"/>
        <v>1</v>
      </c>
      <c r="AJ67" s="29"/>
      <c r="AK67" s="134"/>
      <c r="AL67" s="135">
        <f t="shared" si="148"/>
        <v>1</v>
      </c>
      <c r="AM67" s="29"/>
      <c r="AN67" s="134"/>
      <c r="AO67" s="135">
        <f t="shared" si="149"/>
        <v>1</v>
      </c>
      <c r="AP67" s="29"/>
      <c r="AQ67" s="134"/>
      <c r="AR67" s="135">
        <f t="shared" si="150"/>
        <v>1</v>
      </c>
      <c r="AS67" s="29"/>
      <c r="AT67" s="134"/>
      <c r="AU67" s="135">
        <f t="shared" si="151"/>
        <v>1</v>
      </c>
      <c r="AV67" s="29"/>
      <c r="AW67" s="134"/>
      <c r="AX67" s="135">
        <f t="shared" si="152"/>
        <v>1</v>
      </c>
      <c r="AY67" s="29"/>
      <c r="AZ67" s="134"/>
      <c r="BA67" s="135">
        <f t="shared" si="153"/>
        <v>1</v>
      </c>
      <c r="BB67" s="29"/>
      <c r="BC67" s="134"/>
      <c r="BD67" s="135">
        <f t="shared" si="154"/>
        <v>1</v>
      </c>
      <c r="BE67" s="29"/>
      <c r="BF67" s="134"/>
      <c r="BG67" s="135">
        <f t="shared" si="155"/>
        <v>1</v>
      </c>
      <c r="BH67" s="134"/>
      <c r="BI67" s="134"/>
      <c r="BJ67" s="134"/>
      <c r="BK67" s="135">
        <f t="shared" si="175"/>
        <v>1</v>
      </c>
      <c r="BL67" s="135">
        <f t="shared" si="176"/>
        <v>1</v>
      </c>
      <c r="BM67" s="167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</row>
    <row r="68" spans="1:206" s="64" customFormat="1" ht="18.75" hidden="1" customHeight="1">
      <c r="A68" s="188"/>
      <c r="B68" s="189"/>
      <c r="C68" s="29"/>
      <c r="D68" s="134">
        <f t="shared" si="174"/>
        <v>0</v>
      </c>
      <c r="E68" s="29"/>
      <c r="F68" s="29"/>
      <c r="G68" s="134">
        <f t="shared" si="143"/>
        <v>0</v>
      </c>
      <c r="H68" s="29"/>
      <c r="I68" s="134"/>
      <c r="J68" s="29"/>
      <c r="K68" s="134"/>
      <c r="L68" s="29"/>
      <c r="M68" s="134"/>
      <c r="N68" s="29"/>
      <c r="O68" s="134"/>
      <c r="P68" s="29"/>
      <c r="Q68" s="134"/>
      <c r="R68" s="29"/>
      <c r="S68" s="134"/>
      <c r="T68" s="29"/>
      <c r="U68" s="134"/>
      <c r="V68" s="29"/>
      <c r="W68" s="134"/>
      <c r="X68" s="29"/>
      <c r="Y68" s="134"/>
      <c r="Z68" s="29"/>
      <c r="AA68" s="29"/>
      <c r="AB68" s="135">
        <f t="shared" si="145"/>
        <v>1</v>
      </c>
      <c r="AC68" s="29"/>
      <c r="AD68" s="29"/>
      <c r="AE68" s="134">
        <f t="shared" si="160"/>
        <v>0</v>
      </c>
      <c r="AF68" s="135">
        <f t="shared" si="146"/>
        <v>1</v>
      </c>
      <c r="AG68" s="29"/>
      <c r="AH68" s="134"/>
      <c r="AI68" s="135">
        <f t="shared" si="147"/>
        <v>1</v>
      </c>
      <c r="AJ68" s="29"/>
      <c r="AK68" s="134"/>
      <c r="AL68" s="135">
        <f t="shared" si="148"/>
        <v>1</v>
      </c>
      <c r="AM68" s="29"/>
      <c r="AN68" s="134"/>
      <c r="AO68" s="135">
        <f t="shared" si="149"/>
        <v>1</v>
      </c>
      <c r="AP68" s="29"/>
      <c r="AQ68" s="134"/>
      <c r="AR68" s="135">
        <f t="shared" si="150"/>
        <v>1</v>
      </c>
      <c r="AS68" s="29"/>
      <c r="AT68" s="134"/>
      <c r="AU68" s="135">
        <f t="shared" si="151"/>
        <v>1</v>
      </c>
      <c r="AV68" s="29"/>
      <c r="AW68" s="134"/>
      <c r="AX68" s="135">
        <f t="shared" si="152"/>
        <v>1</v>
      </c>
      <c r="AY68" s="29"/>
      <c r="AZ68" s="134"/>
      <c r="BA68" s="135">
        <f t="shared" si="153"/>
        <v>1</v>
      </c>
      <c r="BB68" s="29"/>
      <c r="BC68" s="134"/>
      <c r="BD68" s="135">
        <f t="shared" si="154"/>
        <v>1</v>
      </c>
      <c r="BE68" s="29"/>
      <c r="BF68" s="134"/>
      <c r="BG68" s="135">
        <f t="shared" si="155"/>
        <v>1</v>
      </c>
      <c r="BH68" s="134"/>
      <c r="BI68" s="134"/>
      <c r="BJ68" s="134"/>
      <c r="BK68" s="135">
        <f t="shared" si="175"/>
        <v>1</v>
      </c>
      <c r="BL68" s="135">
        <f t="shared" si="176"/>
        <v>1</v>
      </c>
      <c r="BM68" s="167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</row>
    <row r="69" spans="1:206" s="64" customFormat="1" ht="18.75" hidden="1" customHeight="1">
      <c r="A69" s="188"/>
      <c r="B69" s="189"/>
      <c r="C69" s="29"/>
      <c r="D69" s="134">
        <f t="shared" si="174"/>
        <v>0</v>
      </c>
      <c r="E69" s="29"/>
      <c r="F69" s="29"/>
      <c r="G69" s="134">
        <f t="shared" si="143"/>
        <v>0</v>
      </c>
      <c r="H69" s="29"/>
      <c r="I69" s="134"/>
      <c r="J69" s="29"/>
      <c r="K69" s="134"/>
      <c r="L69" s="29"/>
      <c r="M69" s="134"/>
      <c r="N69" s="29"/>
      <c r="O69" s="134"/>
      <c r="P69" s="29"/>
      <c r="Q69" s="134"/>
      <c r="R69" s="29"/>
      <c r="S69" s="134"/>
      <c r="T69" s="29"/>
      <c r="U69" s="134"/>
      <c r="V69" s="29"/>
      <c r="W69" s="134"/>
      <c r="X69" s="29"/>
      <c r="Y69" s="134"/>
      <c r="Z69" s="29"/>
      <c r="AA69" s="29"/>
      <c r="AB69" s="135">
        <f t="shared" si="145"/>
        <v>1</v>
      </c>
      <c r="AC69" s="29"/>
      <c r="AD69" s="29"/>
      <c r="AE69" s="134">
        <f t="shared" si="160"/>
        <v>0</v>
      </c>
      <c r="AF69" s="135">
        <f t="shared" si="146"/>
        <v>1</v>
      </c>
      <c r="AG69" s="29"/>
      <c r="AH69" s="134"/>
      <c r="AI69" s="135">
        <f t="shared" si="147"/>
        <v>1</v>
      </c>
      <c r="AJ69" s="29"/>
      <c r="AK69" s="134"/>
      <c r="AL69" s="135">
        <f t="shared" si="148"/>
        <v>1</v>
      </c>
      <c r="AM69" s="29"/>
      <c r="AN69" s="134"/>
      <c r="AO69" s="135">
        <f t="shared" si="149"/>
        <v>1</v>
      </c>
      <c r="AP69" s="29"/>
      <c r="AQ69" s="134"/>
      <c r="AR69" s="135">
        <f t="shared" si="150"/>
        <v>1</v>
      </c>
      <c r="AS69" s="29"/>
      <c r="AT69" s="134"/>
      <c r="AU69" s="135">
        <f t="shared" si="151"/>
        <v>1</v>
      </c>
      <c r="AV69" s="29"/>
      <c r="AW69" s="134"/>
      <c r="AX69" s="135">
        <f t="shared" si="152"/>
        <v>1</v>
      </c>
      <c r="AY69" s="29"/>
      <c r="AZ69" s="134"/>
      <c r="BA69" s="135">
        <f t="shared" si="153"/>
        <v>1</v>
      </c>
      <c r="BB69" s="29"/>
      <c r="BC69" s="134"/>
      <c r="BD69" s="135">
        <f t="shared" si="154"/>
        <v>1</v>
      </c>
      <c r="BE69" s="29"/>
      <c r="BF69" s="134"/>
      <c r="BG69" s="135">
        <f t="shared" si="155"/>
        <v>1</v>
      </c>
      <c r="BH69" s="134"/>
      <c r="BI69" s="134"/>
      <c r="BJ69" s="134"/>
      <c r="BK69" s="135">
        <f t="shared" si="175"/>
        <v>1</v>
      </c>
      <c r="BL69" s="135">
        <f t="shared" si="176"/>
        <v>1</v>
      </c>
      <c r="BM69" s="167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</row>
    <row r="70" spans="1:206" s="64" customFormat="1" ht="18.75" hidden="1" customHeight="1">
      <c r="A70" s="188"/>
      <c r="B70" s="189"/>
      <c r="C70" s="29"/>
      <c r="D70" s="134">
        <f t="shared" si="174"/>
        <v>0</v>
      </c>
      <c r="E70" s="29"/>
      <c r="F70" s="29"/>
      <c r="G70" s="134">
        <f t="shared" si="143"/>
        <v>0</v>
      </c>
      <c r="H70" s="29"/>
      <c r="I70" s="134"/>
      <c r="J70" s="29"/>
      <c r="K70" s="134"/>
      <c r="L70" s="29"/>
      <c r="M70" s="134"/>
      <c r="N70" s="29"/>
      <c r="O70" s="134"/>
      <c r="P70" s="29"/>
      <c r="Q70" s="134"/>
      <c r="R70" s="29"/>
      <c r="S70" s="134"/>
      <c r="T70" s="29"/>
      <c r="U70" s="134"/>
      <c r="V70" s="29"/>
      <c r="W70" s="134"/>
      <c r="X70" s="29"/>
      <c r="Y70" s="134"/>
      <c r="Z70" s="29"/>
      <c r="AA70" s="29"/>
      <c r="AB70" s="135">
        <f t="shared" si="145"/>
        <v>1</v>
      </c>
      <c r="AC70" s="29"/>
      <c r="AD70" s="29"/>
      <c r="AE70" s="134">
        <f t="shared" si="160"/>
        <v>0</v>
      </c>
      <c r="AF70" s="135">
        <f t="shared" si="146"/>
        <v>1</v>
      </c>
      <c r="AG70" s="29"/>
      <c r="AH70" s="134"/>
      <c r="AI70" s="135">
        <f t="shared" si="147"/>
        <v>1</v>
      </c>
      <c r="AJ70" s="29"/>
      <c r="AK70" s="134"/>
      <c r="AL70" s="135">
        <f t="shared" si="148"/>
        <v>1</v>
      </c>
      <c r="AM70" s="29"/>
      <c r="AN70" s="134"/>
      <c r="AO70" s="135">
        <f t="shared" si="149"/>
        <v>1</v>
      </c>
      <c r="AP70" s="29"/>
      <c r="AQ70" s="134"/>
      <c r="AR70" s="135">
        <f t="shared" si="150"/>
        <v>1</v>
      </c>
      <c r="AS70" s="29"/>
      <c r="AT70" s="134"/>
      <c r="AU70" s="135">
        <f t="shared" si="151"/>
        <v>1</v>
      </c>
      <c r="AV70" s="29"/>
      <c r="AW70" s="134"/>
      <c r="AX70" s="135">
        <f t="shared" si="152"/>
        <v>1</v>
      </c>
      <c r="AY70" s="29"/>
      <c r="AZ70" s="134"/>
      <c r="BA70" s="135">
        <f t="shared" si="153"/>
        <v>1</v>
      </c>
      <c r="BB70" s="29"/>
      <c r="BC70" s="134"/>
      <c r="BD70" s="135">
        <f t="shared" si="154"/>
        <v>1</v>
      </c>
      <c r="BE70" s="29"/>
      <c r="BF70" s="134"/>
      <c r="BG70" s="135">
        <f t="shared" si="155"/>
        <v>1</v>
      </c>
      <c r="BH70" s="134"/>
      <c r="BI70" s="134"/>
      <c r="BJ70" s="134"/>
      <c r="BK70" s="135">
        <f t="shared" si="175"/>
        <v>1</v>
      </c>
      <c r="BL70" s="135">
        <f t="shared" si="176"/>
        <v>1</v>
      </c>
      <c r="BM70" s="167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</row>
    <row r="71" spans="1:206" s="64" customFormat="1" ht="18.75" hidden="1" customHeight="1">
      <c r="A71" s="188"/>
      <c r="B71" s="189"/>
      <c r="C71" s="29"/>
      <c r="D71" s="134">
        <f t="shared" si="174"/>
        <v>0</v>
      </c>
      <c r="E71" s="29"/>
      <c r="F71" s="29"/>
      <c r="G71" s="134">
        <f t="shared" si="143"/>
        <v>0</v>
      </c>
      <c r="H71" s="29"/>
      <c r="I71" s="134"/>
      <c r="J71" s="29"/>
      <c r="K71" s="134"/>
      <c r="L71" s="29"/>
      <c r="M71" s="134"/>
      <c r="N71" s="29"/>
      <c r="O71" s="134"/>
      <c r="P71" s="29"/>
      <c r="Q71" s="134"/>
      <c r="R71" s="29"/>
      <c r="S71" s="134"/>
      <c r="T71" s="29"/>
      <c r="U71" s="134"/>
      <c r="V71" s="29"/>
      <c r="W71" s="134"/>
      <c r="X71" s="29"/>
      <c r="Y71" s="134"/>
      <c r="Z71" s="29"/>
      <c r="AA71" s="29"/>
      <c r="AB71" s="135">
        <f t="shared" si="145"/>
        <v>1</v>
      </c>
      <c r="AC71" s="29"/>
      <c r="AD71" s="29"/>
      <c r="AE71" s="134">
        <f t="shared" si="160"/>
        <v>0</v>
      </c>
      <c r="AF71" s="135">
        <f t="shared" si="146"/>
        <v>1</v>
      </c>
      <c r="AG71" s="29"/>
      <c r="AH71" s="134"/>
      <c r="AI71" s="135">
        <f t="shared" si="147"/>
        <v>1</v>
      </c>
      <c r="AJ71" s="29"/>
      <c r="AK71" s="134"/>
      <c r="AL71" s="135">
        <f t="shared" si="148"/>
        <v>1</v>
      </c>
      <c r="AM71" s="29"/>
      <c r="AN71" s="134"/>
      <c r="AO71" s="135">
        <f t="shared" si="149"/>
        <v>1</v>
      </c>
      <c r="AP71" s="29"/>
      <c r="AQ71" s="134"/>
      <c r="AR71" s="135">
        <f t="shared" si="150"/>
        <v>1</v>
      </c>
      <c r="AS71" s="29"/>
      <c r="AT71" s="134"/>
      <c r="AU71" s="135">
        <f t="shared" si="151"/>
        <v>1</v>
      </c>
      <c r="AV71" s="29"/>
      <c r="AW71" s="134"/>
      <c r="AX71" s="135">
        <f t="shared" si="152"/>
        <v>1</v>
      </c>
      <c r="AY71" s="29"/>
      <c r="AZ71" s="134"/>
      <c r="BA71" s="135">
        <f t="shared" si="153"/>
        <v>1</v>
      </c>
      <c r="BB71" s="29"/>
      <c r="BC71" s="134"/>
      <c r="BD71" s="135">
        <f t="shared" si="154"/>
        <v>1</v>
      </c>
      <c r="BE71" s="29"/>
      <c r="BF71" s="134"/>
      <c r="BG71" s="135">
        <f t="shared" si="155"/>
        <v>1</v>
      </c>
      <c r="BH71" s="134"/>
      <c r="BI71" s="134"/>
      <c r="BJ71" s="134"/>
      <c r="BK71" s="135">
        <f t="shared" si="175"/>
        <v>1</v>
      </c>
      <c r="BL71" s="135">
        <f t="shared" si="176"/>
        <v>1</v>
      </c>
      <c r="BM71" s="167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</row>
    <row r="72" spans="1:206" s="64" customFormat="1" ht="18.75" hidden="1" customHeight="1">
      <c r="A72" s="188"/>
      <c r="B72" s="189"/>
      <c r="C72" s="29"/>
      <c r="D72" s="134">
        <f t="shared" si="174"/>
        <v>0</v>
      </c>
      <c r="E72" s="29"/>
      <c r="F72" s="29"/>
      <c r="G72" s="134">
        <f t="shared" si="143"/>
        <v>0</v>
      </c>
      <c r="H72" s="29"/>
      <c r="I72" s="134"/>
      <c r="J72" s="29"/>
      <c r="K72" s="134"/>
      <c r="L72" s="29"/>
      <c r="M72" s="134"/>
      <c r="N72" s="29"/>
      <c r="O72" s="134"/>
      <c r="P72" s="29"/>
      <c r="Q72" s="134"/>
      <c r="R72" s="29"/>
      <c r="S72" s="134"/>
      <c r="T72" s="29"/>
      <c r="U72" s="134"/>
      <c r="V72" s="29"/>
      <c r="W72" s="134"/>
      <c r="X72" s="29"/>
      <c r="Y72" s="134"/>
      <c r="Z72" s="29"/>
      <c r="AA72" s="29"/>
      <c r="AB72" s="135">
        <f t="shared" si="145"/>
        <v>1</v>
      </c>
      <c r="AC72" s="29"/>
      <c r="AD72" s="29"/>
      <c r="AE72" s="134">
        <f t="shared" si="160"/>
        <v>0</v>
      </c>
      <c r="AF72" s="135">
        <f t="shared" si="146"/>
        <v>1</v>
      </c>
      <c r="AG72" s="29"/>
      <c r="AH72" s="134"/>
      <c r="AI72" s="135">
        <f t="shared" si="147"/>
        <v>1</v>
      </c>
      <c r="AJ72" s="29"/>
      <c r="AK72" s="134"/>
      <c r="AL72" s="135">
        <f t="shared" si="148"/>
        <v>1</v>
      </c>
      <c r="AM72" s="29"/>
      <c r="AN72" s="134"/>
      <c r="AO72" s="135">
        <f t="shared" si="149"/>
        <v>1</v>
      </c>
      <c r="AP72" s="29"/>
      <c r="AQ72" s="134"/>
      <c r="AR72" s="135">
        <f t="shared" si="150"/>
        <v>1</v>
      </c>
      <c r="AS72" s="29"/>
      <c r="AT72" s="134"/>
      <c r="AU72" s="135">
        <f t="shared" si="151"/>
        <v>1</v>
      </c>
      <c r="AV72" s="29"/>
      <c r="AW72" s="134"/>
      <c r="AX72" s="135">
        <f t="shared" si="152"/>
        <v>1</v>
      </c>
      <c r="AY72" s="29"/>
      <c r="AZ72" s="134"/>
      <c r="BA72" s="135">
        <f t="shared" si="153"/>
        <v>1</v>
      </c>
      <c r="BB72" s="29"/>
      <c r="BC72" s="134"/>
      <c r="BD72" s="135">
        <f t="shared" si="154"/>
        <v>1</v>
      </c>
      <c r="BE72" s="29"/>
      <c r="BF72" s="134"/>
      <c r="BG72" s="135">
        <f t="shared" si="155"/>
        <v>1</v>
      </c>
      <c r="BH72" s="134"/>
      <c r="BI72" s="134"/>
      <c r="BJ72" s="134"/>
      <c r="BK72" s="135">
        <f t="shared" si="175"/>
        <v>1</v>
      </c>
      <c r="BL72" s="135">
        <f t="shared" si="176"/>
        <v>1</v>
      </c>
      <c r="BM72" s="167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</row>
    <row r="73" spans="1:206" s="64" customFormat="1" ht="18.75" hidden="1" customHeight="1">
      <c r="A73" s="188"/>
      <c r="B73" s="189"/>
      <c r="C73" s="29"/>
      <c r="D73" s="134">
        <f t="shared" si="174"/>
        <v>0</v>
      </c>
      <c r="E73" s="29"/>
      <c r="F73" s="29"/>
      <c r="G73" s="134">
        <f t="shared" si="143"/>
        <v>0</v>
      </c>
      <c r="H73" s="29"/>
      <c r="I73" s="134"/>
      <c r="J73" s="29"/>
      <c r="K73" s="134"/>
      <c r="L73" s="29"/>
      <c r="M73" s="134"/>
      <c r="N73" s="29"/>
      <c r="O73" s="134"/>
      <c r="P73" s="29"/>
      <c r="Q73" s="134"/>
      <c r="R73" s="29"/>
      <c r="S73" s="134"/>
      <c r="T73" s="29"/>
      <c r="U73" s="134"/>
      <c r="V73" s="29"/>
      <c r="W73" s="134"/>
      <c r="X73" s="29"/>
      <c r="Y73" s="134"/>
      <c r="Z73" s="29"/>
      <c r="AA73" s="29"/>
      <c r="AB73" s="135">
        <f t="shared" ref="AB73" si="177">IF(D73=0,1,AA73/D73-1)</f>
        <v>1</v>
      </c>
      <c r="AC73" s="29"/>
      <c r="AD73" s="29"/>
      <c r="AE73" s="134">
        <f t="shared" si="160"/>
        <v>0</v>
      </c>
      <c r="AF73" s="135">
        <f t="shared" ref="AF73" si="178">IF(G73=0,1,AE73/G73-1)</f>
        <v>1</v>
      </c>
      <c r="AG73" s="29"/>
      <c r="AH73" s="134"/>
      <c r="AI73" s="135">
        <f t="shared" ref="AI73" si="179">IF(I73=0,1,AH73/I73-1)</f>
        <v>1</v>
      </c>
      <c r="AJ73" s="29"/>
      <c r="AK73" s="134"/>
      <c r="AL73" s="135">
        <f t="shared" ref="AL73" si="180">IF(K73=0,1,AK73/K73-1)</f>
        <v>1</v>
      </c>
      <c r="AM73" s="29"/>
      <c r="AN73" s="134"/>
      <c r="AO73" s="135">
        <f t="shared" ref="AO73" si="181">IF(M73=0,1,AN73/M73-1)</f>
        <v>1</v>
      </c>
      <c r="AP73" s="29"/>
      <c r="AQ73" s="134"/>
      <c r="AR73" s="135">
        <f t="shared" ref="AR73" si="182">IF(O73=0,1,AQ73/O73-1)</f>
        <v>1</v>
      </c>
      <c r="AS73" s="29"/>
      <c r="AT73" s="134"/>
      <c r="AU73" s="135">
        <f t="shared" ref="AU73" si="183">IF(Q73=0,1,AT73/Q73-1)</f>
        <v>1</v>
      </c>
      <c r="AV73" s="29"/>
      <c r="AW73" s="134"/>
      <c r="AX73" s="135">
        <f t="shared" ref="AX73" si="184">IF(S73=0,1,AW73/S73-1)</f>
        <v>1</v>
      </c>
      <c r="AY73" s="29"/>
      <c r="AZ73" s="134"/>
      <c r="BA73" s="135">
        <f t="shared" ref="BA73" si="185">IF(U73=0,1,AZ73/U73-1)</f>
        <v>1</v>
      </c>
      <c r="BB73" s="29"/>
      <c r="BC73" s="134"/>
      <c r="BD73" s="135">
        <f t="shared" ref="BD73" si="186">IF(W73=0,1,BC73/W73-1)</f>
        <v>1</v>
      </c>
      <c r="BE73" s="29"/>
      <c r="BF73" s="134"/>
      <c r="BG73" s="135">
        <f t="shared" ref="BG73" si="187">IF(Y73=0,1,BF73/Y73-1)</f>
        <v>1</v>
      </c>
      <c r="BH73" s="134"/>
      <c r="BI73" s="134"/>
      <c r="BJ73" s="134"/>
      <c r="BK73" s="135">
        <f t="shared" si="175"/>
        <v>1</v>
      </c>
      <c r="BL73" s="135">
        <f t="shared" si="176"/>
        <v>1</v>
      </c>
      <c r="BM73" s="167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</row>
    <row r="74" spans="1:206" s="72" customFormat="1" ht="16.5">
      <c r="A74" s="422" t="s">
        <v>50</v>
      </c>
      <c r="B74" s="422"/>
      <c r="C74" s="130">
        <f>C9-C37</f>
        <v>0</v>
      </c>
      <c r="D74" s="130">
        <f t="shared" ref="D74:AA74" si="188">D9-D37</f>
        <v>0</v>
      </c>
      <c r="E74" s="130">
        <f t="shared" si="188"/>
        <v>0</v>
      </c>
      <c r="F74" s="130">
        <f t="shared" si="188"/>
        <v>0</v>
      </c>
      <c r="G74" s="130">
        <f t="shared" si="188"/>
        <v>0</v>
      </c>
      <c r="H74" s="130">
        <f t="shared" si="188"/>
        <v>0</v>
      </c>
      <c r="I74" s="130">
        <f t="shared" si="188"/>
        <v>0</v>
      </c>
      <c r="J74" s="130">
        <f t="shared" si="188"/>
        <v>0</v>
      </c>
      <c r="K74" s="130">
        <f t="shared" si="188"/>
        <v>0</v>
      </c>
      <c r="L74" s="130">
        <f t="shared" si="188"/>
        <v>0</v>
      </c>
      <c r="M74" s="130">
        <f t="shared" si="188"/>
        <v>0</v>
      </c>
      <c r="N74" s="130">
        <f t="shared" si="188"/>
        <v>0</v>
      </c>
      <c r="O74" s="130">
        <f t="shared" si="188"/>
        <v>0</v>
      </c>
      <c r="P74" s="130">
        <f t="shared" si="188"/>
        <v>0</v>
      </c>
      <c r="Q74" s="130">
        <f t="shared" si="188"/>
        <v>0</v>
      </c>
      <c r="R74" s="130">
        <f t="shared" si="188"/>
        <v>0</v>
      </c>
      <c r="S74" s="130">
        <f t="shared" si="188"/>
        <v>0</v>
      </c>
      <c r="T74" s="130">
        <f t="shared" si="188"/>
        <v>0</v>
      </c>
      <c r="U74" s="130">
        <f t="shared" si="188"/>
        <v>0</v>
      </c>
      <c r="V74" s="130">
        <f t="shared" si="188"/>
        <v>0</v>
      </c>
      <c r="W74" s="130">
        <f t="shared" si="188"/>
        <v>0</v>
      </c>
      <c r="X74" s="130">
        <f t="shared" si="188"/>
        <v>0</v>
      </c>
      <c r="Y74" s="130">
        <f t="shared" si="188"/>
        <v>0</v>
      </c>
      <c r="Z74" s="130">
        <f t="shared" si="188"/>
        <v>0</v>
      </c>
      <c r="AA74" s="130">
        <f t="shared" si="188"/>
        <v>0</v>
      </c>
      <c r="AB74" s="143" t="s">
        <v>51</v>
      </c>
      <c r="AC74" s="130">
        <f t="shared" ref="AC74:BH74" si="189">AC9-AC37</f>
        <v>0</v>
      </c>
      <c r="AD74" s="130">
        <f t="shared" si="189"/>
        <v>0</v>
      </c>
      <c r="AE74" s="130">
        <f t="shared" si="189"/>
        <v>0</v>
      </c>
      <c r="AF74" s="143" t="s">
        <v>51</v>
      </c>
      <c r="AG74" s="130">
        <f t="shared" si="189"/>
        <v>0</v>
      </c>
      <c r="AH74" s="130">
        <f t="shared" si="189"/>
        <v>0</v>
      </c>
      <c r="AI74" s="143" t="s">
        <v>51</v>
      </c>
      <c r="AJ74" s="130">
        <f t="shared" si="189"/>
        <v>0</v>
      </c>
      <c r="AK74" s="130">
        <f t="shared" si="189"/>
        <v>0</v>
      </c>
      <c r="AL74" s="143" t="s">
        <v>51</v>
      </c>
      <c r="AM74" s="130">
        <f t="shared" si="189"/>
        <v>0</v>
      </c>
      <c r="AN74" s="130">
        <f t="shared" si="189"/>
        <v>0</v>
      </c>
      <c r="AO74" s="143" t="s">
        <v>51</v>
      </c>
      <c r="AP74" s="130">
        <f t="shared" si="189"/>
        <v>0</v>
      </c>
      <c r="AQ74" s="130">
        <f t="shared" si="189"/>
        <v>0</v>
      </c>
      <c r="AR74" s="143" t="s">
        <v>51</v>
      </c>
      <c r="AS74" s="130">
        <f t="shared" si="189"/>
        <v>0</v>
      </c>
      <c r="AT74" s="130">
        <f t="shared" si="189"/>
        <v>0</v>
      </c>
      <c r="AU74" s="143" t="s">
        <v>51</v>
      </c>
      <c r="AV74" s="130">
        <f t="shared" si="189"/>
        <v>0</v>
      </c>
      <c r="AW74" s="130">
        <f t="shared" si="189"/>
        <v>0</v>
      </c>
      <c r="AX74" s="143" t="s">
        <v>51</v>
      </c>
      <c r="AY74" s="130">
        <f t="shared" si="189"/>
        <v>0</v>
      </c>
      <c r="AZ74" s="130">
        <f t="shared" si="189"/>
        <v>0</v>
      </c>
      <c r="BA74" s="143" t="s">
        <v>51</v>
      </c>
      <c r="BB74" s="130">
        <f t="shared" si="189"/>
        <v>0</v>
      </c>
      <c r="BC74" s="130">
        <f t="shared" si="189"/>
        <v>0</v>
      </c>
      <c r="BD74" s="143" t="s">
        <v>51</v>
      </c>
      <c r="BE74" s="130">
        <f t="shared" si="189"/>
        <v>0</v>
      </c>
      <c r="BF74" s="130">
        <f t="shared" si="189"/>
        <v>0</v>
      </c>
      <c r="BG74" s="143" t="s">
        <v>51</v>
      </c>
      <c r="BH74" s="130">
        <f t="shared" si="189"/>
        <v>0</v>
      </c>
      <c r="BI74" s="130">
        <f t="shared" ref="BI74:BJ74" si="190">BI9-BI37</f>
        <v>0</v>
      </c>
      <c r="BJ74" s="130">
        <f t="shared" si="190"/>
        <v>0</v>
      </c>
      <c r="BK74" s="143" t="s">
        <v>51</v>
      </c>
      <c r="BL74" s="143" t="s">
        <v>51</v>
      </c>
      <c r="BM74" s="165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</row>
    <row r="75" spans="1:206" s="75" customFormat="1" ht="18" customHeight="1">
      <c r="A75" s="425" t="s">
        <v>52</v>
      </c>
      <c r="B75" s="425"/>
      <c r="C75" s="133" t="e">
        <f t="shared" ref="C75:R75" si="191">IF(C74&gt;0,"-",-C74/(C10-C12))</f>
        <v>#DIV/0!</v>
      </c>
      <c r="D75" s="133" t="e">
        <f t="shared" si="191"/>
        <v>#DIV/0!</v>
      </c>
      <c r="E75" s="133" t="e">
        <f t="shared" si="191"/>
        <v>#DIV/0!</v>
      </c>
      <c r="F75" s="133" t="e">
        <f t="shared" si="191"/>
        <v>#DIV/0!</v>
      </c>
      <c r="G75" s="133" t="e">
        <f t="shared" si="191"/>
        <v>#DIV/0!</v>
      </c>
      <c r="H75" s="133" t="e">
        <f t="shared" si="191"/>
        <v>#DIV/0!</v>
      </c>
      <c r="I75" s="133" t="e">
        <f t="shared" si="191"/>
        <v>#DIV/0!</v>
      </c>
      <c r="J75" s="133" t="e">
        <f t="shared" si="191"/>
        <v>#DIV/0!</v>
      </c>
      <c r="K75" s="133" t="e">
        <f t="shared" si="191"/>
        <v>#DIV/0!</v>
      </c>
      <c r="L75" s="133" t="e">
        <f t="shared" si="191"/>
        <v>#DIV/0!</v>
      </c>
      <c r="M75" s="133" t="e">
        <f t="shared" si="191"/>
        <v>#DIV/0!</v>
      </c>
      <c r="N75" s="133" t="e">
        <f t="shared" si="191"/>
        <v>#DIV/0!</v>
      </c>
      <c r="O75" s="133" t="e">
        <f t="shared" si="191"/>
        <v>#DIV/0!</v>
      </c>
      <c r="P75" s="133" t="e">
        <f t="shared" si="191"/>
        <v>#DIV/0!</v>
      </c>
      <c r="Q75" s="133" t="e">
        <f t="shared" si="191"/>
        <v>#DIV/0!</v>
      </c>
      <c r="R75" s="133" t="e">
        <f t="shared" si="191"/>
        <v>#DIV/0!</v>
      </c>
      <c r="S75" s="133" t="e">
        <f t="shared" ref="S75:AA75" si="192">IF(S74&gt;0,"-",-S74/(S10-S12))</f>
        <v>#DIV/0!</v>
      </c>
      <c r="T75" s="133" t="e">
        <f t="shared" si="192"/>
        <v>#DIV/0!</v>
      </c>
      <c r="U75" s="133" t="e">
        <f t="shared" si="192"/>
        <v>#DIV/0!</v>
      </c>
      <c r="V75" s="133" t="e">
        <f t="shared" si="192"/>
        <v>#DIV/0!</v>
      </c>
      <c r="W75" s="133" t="e">
        <f t="shared" si="192"/>
        <v>#DIV/0!</v>
      </c>
      <c r="X75" s="133" t="e">
        <f t="shared" si="192"/>
        <v>#DIV/0!</v>
      </c>
      <c r="Y75" s="133" t="e">
        <f t="shared" si="192"/>
        <v>#DIV/0!</v>
      </c>
      <c r="Z75" s="133" t="e">
        <f t="shared" si="192"/>
        <v>#DIV/0!</v>
      </c>
      <c r="AA75" s="133" t="e">
        <f t="shared" si="192"/>
        <v>#DIV/0!</v>
      </c>
      <c r="AB75" s="144" t="s">
        <v>51</v>
      </c>
      <c r="AC75" s="133" t="e">
        <f t="shared" ref="AC75:AE75" si="193">IF(AC74&gt;0,"-",-AC74/(AC10-AC12))</f>
        <v>#DIV/0!</v>
      </c>
      <c r="AD75" s="133" t="e">
        <f t="shared" si="193"/>
        <v>#DIV/0!</v>
      </c>
      <c r="AE75" s="133" t="e">
        <f t="shared" si="193"/>
        <v>#DIV/0!</v>
      </c>
      <c r="AF75" s="144" t="s">
        <v>51</v>
      </c>
      <c r="AG75" s="133" t="e">
        <f>IF(AG74&gt;0,"-",-AG74/(AG10-AG12))</f>
        <v>#DIV/0!</v>
      </c>
      <c r="AH75" s="133" t="e">
        <f>IF(AH74&gt;0,"-",-AH74/(AH10-AH12))</f>
        <v>#DIV/0!</v>
      </c>
      <c r="AI75" s="144" t="s">
        <v>51</v>
      </c>
      <c r="AJ75" s="133" t="e">
        <f>IF(AJ74&gt;0,"-",-AJ74/(AJ10-AJ12))</f>
        <v>#DIV/0!</v>
      </c>
      <c r="AK75" s="133" t="e">
        <f>IF(AK74&gt;0,"-",-AK74/(AK10-AK12))</f>
        <v>#DIV/0!</v>
      </c>
      <c r="AL75" s="144" t="s">
        <v>51</v>
      </c>
      <c r="AM75" s="133" t="e">
        <f>IF(AM74&gt;0,"-",-AM74/(AM10-AM12))</f>
        <v>#DIV/0!</v>
      </c>
      <c r="AN75" s="133" t="e">
        <f>IF(AN74&gt;0,"-",-AN74/(AN10-AN12))</f>
        <v>#DIV/0!</v>
      </c>
      <c r="AO75" s="144" t="s">
        <v>51</v>
      </c>
      <c r="AP75" s="133" t="e">
        <f>IF(AP74&gt;0,"-",-AP74/(AP10-AP12))</f>
        <v>#DIV/0!</v>
      </c>
      <c r="AQ75" s="133" t="e">
        <f>IF(AQ74&gt;0,"-",-AQ74/(AQ10-AQ12))</f>
        <v>#DIV/0!</v>
      </c>
      <c r="AR75" s="144" t="s">
        <v>51</v>
      </c>
      <c r="AS75" s="133" t="e">
        <f>IF(AS74&gt;0,"-",-AS74/(AS10-AS12))</f>
        <v>#DIV/0!</v>
      </c>
      <c r="AT75" s="133" t="e">
        <f>IF(AT74&gt;0,"-",-AT74/(AT10-AT12))</f>
        <v>#DIV/0!</v>
      </c>
      <c r="AU75" s="144" t="s">
        <v>51</v>
      </c>
      <c r="AV75" s="133" t="e">
        <f>IF(AV74&gt;0,"-",-AV74/(AV10-AV12))</f>
        <v>#DIV/0!</v>
      </c>
      <c r="AW75" s="133" t="e">
        <f>IF(AW74&gt;0,"-",-AW74/(AW10-AW12))</f>
        <v>#DIV/0!</v>
      </c>
      <c r="AX75" s="144" t="s">
        <v>51</v>
      </c>
      <c r="AY75" s="133" t="e">
        <f>IF(AY74&gt;0,"-",-AY74/(AY10-AY12))</f>
        <v>#DIV/0!</v>
      </c>
      <c r="AZ75" s="133" t="e">
        <f>IF(AZ74&gt;0,"-",-AZ74/(AZ10-AZ12))</f>
        <v>#DIV/0!</v>
      </c>
      <c r="BA75" s="144" t="s">
        <v>51</v>
      </c>
      <c r="BB75" s="133" t="e">
        <f>IF(BB74&gt;0,"-",-BB74/(BB10-BB12))</f>
        <v>#DIV/0!</v>
      </c>
      <c r="BC75" s="133" t="e">
        <f>IF(BC74&gt;0,"-",-BC74/(BC10-BC12))</f>
        <v>#DIV/0!</v>
      </c>
      <c r="BD75" s="144" t="s">
        <v>51</v>
      </c>
      <c r="BE75" s="133" t="e">
        <f>IF(BE74&gt;0,"-",-BE74/(BE10-BE12))</f>
        <v>#DIV/0!</v>
      </c>
      <c r="BF75" s="133" t="e">
        <f>IF(BF74&gt;0,"-",-BF74/(BF10-BF12))</f>
        <v>#DIV/0!</v>
      </c>
      <c r="BG75" s="144" t="s">
        <v>51</v>
      </c>
      <c r="BH75" s="133" t="e">
        <f t="shared" ref="BH75:BJ75" si="194">IF(BH74&gt;0,"-",-BH74/(BH10-BH12))</f>
        <v>#DIV/0!</v>
      </c>
      <c r="BI75" s="133" t="e">
        <f t="shared" si="194"/>
        <v>#DIV/0!</v>
      </c>
      <c r="BJ75" s="133" t="e">
        <f t="shared" si="194"/>
        <v>#DIV/0!</v>
      </c>
      <c r="BK75" s="144" t="s">
        <v>51</v>
      </c>
      <c r="BL75" s="144" t="s">
        <v>51</v>
      </c>
      <c r="BM75" s="73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</row>
    <row r="76" spans="1:206" s="75" customFormat="1" ht="19.5" customHeight="1">
      <c r="A76" s="433" t="s">
        <v>127</v>
      </c>
      <c r="B76" s="433"/>
      <c r="C76" s="145" t="str">
        <f t="shared" ref="C76:R76" si="195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195"/>
        <v>-</v>
      </c>
      <c r="E76" s="145" t="str">
        <f t="shared" si="195"/>
        <v>-</v>
      </c>
      <c r="F76" s="145" t="str">
        <f t="shared" si="195"/>
        <v>-</v>
      </c>
      <c r="G76" s="145" t="str">
        <f t="shared" si="195"/>
        <v>-</v>
      </c>
      <c r="H76" s="145" t="str">
        <f t="shared" si="195"/>
        <v>-</v>
      </c>
      <c r="I76" s="145" t="str">
        <f t="shared" si="195"/>
        <v>-</v>
      </c>
      <c r="J76" s="145" t="str">
        <f t="shared" si="195"/>
        <v>-</v>
      </c>
      <c r="K76" s="145" t="str">
        <f t="shared" si="195"/>
        <v>-</v>
      </c>
      <c r="L76" s="145" t="str">
        <f t="shared" si="195"/>
        <v>-</v>
      </c>
      <c r="M76" s="145" t="str">
        <f t="shared" si="195"/>
        <v>-</v>
      </c>
      <c r="N76" s="145" t="str">
        <f t="shared" si="195"/>
        <v>-</v>
      </c>
      <c r="O76" s="145" t="str">
        <f t="shared" si="195"/>
        <v>-</v>
      </c>
      <c r="P76" s="145" t="str">
        <f t="shared" si="195"/>
        <v>-</v>
      </c>
      <c r="Q76" s="145" t="str">
        <f t="shared" si="195"/>
        <v>-</v>
      </c>
      <c r="R76" s="145" t="str">
        <f t="shared" si="195"/>
        <v>-</v>
      </c>
      <c r="S76" s="145" t="str">
        <f t="shared" ref="S76:AA76" si="196">IF(OR(S10-S12=0,S74&gt;=0),"-",IF(AND(S78&lt;=0,S87&lt;=0),(-S74)/(S10-S12),IF(AND(S87&gt;0,S78&lt;=0),(-S74-S87)/(S10-S12),IF(AND(S87&lt;=0,S78&gt;0),(-S74-S78)/(S10-S12),(-S74-S78-S87)/(S10-S12)))))</f>
        <v>-</v>
      </c>
      <c r="T76" s="145" t="str">
        <f t="shared" si="196"/>
        <v>-</v>
      </c>
      <c r="U76" s="145" t="str">
        <f t="shared" si="196"/>
        <v>-</v>
      </c>
      <c r="V76" s="145" t="str">
        <f t="shared" si="196"/>
        <v>-</v>
      </c>
      <c r="W76" s="145" t="str">
        <f t="shared" si="196"/>
        <v>-</v>
      </c>
      <c r="X76" s="145" t="str">
        <f t="shared" si="196"/>
        <v>-</v>
      </c>
      <c r="Y76" s="145" t="str">
        <f t="shared" si="196"/>
        <v>-</v>
      </c>
      <c r="Z76" s="145" t="str">
        <f t="shared" si="196"/>
        <v>-</v>
      </c>
      <c r="AA76" s="145" t="str">
        <f t="shared" si="196"/>
        <v>-</v>
      </c>
      <c r="AB76" s="144" t="s">
        <v>51</v>
      </c>
      <c r="AC76" s="145" t="str">
        <f t="shared" ref="AC76:AE76" si="197">IF(OR(AC10-AC12=0,AC74&gt;=0),"-",IF(AND(AC78&lt;=0,AC87&lt;=0),(-AC74)/(AC10-AC12),IF(AND(AC87&gt;0,AC78&lt;=0),(-AC74-AC87)/(AC10-AC12),IF(AND(AC87&lt;=0,AC78&gt;0),(-AC74-AC78)/(AC10-AC12),(-AC74-AC78-AC87)/(AC10-AC12)))))</f>
        <v>-</v>
      </c>
      <c r="AD76" s="145" t="str">
        <f t="shared" si="197"/>
        <v>-</v>
      </c>
      <c r="AE76" s="145" t="str">
        <f t="shared" si="197"/>
        <v>-</v>
      </c>
      <c r="AF76" s="144" t="s">
        <v>51</v>
      </c>
      <c r="AG76" s="145" t="str">
        <f>IF(OR(AG10-AG12=0,AG74&gt;=0),"-",IF(AND(AG78&lt;=0,AG87&lt;=0),(-AG74)/(AG10-AG12),IF(AND(AG87&gt;0,AG78&lt;=0),(-AG74-AG87)/(AG10-AG12),IF(AND(AG87&lt;=0,AG78&gt;0),(-AG74-AG78)/(AG10-AG12),(-AG74-AG78-AG87)/(AG10-AG12)))))</f>
        <v>-</v>
      </c>
      <c r="AH76" s="145" t="str">
        <f>IF(OR(AH10-AH12=0,AH74&gt;=0),"-",IF(AND(AH78&lt;=0,AH87&lt;=0),(-AH74)/(AH10-AH12),IF(AND(AH87&gt;0,AH78&lt;=0),(-AH74-AH87)/(AH10-AH12),IF(AND(AH87&lt;=0,AH78&gt;0),(-AH74-AH78)/(AH10-AH12),(-AH74-AH78-AH87)/(AH10-AH12)))))</f>
        <v>-</v>
      </c>
      <c r="AI76" s="144" t="s">
        <v>51</v>
      </c>
      <c r="AJ76" s="145" t="str">
        <f>IF(OR(AJ10-AJ12=0,AJ74&gt;=0),"-",IF(AND(AJ78&lt;=0,AJ87&lt;=0),(-AJ74)/(AJ10-AJ12),IF(AND(AJ87&gt;0,AJ78&lt;=0),(-AJ74-AJ87)/(AJ10-AJ12),IF(AND(AJ87&lt;=0,AJ78&gt;0),(-AJ74-AJ78)/(AJ10-AJ12),(-AJ74-AJ78-AJ87)/(AJ10-AJ12)))))</f>
        <v>-</v>
      </c>
      <c r="AK76" s="145" t="str">
        <f>IF(OR(AK10-AK12=0,AK74&gt;=0),"-",IF(AND(AK78&lt;=0,AK87&lt;=0),(-AK74)/(AK10-AK12),IF(AND(AK87&gt;0,AK78&lt;=0),(-AK74-AK87)/(AK10-AK12),IF(AND(AK87&lt;=0,AK78&gt;0),(-AK74-AK78)/(AK10-AK12),(-AK74-AK78-AK87)/(AK10-AK12)))))</f>
        <v>-</v>
      </c>
      <c r="AL76" s="144" t="s">
        <v>51</v>
      </c>
      <c r="AM76" s="145" t="str">
        <f>IF(OR(AM10-AM12=0,AM74&gt;=0),"-",IF(AND(AM78&lt;=0,AM87&lt;=0),(-AM74)/(AM10-AM12),IF(AND(AM87&gt;0,AM78&lt;=0),(-AM74-AM87)/(AM10-AM12),IF(AND(AM87&lt;=0,AM78&gt;0),(-AM74-AM78)/(AM10-AM12),(-AM74-AM78-AM87)/(AM10-AM12)))))</f>
        <v>-</v>
      </c>
      <c r="AN76" s="145" t="str">
        <f>IF(OR(AN10-AN12=0,AN74&gt;=0),"-",IF(AND(AN78&lt;=0,AN87&lt;=0),(-AN74)/(AN10-AN12),IF(AND(AN87&gt;0,AN78&lt;=0),(-AN74-AN87)/(AN10-AN12),IF(AND(AN87&lt;=0,AN78&gt;0),(-AN74-AN78)/(AN10-AN12),(-AN74-AN78-AN87)/(AN10-AN12)))))</f>
        <v>-</v>
      </c>
      <c r="AO76" s="144" t="s">
        <v>51</v>
      </c>
      <c r="AP76" s="145" t="str">
        <f>IF(OR(AP10-AP12=0,AP74&gt;=0),"-",IF(AND(AP78&lt;=0,AP87&lt;=0),(-AP74)/(AP10-AP12),IF(AND(AP87&gt;0,AP78&lt;=0),(-AP74-AP87)/(AP10-AP12),IF(AND(AP87&lt;=0,AP78&gt;0),(-AP74-AP78)/(AP10-AP12),(-AP74-AP78-AP87)/(AP10-AP12)))))</f>
        <v>-</v>
      </c>
      <c r="AQ76" s="145" t="str">
        <f>IF(OR(AQ10-AQ12=0,AQ74&gt;=0),"-",IF(AND(AQ78&lt;=0,AQ87&lt;=0),(-AQ74)/(AQ10-AQ12),IF(AND(AQ87&gt;0,AQ78&lt;=0),(-AQ74-AQ87)/(AQ10-AQ12),IF(AND(AQ87&lt;=0,AQ78&gt;0),(-AQ74-AQ78)/(AQ10-AQ12),(-AQ74-AQ78-AQ87)/(AQ10-AQ12)))))</f>
        <v>-</v>
      </c>
      <c r="AR76" s="144" t="s">
        <v>51</v>
      </c>
      <c r="AS76" s="145" t="str">
        <f>IF(OR(AS10-AS12=0,AS74&gt;=0),"-",IF(AND(AS78&lt;=0,AS87&lt;=0),(-AS74)/(AS10-AS12),IF(AND(AS87&gt;0,AS78&lt;=0),(-AS74-AS87)/(AS10-AS12),IF(AND(AS87&lt;=0,AS78&gt;0),(-AS74-AS78)/(AS10-AS12),(-AS74-AS78-AS87)/(AS10-AS12)))))</f>
        <v>-</v>
      </c>
      <c r="AT76" s="145" t="str">
        <f>IF(OR(AT10-AT12=0,AT74&gt;=0),"-",IF(AND(AT78&lt;=0,AT87&lt;=0),(-AT74)/(AT10-AT12),IF(AND(AT87&gt;0,AT78&lt;=0),(-AT74-AT87)/(AT10-AT12),IF(AND(AT87&lt;=0,AT78&gt;0),(-AT74-AT78)/(AT10-AT12),(-AT74-AT78-AT87)/(AT10-AT12)))))</f>
        <v>-</v>
      </c>
      <c r="AU76" s="144" t="s">
        <v>51</v>
      </c>
      <c r="AV76" s="145" t="str">
        <f>IF(OR(AV10-AV12=0,AV74&gt;=0),"-",IF(AND(AV78&lt;=0,AV87&lt;=0),(-AV74)/(AV10-AV12),IF(AND(AV87&gt;0,AV78&lt;=0),(-AV74-AV87)/(AV10-AV12),IF(AND(AV87&lt;=0,AV78&gt;0),(-AV74-AV78)/(AV10-AV12),(-AV74-AV78-AV87)/(AV10-AV12)))))</f>
        <v>-</v>
      </c>
      <c r="AW76" s="145" t="str">
        <f>IF(OR(AW10-AW12=0,AW74&gt;=0),"-",IF(AND(AW78&lt;=0,AW87&lt;=0),(-AW74)/(AW10-AW12),IF(AND(AW87&gt;0,AW78&lt;=0),(-AW74-AW87)/(AW10-AW12),IF(AND(AW87&lt;=0,AW78&gt;0),(-AW74-AW78)/(AW10-AW12),(-AW74-AW78-AW87)/(AW10-AW12)))))</f>
        <v>-</v>
      </c>
      <c r="AX76" s="144" t="s">
        <v>51</v>
      </c>
      <c r="AY76" s="145" t="str">
        <f>IF(OR(AY10-AY12=0,AY74&gt;=0),"-",IF(AND(AY78&lt;=0,AY87&lt;=0),(-AY74)/(AY10-AY12),IF(AND(AY87&gt;0,AY78&lt;=0),(-AY74-AY87)/(AY10-AY12),IF(AND(AY87&lt;=0,AY78&gt;0),(-AY74-AY78)/(AY10-AY12),(-AY74-AY78-AY87)/(AY10-AY12)))))</f>
        <v>-</v>
      </c>
      <c r="AZ76" s="145" t="str">
        <f>IF(OR(AZ10-AZ12=0,AZ74&gt;=0),"-",IF(AND(AZ78&lt;=0,AZ87&lt;=0),(-AZ74)/(AZ10-AZ12),IF(AND(AZ87&gt;0,AZ78&lt;=0),(-AZ74-AZ87)/(AZ10-AZ12),IF(AND(AZ87&lt;=0,AZ78&gt;0),(-AZ74-AZ78)/(AZ10-AZ12),(-AZ74-AZ78-AZ87)/(AZ10-AZ12)))))</f>
        <v>-</v>
      </c>
      <c r="BA76" s="144" t="s">
        <v>51</v>
      </c>
      <c r="BB76" s="145" t="str">
        <f>IF(OR(BB10-BB12=0,BB74&gt;=0),"-",IF(AND(BB78&lt;=0,BB87&lt;=0),(-BB74)/(BB10-BB12),IF(AND(BB87&gt;0,BB78&lt;=0),(-BB74-BB87)/(BB10-BB12),IF(AND(BB87&lt;=0,BB78&gt;0),(-BB74-BB78)/(BB10-BB12),(-BB74-BB78-BB87)/(BB10-BB12)))))</f>
        <v>-</v>
      </c>
      <c r="BC76" s="145" t="str">
        <f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4" t="s">
        <v>51</v>
      </c>
      <c r="BE76" s="145" t="str">
        <f>IF(OR(BE10-BE12=0,BE74&gt;=0),"-",IF(AND(BE78&lt;=0,BE87&lt;=0),(-BE74)/(BE10-BE12),IF(AND(BE87&gt;0,BE78&lt;=0),(-BE74-BE87)/(BE10-BE12),IF(AND(BE87&lt;=0,BE78&gt;0),(-BE74-BE78)/(BE10-BE12),(-BE74-BE78-BE87)/(BE10-BE12)))))</f>
        <v>-</v>
      </c>
      <c r="BF76" s="145" t="str">
        <f>IF(OR(BF10-BF12=0,BF74&gt;=0),"-",IF(AND(BF78&lt;=0,BF87&lt;=0),(-BF74)/(BF10-BF12),IF(AND(BF87&gt;0,BF78&lt;=0),(-BF74-BF87)/(BF10-BF12),IF(AND(BF87&lt;=0,BF78&gt;0),(-BF74-BF78)/(BF10-BF12),(-BF74-BF78-BF87)/(BF10-BF12)))))</f>
        <v>-</v>
      </c>
      <c r="BG76" s="144" t="s">
        <v>51</v>
      </c>
      <c r="BH76" s="145" t="str">
        <f t="shared" ref="BH76:BJ76" si="198">IF(OR(BH10-BH12=0,BH74&gt;=0),"-",IF(AND(BH78&lt;=0,BH87&lt;=0),(-BH74)/(BH10-BH12),IF(AND(BH87&gt;0,BH78&lt;=0),(-BH74-BH87)/(BH10-BH12),IF(AND(BH87&lt;=0,BH78&gt;0),(-BH74-BH78)/(BH10-BH12),(-BH74-BH78-BH87)/(BH10-BH12)))))</f>
        <v>-</v>
      </c>
      <c r="BI76" s="145" t="str">
        <f t="shared" si="198"/>
        <v>-</v>
      </c>
      <c r="BJ76" s="145" t="str">
        <f t="shared" si="198"/>
        <v>-</v>
      </c>
      <c r="BK76" s="144" t="s">
        <v>51</v>
      </c>
      <c r="BL76" s="144" t="s">
        <v>51</v>
      </c>
      <c r="BM76" s="73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</row>
    <row r="77" spans="1:206" s="77" customFormat="1" ht="32.25" customHeight="1">
      <c r="A77" s="422" t="s">
        <v>53</v>
      </c>
      <c r="B77" s="422"/>
      <c r="C77" s="130">
        <f t="shared" ref="C77" si="199">C78+C81+C84+C87</f>
        <v>0</v>
      </c>
      <c r="D77" s="130">
        <f>D78+D81+D84+D87</f>
        <v>0</v>
      </c>
      <c r="E77" s="130">
        <f t="shared" ref="E77:J77" si="200">E78+E81+E84+E87</f>
        <v>0</v>
      </c>
      <c r="F77" s="130">
        <f t="shared" si="200"/>
        <v>0</v>
      </c>
      <c r="G77" s="130">
        <f t="shared" si="200"/>
        <v>0</v>
      </c>
      <c r="H77" s="130">
        <f t="shared" si="200"/>
        <v>0</v>
      </c>
      <c r="I77" s="130">
        <f>I78+I81+I84+I87</f>
        <v>0</v>
      </c>
      <c r="J77" s="130">
        <f t="shared" si="200"/>
        <v>0</v>
      </c>
      <c r="K77" s="130">
        <f>K78+K81+K84+K87</f>
        <v>0</v>
      </c>
      <c r="L77" s="130">
        <f t="shared" ref="L77" si="201">L78+L81+L84+L87</f>
        <v>0</v>
      </c>
      <c r="M77" s="130">
        <f>M78+M81+M84+M87</f>
        <v>0</v>
      </c>
      <c r="N77" s="130">
        <f t="shared" ref="N77" si="202">N78+N81+N84+N87</f>
        <v>0</v>
      </c>
      <c r="O77" s="130">
        <f>O78+O81+O84+O87</f>
        <v>0</v>
      </c>
      <c r="P77" s="130">
        <f t="shared" ref="P77" si="203">P78+P81+P84+P87</f>
        <v>0</v>
      </c>
      <c r="Q77" s="130">
        <f>Q78+Q81+Q84+Q87</f>
        <v>0</v>
      </c>
      <c r="R77" s="130">
        <f t="shared" ref="R77" si="204">R78+R81+R84+R87</f>
        <v>0</v>
      </c>
      <c r="S77" s="130">
        <f>S78+S81+S84+S87</f>
        <v>0</v>
      </c>
      <c r="T77" s="130">
        <f t="shared" ref="T77" si="205">T78+T81+T84+T87</f>
        <v>0</v>
      </c>
      <c r="U77" s="130">
        <f>U78+U81+U84+U87</f>
        <v>0</v>
      </c>
      <c r="V77" s="130">
        <f t="shared" ref="V77" si="206">V78+V81+V84+V87</f>
        <v>0</v>
      </c>
      <c r="W77" s="130">
        <f>W78+W81+W84+W87</f>
        <v>0</v>
      </c>
      <c r="X77" s="130">
        <f t="shared" ref="X77" si="207">X78+X81+X84+X87</f>
        <v>0</v>
      </c>
      <c r="Y77" s="130">
        <f>Y78+Y81+Y84+Y87</f>
        <v>0</v>
      </c>
      <c r="Z77" s="130">
        <f t="shared" ref="Z77:AA77" si="208">Z78+Z81+Z84+Z87</f>
        <v>0</v>
      </c>
      <c r="AA77" s="130">
        <f t="shared" si="208"/>
        <v>0</v>
      </c>
      <c r="AB77" s="143" t="s">
        <v>51</v>
      </c>
      <c r="AC77" s="130">
        <f t="shared" ref="AC77:BH77" si="209">AC78+AC81+AC84+AC87</f>
        <v>0</v>
      </c>
      <c r="AD77" s="130">
        <f t="shared" si="209"/>
        <v>0</v>
      </c>
      <c r="AE77" s="130">
        <f t="shared" si="209"/>
        <v>0</v>
      </c>
      <c r="AF77" s="143" t="s">
        <v>51</v>
      </c>
      <c r="AG77" s="130">
        <f t="shared" ref="AG77" si="210">AG78+AG81+AG84+AG87</f>
        <v>0</v>
      </c>
      <c r="AH77" s="130">
        <f t="shared" si="209"/>
        <v>0</v>
      </c>
      <c r="AI77" s="143" t="s">
        <v>51</v>
      </c>
      <c r="AJ77" s="130">
        <f t="shared" si="209"/>
        <v>0</v>
      </c>
      <c r="AK77" s="130">
        <f t="shared" si="209"/>
        <v>0</v>
      </c>
      <c r="AL77" s="143" t="s">
        <v>51</v>
      </c>
      <c r="AM77" s="130">
        <f t="shared" si="209"/>
        <v>0</v>
      </c>
      <c r="AN77" s="130">
        <f t="shared" si="209"/>
        <v>0</v>
      </c>
      <c r="AO77" s="143" t="s">
        <v>51</v>
      </c>
      <c r="AP77" s="130">
        <f t="shared" si="209"/>
        <v>0</v>
      </c>
      <c r="AQ77" s="130">
        <f t="shared" si="209"/>
        <v>0</v>
      </c>
      <c r="AR77" s="143" t="s">
        <v>51</v>
      </c>
      <c r="AS77" s="130">
        <f t="shared" si="209"/>
        <v>0</v>
      </c>
      <c r="AT77" s="130">
        <f t="shared" si="209"/>
        <v>0</v>
      </c>
      <c r="AU77" s="143" t="s">
        <v>51</v>
      </c>
      <c r="AV77" s="130">
        <f t="shared" si="209"/>
        <v>0</v>
      </c>
      <c r="AW77" s="130">
        <f t="shared" si="209"/>
        <v>0</v>
      </c>
      <c r="AX77" s="143" t="s">
        <v>51</v>
      </c>
      <c r="AY77" s="130">
        <f t="shared" si="209"/>
        <v>0</v>
      </c>
      <c r="AZ77" s="130">
        <f t="shared" si="209"/>
        <v>0</v>
      </c>
      <c r="BA77" s="143" t="s">
        <v>51</v>
      </c>
      <c r="BB77" s="130">
        <f t="shared" si="209"/>
        <v>0</v>
      </c>
      <c r="BC77" s="130">
        <f t="shared" si="209"/>
        <v>0</v>
      </c>
      <c r="BD77" s="143" t="s">
        <v>51</v>
      </c>
      <c r="BE77" s="130">
        <f t="shared" si="209"/>
        <v>0</v>
      </c>
      <c r="BF77" s="130">
        <f t="shared" si="209"/>
        <v>0</v>
      </c>
      <c r="BG77" s="143" t="s">
        <v>51</v>
      </c>
      <c r="BH77" s="130">
        <f t="shared" si="209"/>
        <v>0</v>
      </c>
      <c r="BI77" s="130">
        <f t="shared" ref="BI77:BJ77" si="211">BI78+BI81+BI84+BI87</f>
        <v>0</v>
      </c>
      <c r="BJ77" s="130">
        <f t="shared" si="211"/>
        <v>0</v>
      </c>
      <c r="BK77" s="143" t="s">
        <v>51</v>
      </c>
      <c r="BL77" s="143" t="s">
        <v>51</v>
      </c>
      <c r="BM77" s="168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</row>
    <row r="78" spans="1:206" s="75" customFormat="1" ht="18" customHeight="1">
      <c r="A78" s="430" t="s">
        <v>54</v>
      </c>
      <c r="B78" s="430"/>
      <c r="C78" s="148">
        <f t="shared" ref="C78:AA78" si="212">C79-C80</f>
        <v>0</v>
      </c>
      <c r="D78" s="148">
        <f>D79-D80</f>
        <v>0</v>
      </c>
      <c r="E78" s="148">
        <f t="shared" si="212"/>
        <v>0</v>
      </c>
      <c r="F78" s="148">
        <f t="shared" si="212"/>
        <v>0</v>
      </c>
      <c r="G78" s="148">
        <f t="shared" si="212"/>
        <v>0</v>
      </c>
      <c r="H78" s="148">
        <f t="shared" si="212"/>
        <v>0</v>
      </c>
      <c r="I78" s="148">
        <f t="shared" si="212"/>
        <v>0</v>
      </c>
      <c r="J78" s="148">
        <f t="shared" si="212"/>
        <v>0</v>
      </c>
      <c r="K78" s="148">
        <f t="shared" si="212"/>
        <v>0</v>
      </c>
      <c r="L78" s="148">
        <f t="shared" si="212"/>
        <v>0</v>
      </c>
      <c r="M78" s="148">
        <f t="shared" si="212"/>
        <v>0</v>
      </c>
      <c r="N78" s="148">
        <f t="shared" si="212"/>
        <v>0</v>
      </c>
      <c r="O78" s="148">
        <f t="shared" si="212"/>
        <v>0</v>
      </c>
      <c r="P78" s="148">
        <f t="shared" si="212"/>
        <v>0</v>
      </c>
      <c r="Q78" s="148">
        <f t="shared" si="212"/>
        <v>0</v>
      </c>
      <c r="R78" s="148">
        <f t="shared" si="212"/>
        <v>0</v>
      </c>
      <c r="S78" s="148">
        <f t="shared" si="212"/>
        <v>0</v>
      </c>
      <c r="T78" s="148">
        <f t="shared" si="212"/>
        <v>0</v>
      </c>
      <c r="U78" s="148">
        <f t="shared" si="212"/>
        <v>0</v>
      </c>
      <c r="V78" s="148">
        <f t="shared" si="212"/>
        <v>0</v>
      </c>
      <c r="W78" s="148">
        <f t="shared" si="212"/>
        <v>0</v>
      </c>
      <c r="X78" s="148">
        <f t="shared" si="212"/>
        <v>0</v>
      </c>
      <c r="Y78" s="148">
        <f t="shared" si="212"/>
        <v>0</v>
      </c>
      <c r="Z78" s="148">
        <f t="shared" si="212"/>
        <v>0</v>
      </c>
      <c r="AA78" s="148">
        <f t="shared" si="212"/>
        <v>0</v>
      </c>
      <c r="AB78" s="133">
        <f t="shared" ref="AB78:AB87" si="213">IF(D78=0,1,AA78/D78-1)</f>
        <v>1</v>
      </c>
      <c r="AC78" s="148">
        <f t="shared" ref="AC78:BH78" si="214">AC79-AC80</f>
        <v>0</v>
      </c>
      <c r="AD78" s="148">
        <f t="shared" si="214"/>
        <v>0</v>
      </c>
      <c r="AE78" s="148">
        <f t="shared" si="214"/>
        <v>0</v>
      </c>
      <c r="AF78" s="133">
        <f t="shared" ref="AF78:AF87" si="215">IF(G78=0,1,AE78/G78-1)</f>
        <v>1</v>
      </c>
      <c r="AG78" s="148">
        <f t="shared" ref="AG78" si="216">AG79-AG80</f>
        <v>0</v>
      </c>
      <c r="AH78" s="148">
        <f t="shared" si="214"/>
        <v>0</v>
      </c>
      <c r="AI78" s="133">
        <f t="shared" ref="AI78:AI87" si="217">IF(I78=0,1,AH78/I78-1)</f>
        <v>1</v>
      </c>
      <c r="AJ78" s="148">
        <f t="shared" si="214"/>
        <v>0</v>
      </c>
      <c r="AK78" s="148">
        <f t="shared" si="214"/>
        <v>0</v>
      </c>
      <c r="AL78" s="133">
        <f t="shared" ref="AL78:AL87" si="218">IF(K78=0,1,AK78/K78-1)</f>
        <v>1</v>
      </c>
      <c r="AM78" s="148">
        <f t="shared" si="214"/>
        <v>0</v>
      </c>
      <c r="AN78" s="148">
        <f t="shared" si="214"/>
        <v>0</v>
      </c>
      <c r="AO78" s="133">
        <f t="shared" ref="AO78:AO87" si="219">IF(M78=0,1,AN78/M78-1)</f>
        <v>1</v>
      </c>
      <c r="AP78" s="148">
        <f t="shared" si="214"/>
        <v>0</v>
      </c>
      <c r="AQ78" s="148">
        <f t="shared" si="214"/>
        <v>0</v>
      </c>
      <c r="AR78" s="133">
        <f t="shared" ref="AR78:AR87" si="220">IF(O78=0,1,AQ78/O78-1)</f>
        <v>1</v>
      </c>
      <c r="AS78" s="148">
        <f t="shared" si="214"/>
        <v>0</v>
      </c>
      <c r="AT78" s="148">
        <f t="shared" si="214"/>
        <v>0</v>
      </c>
      <c r="AU78" s="133">
        <f t="shared" ref="AU78:AU87" si="221">IF(Q78=0,1,AT78/Q78-1)</f>
        <v>1</v>
      </c>
      <c r="AV78" s="148">
        <f t="shared" si="214"/>
        <v>0</v>
      </c>
      <c r="AW78" s="148">
        <f t="shared" si="214"/>
        <v>0</v>
      </c>
      <c r="AX78" s="133">
        <f t="shared" ref="AX78:AX87" si="222">IF(S78=0,1,AW78/S78-1)</f>
        <v>1</v>
      </c>
      <c r="AY78" s="148">
        <f t="shared" si="214"/>
        <v>0</v>
      </c>
      <c r="AZ78" s="148">
        <f t="shared" si="214"/>
        <v>0</v>
      </c>
      <c r="BA78" s="133">
        <f t="shared" ref="BA78:BA87" si="223">IF(U78=0,1,AZ78/U78-1)</f>
        <v>1</v>
      </c>
      <c r="BB78" s="148">
        <f t="shared" si="214"/>
        <v>0</v>
      </c>
      <c r="BC78" s="148">
        <f t="shared" si="214"/>
        <v>0</v>
      </c>
      <c r="BD78" s="133">
        <f t="shared" ref="BD78:BD87" si="224">IF(W78=0,1,BC78/W78-1)</f>
        <v>1</v>
      </c>
      <c r="BE78" s="148">
        <f t="shared" si="214"/>
        <v>0</v>
      </c>
      <c r="BF78" s="148">
        <f t="shared" si="214"/>
        <v>0</v>
      </c>
      <c r="BG78" s="133">
        <f t="shared" ref="BG78:BG87" si="225">IF(Y78=0,1,BF78/Y78-1)</f>
        <v>1</v>
      </c>
      <c r="BH78" s="148">
        <f t="shared" si="214"/>
        <v>0</v>
      </c>
      <c r="BI78" s="148">
        <f t="shared" ref="BI78:BJ78" si="226">BI79-BI80</f>
        <v>0</v>
      </c>
      <c r="BJ78" s="148">
        <f t="shared" si="226"/>
        <v>0</v>
      </c>
      <c r="BK78" s="133">
        <f>IF($AA$78=0,1,BJ78/$AA$78-1)</f>
        <v>1</v>
      </c>
      <c r="BL78" s="133">
        <f t="shared" ref="BL78:BL87" si="227">IF($D78=0,1,BJ78/$D78-1)</f>
        <v>1</v>
      </c>
      <c r="BM78" s="169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</row>
    <row r="79" spans="1:206" s="66" customFormat="1" ht="18" customHeight="1">
      <c r="A79" s="429" t="s">
        <v>144</v>
      </c>
      <c r="B79" s="429"/>
      <c r="C79" s="29"/>
      <c r="D79" s="134">
        <f>E79+F79+H79+J79+L79+N79+P79+R79+T79+V79+X79+Z79</f>
        <v>0</v>
      </c>
      <c r="E79" s="29"/>
      <c r="F79" s="29"/>
      <c r="G79" s="137">
        <f>E79+F79</f>
        <v>0</v>
      </c>
      <c r="H79" s="29"/>
      <c r="I79" s="137">
        <f>G79+H79</f>
        <v>0</v>
      </c>
      <c r="J79" s="29"/>
      <c r="K79" s="137">
        <f>I79+J79</f>
        <v>0</v>
      </c>
      <c r="L79" s="29"/>
      <c r="M79" s="137">
        <f>K79+L79</f>
        <v>0</v>
      </c>
      <c r="N79" s="29"/>
      <c r="O79" s="137">
        <f>M79+N79</f>
        <v>0</v>
      </c>
      <c r="P79" s="29"/>
      <c r="Q79" s="137">
        <f>O79+P79</f>
        <v>0</v>
      </c>
      <c r="R79" s="29"/>
      <c r="S79" s="137">
        <f>Q79+R79</f>
        <v>0</v>
      </c>
      <c r="T79" s="29"/>
      <c r="U79" s="137">
        <f>S79+T79</f>
        <v>0</v>
      </c>
      <c r="V79" s="29"/>
      <c r="W79" s="137">
        <f>U79+V79</f>
        <v>0</v>
      </c>
      <c r="X79" s="29"/>
      <c r="Y79" s="137">
        <f>W79+X79</f>
        <v>0</v>
      </c>
      <c r="Z79" s="29"/>
      <c r="AA79" s="29"/>
      <c r="AB79" s="135">
        <f t="shared" si="213"/>
        <v>1</v>
      </c>
      <c r="AC79" s="29"/>
      <c r="AD79" s="29"/>
      <c r="AE79" s="137">
        <f>AC79+AD79</f>
        <v>0</v>
      </c>
      <c r="AF79" s="135">
        <f t="shared" si="215"/>
        <v>1</v>
      </c>
      <c r="AG79" s="29"/>
      <c r="AH79" s="137">
        <f>AE79+AG79</f>
        <v>0</v>
      </c>
      <c r="AI79" s="135">
        <f t="shared" si="217"/>
        <v>1</v>
      </c>
      <c r="AJ79" s="29"/>
      <c r="AK79" s="137">
        <f>AH79+AJ79</f>
        <v>0</v>
      </c>
      <c r="AL79" s="135">
        <f t="shared" si="218"/>
        <v>1</v>
      </c>
      <c r="AM79" s="29"/>
      <c r="AN79" s="137">
        <f>AK79+AM79</f>
        <v>0</v>
      </c>
      <c r="AO79" s="135">
        <f t="shared" si="219"/>
        <v>1</v>
      </c>
      <c r="AP79" s="29"/>
      <c r="AQ79" s="137">
        <f>AN79+AP79</f>
        <v>0</v>
      </c>
      <c r="AR79" s="135">
        <f t="shared" si="220"/>
        <v>1</v>
      </c>
      <c r="AS79" s="29"/>
      <c r="AT79" s="137">
        <f>AQ79+AS79</f>
        <v>0</v>
      </c>
      <c r="AU79" s="135">
        <f t="shared" si="221"/>
        <v>1</v>
      </c>
      <c r="AV79" s="29"/>
      <c r="AW79" s="137">
        <f>AT79+AV79</f>
        <v>0</v>
      </c>
      <c r="AX79" s="135">
        <f t="shared" si="222"/>
        <v>1</v>
      </c>
      <c r="AY79" s="29"/>
      <c r="AZ79" s="137">
        <f>AW79+AY79</f>
        <v>0</v>
      </c>
      <c r="BA79" s="135">
        <f t="shared" si="223"/>
        <v>1</v>
      </c>
      <c r="BB79" s="29"/>
      <c r="BC79" s="137">
        <f>AZ79+BB79</f>
        <v>0</v>
      </c>
      <c r="BD79" s="135">
        <f t="shared" si="224"/>
        <v>1</v>
      </c>
      <c r="BE79" s="29"/>
      <c r="BF79" s="137">
        <f>BC79+BE79</f>
        <v>0</v>
      </c>
      <c r="BG79" s="135">
        <f t="shared" si="225"/>
        <v>1</v>
      </c>
      <c r="BH79" s="137"/>
      <c r="BI79" s="29"/>
      <c r="BJ79" s="29"/>
      <c r="BK79" s="135">
        <f>IF($AA$79=0,1,BJ79/$AA$79-1)</f>
        <v>1</v>
      </c>
      <c r="BL79" s="135">
        <f t="shared" si="227"/>
        <v>1</v>
      </c>
      <c r="BM79" s="167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</row>
    <row r="80" spans="1:206" s="66" customFormat="1" ht="18" customHeight="1">
      <c r="A80" s="429" t="s">
        <v>145</v>
      </c>
      <c r="B80" s="429"/>
      <c r="C80" s="29"/>
      <c r="D80" s="134">
        <f>E80+F80+H80+J80+L80+N80+P80+R80+T80+V80+X80+Z80</f>
        <v>0</v>
      </c>
      <c r="E80" s="29"/>
      <c r="F80" s="29"/>
      <c r="G80" s="137">
        <f>E80+F80</f>
        <v>0</v>
      </c>
      <c r="H80" s="29"/>
      <c r="I80" s="137">
        <f>G80+H80</f>
        <v>0</v>
      </c>
      <c r="J80" s="29"/>
      <c r="K80" s="137">
        <f>I80+J80</f>
        <v>0</v>
      </c>
      <c r="L80" s="29"/>
      <c r="M80" s="137">
        <f>K80+L80</f>
        <v>0</v>
      </c>
      <c r="N80" s="29"/>
      <c r="O80" s="137">
        <f>M80+N80</f>
        <v>0</v>
      </c>
      <c r="P80" s="29"/>
      <c r="Q80" s="137">
        <f>O80+P80</f>
        <v>0</v>
      </c>
      <c r="R80" s="29"/>
      <c r="S80" s="137">
        <f>Q80+R80</f>
        <v>0</v>
      </c>
      <c r="T80" s="29"/>
      <c r="U80" s="137">
        <f>S80+T80</f>
        <v>0</v>
      </c>
      <c r="V80" s="29"/>
      <c r="W80" s="137">
        <f>U80+V80</f>
        <v>0</v>
      </c>
      <c r="X80" s="29"/>
      <c r="Y80" s="137">
        <f>W80+X80</f>
        <v>0</v>
      </c>
      <c r="Z80" s="29"/>
      <c r="AA80" s="29"/>
      <c r="AB80" s="135">
        <f t="shared" si="213"/>
        <v>1</v>
      </c>
      <c r="AC80" s="29"/>
      <c r="AD80" s="29"/>
      <c r="AE80" s="137">
        <f>AC80+AD80</f>
        <v>0</v>
      </c>
      <c r="AF80" s="135">
        <f t="shared" si="215"/>
        <v>1</v>
      </c>
      <c r="AG80" s="29"/>
      <c r="AH80" s="137">
        <f>AE80+AG80</f>
        <v>0</v>
      </c>
      <c r="AI80" s="135">
        <f t="shared" si="217"/>
        <v>1</v>
      </c>
      <c r="AJ80" s="29"/>
      <c r="AK80" s="137">
        <f>AH80+AJ80</f>
        <v>0</v>
      </c>
      <c r="AL80" s="135">
        <f t="shared" si="218"/>
        <v>1</v>
      </c>
      <c r="AM80" s="29"/>
      <c r="AN80" s="137">
        <f>AK80+AM80</f>
        <v>0</v>
      </c>
      <c r="AO80" s="135">
        <f t="shared" si="219"/>
        <v>1</v>
      </c>
      <c r="AP80" s="29"/>
      <c r="AQ80" s="137">
        <f>AN80+AP80</f>
        <v>0</v>
      </c>
      <c r="AR80" s="135">
        <f t="shared" si="220"/>
        <v>1</v>
      </c>
      <c r="AS80" s="29"/>
      <c r="AT80" s="137">
        <f>AQ80+AS80</f>
        <v>0</v>
      </c>
      <c r="AU80" s="135">
        <f t="shared" si="221"/>
        <v>1</v>
      </c>
      <c r="AV80" s="29"/>
      <c r="AW80" s="137">
        <f>AT80+AV80</f>
        <v>0</v>
      </c>
      <c r="AX80" s="135">
        <f t="shared" si="222"/>
        <v>1</v>
      </c>
      <c r="AY80" s="29"/>
      <c r="AZ80" s="137">
        <f>AW80+AY80</f>
        <v>0</v>
      </c>
      <c r="BA80" s="135">
        <f t="shared" si="223"/>
        <v>1</v>
      </c>
      <c r="BB80" s="29"/>
      <c r="BC80" s="137">
        <f>AZ80+BB80</f>
        <v>0</v>
      </c>
      <c r="BD80" s="135">
        <f t="shared" si="224"/>
        <v>1</v>
      </c>
      <c r="BE80" s="29"/>
      <c r="BF80" s="137">
        <f>BC80+BE80</f>
        <v>0</v>
      </c>
      <c r="BG80" s="135">
        <f t="shared" si="225"/>
        <v>1</v>
      </c>
      <c r="BH80" s="137"/>
      <c r="BI80" s="29"/>
      <c r="BJ80" s="29"/>
      <c r="BK80" s="135">
        <f>IF($AA$80=0,1,BJ80/$AA$80-1)</f>
        <v>1</v>
      </c>
      <c r="BL80" s="135">
        <f t="shared" si="227"/>
        <v>1</v>
      </c>
      <c r="BM80" s="167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</row>
    <row r="81" spans="1:206" s="79" customFormat="1" ht="18" customHeight="1">
      <c r="A81" s="430" t="s">
        <v>57</v>
      </c>
      <c r="B81" s="430"/>
      <c r="C81" s="148">
        <f>C82-C83</f>
        <v>0</v>
      </c>
      <c r="D81" s="148">
        <f t="shared" ref="D81:AA81" si="228">D82-D83</f>
        <v>0</v>
      </c>
      <c r="E81" s="148">
        <f t="shared" si="228"/>
        <v>0</v>
      </c>
      <c r="F81" s="148">
        <f t="shared" si="228"/>
        <v>0</v>
      </c>
      <c r="G81" s="148">
        <f t="shared" si="228"/>
        <v>0</v>
      </c>
      <c r="H81" s="148">
        <f t="shared" si="228"/>
        <v>0</v>
      </c>
      <c r="I81" s="148">
        <f t="shared" si="228"/>
        <v>0</v>
      </c>
      <c r="J81" s="148">
        <f t="shared" si="228"/>
        <v>0</v>
      </c>
      <c r="K81" s="148">
        <f t="shared" si="228"/>
        <v>0</v>
      </c>
      <c r="L81" s="148">
        <f t="shared" si="228"/>
        <v>0</v>
      </c>
      <c r="M81" s="148">
        <f t="shared" si="228"/>
        <v>0</v>
      </c>
      <c r="N81" s="148">
        <f t="shared" si="228"/>
        <v>0</v>
      </c>
      <c r="O81" s="148">
        <f t="shared" si="228"/>
        <v>0</v>
      </c>
      <c r="P81" s="148">
        <f t="shared" si="228"/>
        <v>0</v>
      </c>
      <c r="Q81" s="148">
        <f t="shared" si="228"/>
        <v>0</v>
      </c>
      <c r="R81" s="148">
        <f t="shared" si="228"/>
        <v>0</v>
      </c>
      <c r="S81" s="148">
        <f t="shared" si="228"/>
        <v>0</v>
      </c>
      <c r="T81" s="148">
        <f t="shared" si="228"/>
        <v>0</v>
      </c>
      <c r="U81" s="148">
        <f t="shared" si="228"/>
        <v>0</v>
      </c>
      <c r="V81" s="148">
        <f t="shared" si="228"/>
        <v>0</v>
      </c>
      <c r="W81" s="148">
        <f t="shared" si="228"/>
        <v>0</v>
      </c>
      <c r="X81" s="148">
        <f t="shared" si="228"/>
        <v>0</v>
      </c>
      <c r="Y81" s="148">
        <f t="shared" si="228"/>
        <v>0</v>
      </c>
      <c r="Z81" s="148">
        <f t="shared" si="228"/>
        <v>0</v>
      </c>
      <c r="AA81" s="148">
        <f t="shared" si="228"/>
        <v>0</v>
      </c>
      <c r="AB81" s="133">
        <f t="shared" si="213"/>
        <v>1</v>
      </c>
      <c r="AC81" s="148">
        <f t="shared" ref="AC81:BH81" si="229">AC82-AC83</f>
        <v>0</v>
      </c>
      <c r="AD81" s="148">
        <f t="shared" si="229"/>
        <v>0</v>
      </c>
      <c r="AE81" s="148">
        <f t="shared" si="229"/>
        <v>0</v>
      </c>
      <c r="AF81" s="133">
        <f t="shared" si="215"/>
        <v>1</v>
      </c>
      <c r="AG81" s="148">
        <f t="shared" ref="AG81" si="230">AG82-AG83</f>
        <v>0</v>
      </c>
      <c r="AH81" s="148">
        <f t="shared" si="229"/>
        <v>0</v>
      </c>
      <c r="AI81" s="133">
        <f t="shared" si="217"/>
        <v>1</v>
      </c>
      <c r="AJ81" s="148">
        <f t="shared" si="229"/>
        <v>0</v>
      </c>
      <c r="AK81" s="148">
        <f t="shared" si="229"/>
        <v>0</v>
      </c>
      <c r="AL81" s="133">
        <f t="shared" si="218"/>
        <v>1</v>
      </c>
      <c r="AM81" s="148">
        <f t="shared" si="229"/>
        <v>0</v>
      </c>
      <c r="AN81" s="148">
        <f t="shared" si="229"/>
        <v>0</v>
      </c>
      <c r="AO81" s="133">
        <f t="shared" si="219"/>
        <v>1</v>
      </c>
      <c r="AP81" s="148">
        <f t="shared" si="229"/>
        <v>0</v>
      </c>
      <c r="AQ81" s="148">
        <f t="shared" si="229"/>
        <v>0</v>
      </c>
      <c r="AR81" s="133">
        <f t="shared" si="220"/>
        <v>1</v>
      </c>
      <c r="AS81" s="148">
        <f t="shared" si="229"/>
        <v>0</v>
      </c>
      <c r="AT81" s="148">
        <f t="shared" si="229"/>
        <v>0</v>
      </c>
      <c r="AU81" s="133">
        <f t="shared" si="221"/>
        <v>1</v>
      </c>
      <c r="AV81" s="148">
        <f t="shared" si="229"/>
        <v>0</v>
      </c>
      <c r="AW81" s="148">
        <f t="shared" si="229"/>
        <v>0</v>
      </c>
      <c r="AX81" s="133">
        <f t="shared" si="222"/>
        <v>1</v>
      </c>
      <c r="AY81" s="148">
        <f t="shared" si="229"/>
        <v>0</v>
      </c>
      <c r="AZ81" s="148">
        <f t="shared" si="229"/>
        <v>0</v>
      </c>
      <c r="BA81" s="133">
        <f t="shared" si="223"/>
        <v>1</v>
      </c>
      <c r="BB81" s="148">
        <f t="shared" si="229"/>
        <v>0</v>
      </c>
      <c r="BC81" s="148">
        <f t="shared" si="229"/>
        <v>0</v>
      </c>
      <c r="BD81" s="133">
        <f t="shared" si="224"/>
        <v>1</v>
      </c>
      <c r="BE81" s="148">
        <f t="shared" si="229"/>
        <v>0</v>
      </c>
      <c r="BF81" s="148">
        <f t="shared" si="229"/>
        <v>0</v>
      </c>
      <c r="BG81" s="133">
        <f t="shared" si="225"/>
        <v>1</v>
      </c>
      <c r="BH81" s="148">
        <f t="shared" si="229"/>
        <v>0</v>
      </c>
      <c r="BI81" s="148">
        <f t="shared" ref="BI81:BJ81" si="231">BI82-BI83</f>
        <v>0</v>
      </c>
      <c r="BJ81" s="148">
        <f t="shared" si="231"/>
        <v>0</v>
      </c>
      <c r="BK81" s="133">
        <f>IF($AA$81=0,1,BJ81/$AA$81-1)</f>
        <v>1</v>
      </c>
      <c r="BL81" s="133">
        <f t="shared" si="227"/>
        <v>1</v>
      </c>
      <c r="BM81" s="169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</row>
    <row r="82" spans="1:206" s="64" customFormat="1" ht="18" customHeight="1">
      <c r="A82" s="429" t="s">
        <v>144</v>
      </c>
      <c r="B82" s="429"/>
      <c r="C82" s="29"/>
      <c r="D82" s="134">
        <f>E82+F82+H82+J82+L82+N82+P82+R82+T82+V82+X82+Z82</f>
        <v>0</v>
      </c>
      <c r="E82" s="29"/>
      <c r="F82" s="29"/>
      <c r="G82" s="137">
        <f>E82+F82</f>
        <v>0</v>
      </c>
      <c r="H82" s="29"/>
      <c r="I82" s="137">
        <f>G82+H82</f>
        <v>0</v>
      </c>
      <c r="J82" s="29"/>
      <c r="K82" s="137">
        <f>I82+J82</f>
        <v>0</v>
      </c>
      <c r="L82" s="29"/>
      <c r="M82" s="137">
        <f>K82+L82</f>
        <v>0</v>
      </c>
      <c r="N82" s="29"/>
      <c r="O82" s="137">
        <f>M82+N82</f>
        <v>0</v>
      </c>
      <c r="P82" s="29"/>
      <c r="Q82" s="137">
        <f>O82+P82</f>
        <v>0</v>
      </c>
      <c r="R82" s="29"/>
      <c r="S82" s="137">
        <f>Q82+R82</f>
        <v>0</v>
      </c>
      <c r="T82" s="29"/>
      <c r="U82" s="137">
        <f>S82+T82</f>
        <v>0</v>
      </c>
      <c r="V82" s="29"/>
      <c r="W82" s="137">
        <f>U82+V82</f>
        <v>0</v>
      </c>
      <c r="X82" s="29"/>
      <c r="Y82" s="137">
        <f>W82+X82</f>
        <v>0</v>
      </c>
      <c r="Z82" s="29"/>
      <c r="AA82" s="29"/>
      <c r="AB82" s="135">
        <f t="shared" si="213"/>
        <v>1</v>
      </c>
      <c r="AC82" s="29"/>
      <c r="AD82" s="29"/>
      <c r="AE82" s="137">
        <f>AC82+AD82</f>
        <v>0</v>
      </c>
      <c r="AF82" s="135">
        <f t="shared" si="215"/>
        <v>1</v>
      </c>
      <c r="AG82" s="29"/>
      <c r="AH82" s="137">
        <f>AE82+AG82</f>
        <v>0</v>
      </c>
      <c r="AI82" s="135">
        <f t="shared" si="217"/>
        <v>1</v>
      </c>
      <c r="AJ82" s="29"/>
      <c r="AK82" s="137">
        <f>AH82+AJ82</f>
        <v>0</v>
      </c>
      <c r="AL82" s="135">
        <f t="shared" si="218"/>
        <v>1</v>
      </c>
      <c r="AM82" s="29"/>
      <c r="AN82" s="137">
        <f>AK82+AM82</f>
        <v>0</v>
      </c>
      <c r="AO82" s="135">
        <f t="shared" si="219"/>
        <v>1</v>
      </c>
      <c r="AP82" s="29"/>
      <c r="AQ82" s="137">
        <f>AN82+AP82</f>
        <v>0</v>
      </c>
      <c r="AR82" s="135">
        <f t="shared" si="220"/>
        <v>1</v>
      </c>
      <c r="AS82" s="29"/>
      <c r="AT82" s="137">
        <f>AQ82+AS82</f>
        <v>0</v>
      </c>
      <c r="AU82" s="135">
        <f t="shared" si="221"/>
        <v>1</v>
      </c>
      <c r="AV82" s="29"/>
      <c r="AW82" s="137">
        <f>AT82+AV82</f>
        <v>0</v>
      </c>
      <c r="AX82" s="135">
        <f t="shared" si="222"/>
        <v>1</v>
      </c>
      <c r="AY82" s="29"/>
      <c r="AZ82" s="137">
        <f>AW82+AY82</f>
        <v>0</v>
      </c>
      <c r="BA82" s="135">
        <f t="shared" si="223"/>
        <v>1</v>
      </c>
      <c r="BB82" s="29"/>
      <c r="BC82" s="137">
        <f>AZ82+BB82</f>
        <v>0</v>
      </c>
      <c r="BD82" s="135">
        <f t="shared" si="224"/>
        <v>1</v>
      </c>
      <c r="BE82" s="29"/>
      <c r="BF82" s="137">
        <f>BC82+BE82</f>
        <v>0</v>
      </c>
      <c r="BG82" s="135">
        <f t="shared" si="225"/>
        <v>1</v>
      </c>
      <c r="BH82" s="137"/>
      <c r="BI82" s="29"/>
      <c r="BJ82" s="29"/>
      <c r="BK82" s="135">
        <f>IF($AA$82=0,1,BJ82/$AA$82-1)</f>
        <v>1</v>
      </c>
      <c r="BL82" s="135">
        <f t="shared" si="227"/>
        <v>1</v>
      </c>
      <c r="BM82" s="167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</row>
    <row r="83" spans="1:206" s="64" customFormat="1" ht="18" customHeight="1">
      <c r="A83" s="429" t="s">
        <v>146</v>
      </c>
      <c r="B83" s="429"/>
      <c r="C83" s="29"/>
      <c r="D83" s="134">
        <f>E83+F83+H83+J83+L83+N83+P83+R83+T83+V83+X83+Z83</f>
        <v>0</v>
      </c>
      <c r="E83" s="29"/>
      <c r="F83" s="29"/>
      <c r="G83" s="137">
        <f>E83+F83</f>
        <v>0</v>
      </c>
      <c r="H83" s="29"/>
      <c r="I83" s="137">
        <f>G83+H83</f>
        <v>0</v>
      </c>
      <c r="J83" s="29"/>
      <c r="K83" s="137">
        <f>I83+J83</f>
        <v>0</v>
      </c>
      <c r="L83" s="29"/>
      <c r="M83" s="137">
        <f>K83+L83</f>
        <v>0</v>
      </c>
      <c r="N83" s="29"/>
      <c r="O83" s="137">
        <f>M83+N83</f>
        <v>0</v>
      </c>
      <c r="P83" s="29"/>
      <c r="Q83" s="137">
        <f>O83+P83</f>
        <v>0</v>
      </c>
      <c r="R83" s="29"/>
      <c r="S83" s="137">
        <f>Q83+R83</f>
        <v>0</v>
      </c>
      <c r="T83" s="29"/>
      <c r="U83" s="137">
        <f>S83+T83</f>
        <v>0</v>
      </c>
      <c r="V83" s="29"/>
      <c r="W83" s="137">
        <f>U83+V83</f>
        <v>0</v>
      </c>
      <c r="X83" s="29"/>
      <c r="Y83" s="137">
        <f>W83+X83</f>
        <v>0</v>
      </c>
      <c r="Z83" s="29"/>
      <c r="AA83" s="29"/>
      <c r="AB83" s="135">
        <f t="shared" si="213"/>
        <v>1</v>
      </c>
      <c r="AC83" s="29"/>
      <c r="AD83" s="29"/>
      <c r="AE83" s="137">
        <f>AC83+AD83</f>
        <v>0</v>
      </c>
      <c r="AF83" s="135">
        <f t="shared" si="215"/>
        <v>1</v>
      </c>
      <c r="AG83" s="29"/>
      <c r="AH83" s="137">
        <f>AE83+AG83</f>
        <v>0</v>
      </c>
      <c r="AI83" s="135">
        <f t="shared" si="217"/>
        <v>1</v>
      </c>
      <c r="AJ83" s="29"/>
      <c r="AK83" s="137">
        <f>AH83+AJ83</f>
        <v>0</v>
      </c>
      <c r="AL83" s="135">
        <f t="shared" si="218"/>
        <v>1</v>
      </c>
      <c r="AM83" s="29"/>
      <c r="AN83" s="137">
        <f>AK83+AM83</f>
        <v>0</v>
      </c>
      <c r="AO83" s="135">
        <f t="shared" si="219"/>
        <v>1</v>
      </c>
      <c r="AP83" s="29"/>
      <c r="AQ83" s="137">
        <f>AN83+AP83</f>
        <v>0</v>
      </c>
      <c r="AR83" s="135">
        <f t="shared" si="220"/>
        <v>1</v>
      </c>
      <c r="AS83" s="29"/>
      <c r="AT83" s="137">
        <f>AQ83+AS83</f>
        <v>0</v>
      </c>
      <c r="AU83" s="135">
        <f t="shared" si="221"/>
        <v>1</v>
      </c>
      <c r="AV83" s="29"/>
      <c r="AW83" s="137">
        <f>AT83+AV83</f>
        <v>0</v>
      </c>
      <c r="AX83" s="135">
        <f t="shared" si="222"/>
        <v>1</v>
      </c>
      <c r="AY83" s="29"/>
      <c r="AZ83" s="137">
        <f>AW83+AY83</f>
        <v>0</v>
      </c>
      <c r="BA83" s="135">
        <f t="shared" si="223"/>
        <v>1</v>
      </c>
      <c r="BB83" s="29"/>
      <c r="BC83" s="137">
        <f>AZ83+BB83</f>
        <v>0</v>
      </c>
      <c r="BD83" s="135">
        <f t="shared" si="224"/>
        <v>1</v>
      </c>
      <c r="BE83" s="29"/>
      <c r="BF83" s="137">
        <f>BC83+BE83</f>
        <v>0</v>
      </c>
      <c r="BG83" s="135">
        <f t="shared" si="225"/>
        <v>1</v>
      </c>
      <c r="BH83" s="137"/>
      <c r="BI83" s="29"/>
      <c r="BJ83" s="29"/>
      <c r="BK83" s="135">
        <f>IF($AA$83=0,1,BJ83/$AA$83-1)</f>
        <v>1</v>
      </c>
      <c r="BL83" s="135">
        <f t="shared" si="227"/>
        <v>1</v>
      </c>
      <c r="BM83" s="167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</row>
    <row r="84" spans="1:206" s="75" customFormat="1" ht="18" customHeight="1">
      <c r="A84" s="430" t="s">
        <v>58</v>
      </c>
      <c r="B84" s="430"/>
      <c r="C84" s="148">
        <f t="shared" ref="C84:AA84" si="232">C85-C86</f>
        <v>0</v>
      </c>
      <c r="D84" s="148">
        <f t="shared" si="232"/>
        <v>0</v>
      </c>
      <c r="E84" s="148">
        <f t="shared" si="232"/>
        <v>0</v>
      </c>
      <c r="F84" s="148">
        <f t="shared" si="232"/>
        <v>0</v>
      </c>
      <c r="G84" s="148">
        <f t="shared" si="232"/>
        <v>0</v>
      </c>
      <c r="H84" s="148">
        <f t="shared" si="232"/>
        <v>0</v>
      </c>
      <c r="I84" s="148">
        <f t="shared" si="232"/>
        <v>0</v>
      </c>
      <c r="J84" s="148">
        <f t="shared" si="232"/>
        <v>0</v>
      </c>
      <c r="K84" s="148">
        <f t="shared" si="232"/>
        <v>0</v>
      </c>
      <c r="L84" s="148">
        <f t="shared" si="232"/>
        <v>0</v>
      </c>
      <c r="M84" s="148">
        <f t="shared" si="232"/>
        <v>0</v>
      </c>
      <c r="N84" s="148">
        <f t="shared" si="232"/>
        <v>0</v>
      </c>
      <c r="O84" s="148">
        <f t="shared" si="232"/>
        <v>0</v>
      </c>
      <c r="P84" s="148">
        <f t="shared" si="232"/>
        <v>0</v>
      </c>
      <c r="Q84" s="148">
        <f t="shared" si="232"/>
        <v>0</v>
      </c>
      <c r="R84" s="148">
        <f t="shared" si="232"/>
        <v>0</v>
      </c>
      <c r="S84" s="148">
        <f t="shared" si="232"/>
        <v>0</v>
      </c>
      <c r="T84" s="148">
        <f t="shared" si="232"/>
        <v>0</v>
      </c>
      <c r="U84" s="148">
        <f t="shared" si="232"/>
        <v>0</v>
      </c>
      <c r="V84" s="148">
        <f t="shared" si="232"/>
        <v>0</v>
      </c>
      <c r="W84" s="148">
        <f t="shared" si="232"/>
        <v>0</v>
      </c>
      <c r="X84" s="148">
        <f t="shared" si="232"/>
        <v>0</v>
      </c>
      <c r="Y84" s="148">
        <f t="shared" si="232"/>
        <v>0</v>
      </c>
      <c r="Z84" s="148">
        <f t="shared" si="232"/>
        <v>0</v>
      </c>
      <c r="AA84" s="148">
        <f t="shared" si="232"/>
        <v>0</v>
      </c>
      <c r="AB84" s="133">
        <f t="shared" si="213"/>
        <v>1</v>
      </c>
      <c r="AC84" s="148">
        <f t="shared" ref="AC84:BH84" si="233">AC85-AC86</f>
        <v>0</v>
      </c>
      <c r="AD84" s="148">
        <f t="shared" si="233"/>
        <v>0</v>
      </c>
      <c r="AE84" s="148">
        <f t="shared" si="233"/>
        <v>0</v>
      </c>
      <c r="AF84" s="133">
        <f t="shared" si="215"/>
        <v>1</v>
      </c>
      <c r="AG84" s="148">
        <f t="shared" ref="AG84" si="234">AG85-AG86</f>
        <v>0</v>
      </c>
      <c r="AH84" s="148">
        <f t="shared" si="233"/>
        <v>0</v>
      </c>
      <c r="AI84" s="133">
        <f t="shared" si="217"/>
        <v>1</v>
      </c>
      <c r="AJ84" s="148">
        <f t="shared" si="233"/>
        <v>0</v>
      </c>
      <c r="AK84" s="148">
        <f t="shared" si="233"/>
        <v>0</v>
      </c>
      <c r="AL84" s="133">
        <f t="shared" si="218"/>
        <v>1</v>
      </c>
      <c r="AM84" s="148">
        <f t="shared" si="233"/>
        <v>0</v>
      </c>
      <c r="AN84" s="148">
        <f t="shared" si="233"/>
        <v>0</v>
      </c>
      <c r="AO84" s="133">
        <f t="shared" si="219"/>
        <v>1</v>
      </c>
      <c r="AP84" s="148">
        <f t="shared" si="233"/>
        <v>0</v>
      </c>
      <c r="AQ84" s="148">
        <f t="shared" si="233"/>
        <v>0</v>
      </c>
      <c r="AR84" s="133">
        <f t="shared" si="220"/>
        <v>1</v>
      </c>
      <c r="AS84" s="148">
        <f t="shared" si="233"/>
        <v>0</v>
      </c>
      <c r="AT84" s="148">
        <f t="shared" si="233"/>
        <v>0</v>
      </c>
      <c r="AU84" s="133">
        <f t="shared" si="221"/>
        <v>1</v>
      </c>
      <c r="AV84" s="148">
        <f t="shared" si="233"/>
        <v>0</v>
      </c>
      <c r="AW84" s="148">
        <f t="shared" si="233"/>
        <v>0</v>
      </c>
      <c r="AX84" s="133">
        <f t="shared" si="222"/>
        <v>1</v>
      </c>
      <c r="AY84" s="148">
        <f t="shared" si="233"/>
        <v>0</v>
      </c>
      <c r="AZ84" s="148">
        <f t="shared" si="233"/>
        <v>0</v>
      </c>
      <c r="BA84" s="133">
        <f t="shared" si="223"/>
        <v>1</v>
      </c>
      <c r="BB84" s="148">
        <f t="shared" si="233"/>
        <v>0</v>
      </c>
      <c r="BC84" s="148">
        <f t="shared" si="233"/>
        <v>0</v>
      </c>
      <c r="BD84" s="133">
        <f t="shared" si="224"/>
        <v>1</v>
      </c>
      <c r="BE84" s="148">
        <f t="shared" si="233"/>
        <v>0</v>
      </c>
      <c r="BF84" s="148">
        <f t="shared" si="233"/>
        <v>0</v>
      </c>
      <c r="BG84" s="133">
        <f t="shared" si="225"/>
        <v>1</v>
      </c>
      <c r="BH84" s="148">
        <f t="shared" si="233"/>
        <v>0</v>
      </c>
      <c r="BI84" s="148">
        <f t="shared" ref="BI84:BJ84" si="235">BI85-BI86</f>
        <v>0</v>
      </c>
      <c r="BJ84" s="148">
        <f t="shared" si="235"/>
        <v>0</v>
      </c>
      <c r="BK84" s="133">
        <f>IF($AA$84=0,1,BJ84/$AA$84-1)</f>
        <v>1</v>
      </c>
      <c r="BL84" s="133">
        <f t="shared" si="227"/>
        <v>1</v>
      </c>
      <c r="BM84" s="169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</row>
    <row r="85" spans="1:206" s="66" customFormat="1" ht="18" customHeight="1">
      <c r="A85" s="429" t="s">
        <v>147</v>
      </c>
      <c r="B85" s="429"/>
      <c r="C85" s="29"/>
      <c r="D85" s="134">
        <f>E85+F85+H85+J85+L85+N85+P85+R85+T85+V85+X85+Z85</f>
        <v>0</v>
      </c>
      <c r="E85" s="29"/>
      <c r="F85" s="29"/>
      <c r="G85" s="137">
        <f>E85+F85</f>
        <v>0</v>
      </c>
      <c r="H85" s="29"/>
      <c r="I85" s="137">
        <f>G85+H85</f>
        <v>0</v>
      </c>
      <c r="J85" s="29"/>
      <c r="K85" s="137">
        <f>I85+J85</f>
        <v>0</v>
      </c>
      <c r="L85" s="29"/>
      <c r="M85" s="137">
        <f>K85+L85</f>
        <v>0</v>
      </c>
      <c r="N85" s="29"/>
      <c r="O85" s="137">
        <f>M85+N85</f>
        <v>0</v>
      </c>
      <c r="P85" s="29"/>
      <c r="Q85" s="137">
        <f>O85+P85</f>
        <v>0</v>
      </c>
      <c r="R85" s="29"/>
      <c r="S85" s="137">
        <f>Q85+R85</f>
        <v>0</v>
      </c>
      <c r="T85" s="29"/>
      <c r="U85" s="137">
        <f>S85+T85</f>
        <v>0</v>
      </c>
      <c r="V85" s="29"/>
      <c r="W85" s="137">
        <f>U85+V85</f>
        <v>0</v>
      </c>
      <c r="X85" s="29"/>
      <c r="Y85" s="137">
        <f>W85+X85</f>
        <v>0</v>
      </c>
      <c r="Z85" s="29"/>
      <c r="AA85" s="29"/>
      <c r="AB85" s="135">
        <f t="shared" si="213"/>
        <v>1</v>
      </c>
      <c r="AC85" s="29"/>
      <c r="AD85" s="29"/>
      <c r="AE85" s="137">
        <f>AC85+AD85</f>
        <v>0</v>
      </c>
      <c r="AF85" s="135">
        <f t="shared" si="215"/>
        <v>1</v>
      </c>
      <c r="AG85" s="29"/>
      <c r="AH85" s="137">
        <f>AE85+AG85</f>
        <v>0</v>
      </c>
      <c r="AI85" s="135">
        <f t="shared" si="217"/>
        <v>1</v>
      </c>
      <c r="AJ85" s="29"/>
      <c r="AK85" s="137">
        <f>AH85+AJ85</f>
        <v>0</v>
      </c>
      <c r="AL85" s="135">
        <f t="shared" si="218"/>
        <v>1</v>
      </c>
      <c r="AM85" s="29"/>
      <c r="AN85" s="137">
        <f>AK85+AM85</f>
        <v>0</v>
      </c>
      <c r="AO85" s="135">
        <f t="shared" si="219"/>
        <v>1</v>
      </c>
      <c r="AP85" s="29"/>
      <c r="AQ85" s="137">
        <f>AN85+AP85</f>
        <v>0</v>
      </c>
      <c r="AR85" s="135">
        <f t="shared" si="220"/>
        <v>1</v>
      </c>
      <c r="AS85" s="29"/>
      <c r="AT85" s="137">
        <f>AQ85+AS85</f>
        <v>0</v>
      </c>
      <c r="AU85" s="135">
        <f t="shared" si="221"/>
        <v>1</v>
      </c>
      <c r="AV85" s="29"/>
      <c r="AW85" s="137">
        <f>AT85+AV85</f>
        <v>0</v>
      </c>
      <c r="AX85" s="135">
        <f t="shared" si="222"/>
        <v>1</v>
      </c>
      <c r="AY85" s="29"/>
      <c r="AZ85" s="137">
        <f>AW85+AY85</f>
        <v>0</v>
      </c>
      <c r="BA85" s="135">
        <f t="shared" si="223"/>
        <v>1</v>
      </c>
      <c r="BB85" s="29"/>
      <c r="BC85" s="137">
        <f>AZ85+BB85</f>
        <v>0</v>
      </c>
      <c r="BD85" s="135">
        <f t="shared" si="224"/>
        <v>1</v>
      </c>
      <c r="BE85" s="29"/>
      <c r="BF85" s="137">
        <f>BC85+BE85</f>
        <v>0</v>
      </c>
      <c r="BG85" s="135">
        <f t="shared" si="225"/>
        <v>1</v>
      </c>
      <c r="BH85" s="137"/>
      <c r="BI85" s="29"/>
      <c r="BJ85" s="29"/>
      <c r="BK85" s="135">
        <f>IF($AA$85=0,1,BJ85/$AA$85-1)</f>
        <v>1</v>
      </c>
      <c r="BL85" s="135">
        <f t="shared" si="227"/>
        <v>1</v>
      </c>
      <c r="BM85" s="167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</row>
    <row r="86" spans="1:206" s="66" customFormat="1" ht="18" customHeight="1">
      <c r="A86" s="429" t="s">
        <v>148</v>
      </c>
      <c r="B86" s="429"/>
      <c r="C86" s="29"/>
      <c r="D86" s="134">
        <f>E86+F86+H86+J86+L86+N86+P86+R86+T86+V86+X86+Z86</f>
        <v>0</v>
      </c>
      <c r="E86" s="29"/>
      <c r="F86" s="29"/>
      <c r="G86" s="137">
        <f>E86+F86</f>
        <v>0</v>
      </c>
      <c r="H86" s="29"/>
      <c r="I86" s="137">
        <f>G86+H86</f>
        <v>0</v>
      </c>
      <c r="J86" s="29"/>
      <c r="K86" s="137">
        <f>I86+J86</f>
        <v>0</v>
      </c>
      <c r="L86" s="29"/>
      <c r="M86" s="137">
        <f>K86+L86</f>
        <v>0</v>
      </c>
      <c r="N86" s="29"/>
      <c r="O86" s="137">
        <f>M86+N86</f>
        <v>0</v>
      </c>
      <c r="P86" s="29"/>
      <c r="Q86" s="137">
        <f>O86+P86</f>
        <v>0</v>
      </c>
      <c r="R86" s="29"/>
      <c r="S86" s="137">
        <f>Q86+R86</f>
        <v>0</v>
      </c>
      <c r="T86" s="29"/>
      <c r="U86" s="137">
        <f>S86+T86</f>
        <v>0</v>
      </c>
      <c r="V86" s="29"/>
      <c r="W86" s="137">
        <f>U86+V86</f>
        <v>0</v>
      </c>
      <c r="X86" s="29"/>
      <c r="Y86" s="137">
        <f>W86+X86</f>
        <v>0</v>
      </c>
      <c r="Z86" s="29"/>
      <c r="AA86" s="29"/>
      <c r="AB86" s="135">
        <f t="shared" si="213"/>
        <v>1</v>
      </c>
      <c r="AC86" s="29"/>
      <c r="AD86" s="29"/>
      <c r="AE86" s="137">
        <f>AC86+AD86</f>
        <v>0</v>
      </c>
      <c r="AF86" s="135">
        <f t="shared" si="215"/>
        <v>1</v>
      </c>
      <c r="AG86" s="29"/>
      <c r="AH86" s="137">
        <f>AE86+AG86</f>
        <v>0</v>
      </c>
      <c r="AI86" s="135">
        <f t="shared" si="217"/>
        <v>1</v>
      </c>
      <c r="AJ86" s="29"/>
      <c r="AK86" s="137">
        <f>AH86+AJ86</f>
        <v>0</v>
      </c>
      <c r="AL86" s="135">
        <f t="shared" si="218"/>
        <v>1</v>
      </c>
      <c r="AM86" s="29"/>
      <c r="AN86" s="137">
        <f>AK86+AM86</f>
        <v>0</v>
      </c>
      <c r="AO86" s="135">
        <f t="shared" si="219"/>
        <v>1</v>
      </c>
      <c r="AP86" s="29"/>
      <c r="AQ86" s="137">
        <f>AN86+AP86</f>
        <v>0</v>
      </c>
      <c r="AR86" s="135">
        <f t="shared" si="220"/>
        <v>1</v>
      </c>
      <c r="AS86" s="29"/>
      <c r="AT86" s="137">
        <f>AQ86+AS86</f>
        <v>0</v>
      </c>
      <c r="AU86" s="135">
        <f t="shared" si="221"/>
        <v>1</v>
      </c>
      <c r="AV86" s="29"/>
      <c r="AW86" s="137">
        <f>AT86+AV86</f>
        <v>0</v>
      </c>
      <c r="AX86" s="135">
        <f t="shared" si="222"/>
        <v>1</v>
      </c>
      <c r="AY86" s="29"/>
      <c r="AZ86" s="137">
        <f>AW86+AY86</f>
        <v>0</v>
      </c>
      <c r="BA86" s="135">
        <f t="shared" si="223"/>
        <v>1</v>
      </c>
      <c r="BB86" s="29"/>
      <c r="BC86" s="137">
        <f>AZ86+BB86</f>
        <v>0</v>
      </c>
      <c r="BD86" s="135">
        <f t="shared" si="224"/>
        <v>1</v>
      </c>
      <c r="BE86" s="29"/>
      <c r="BF86" s="137">
        <f>BC86+BE86</f>
        <v>0</v>
      </c>
      <c r="BG86" s="135">
        <f t="shared" si="225"/>
        <v>1</v>
      </c>
      <c r="BH86" s="137"/>
      <c r="BI86" s="29"/>
      <c r="BJ86" s="29"/>
      <c r="BK86" s="135">
        <f>IF($AA$86=0,1,BJ86/$AA$86-1)</f>
        <v>1</v>
      </c>
      <c r="BL86" s="135">
        <f t="shared" si="227"/>
        <v>1</v>
      </c>
      <c r="BM86" s="167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</row>
    <row r="87" spans="1:206" s="66" customFormat="1" ht="18" customHeight="1">
      <c r="A87" s="430" t="s">
        <v>61</v>
      </c>
      <c r="B87" s="430"/>
      <c r="C87" s="101">
        <f t="shared" ref="C87:R87" si="236">(C86+C83+C80+C37)-(C9+C79+C82+C85)</f>
        <v>0</v>
      </c>
      <c r="D87" s="148">
        <f t="shared" si="236"/>
        <v>0</v>
      </c>
      <c r="E87" s="101">
        <f t="shared" si="236"/>
        <v>0</v>
      </c>
      <c r="F87" s="101">
        <f t="shared" si="236"/>
        <v>0</v>
      </c>
      <c r="G87" s="148">
        <f t="shared" si="236"/>
        <v>0</v>
      </c>
      <c r="H87" s="101">
        <f t="shared" si="236"/>
        <v>0</v>
      </c>
      <c r="I87" s="148">
        <f t="shared" si="236"/>
        <v>0</v>
      </c>
      <c r="J87" s="101">
        <f t="shared" si="236"/>
        <v>0</v>
      </c>
      <c r="K87" s="148">
        <f t="shared" si="236"/>
        <v>0</v>
      </c>
      <c r="L87" s="101">
        <f t="shared" si="236"/>
        <v>0</v>
      </c>
      <c r="M87" s="148">
        <f t="shared" si="236"/>
        <v>0</v>
      </c>
      <c r="N87" s="101">
        <f t="shared" si="236"/>
        <v>0</v>
      </c>
      <c r="O87" s="148">
        <f t="shared" si="236"/>
        <v>0</v>
      </c>
      <c r="P87" s="101">
        <f t="shared" si="236"/>
        <v>0</v>
      </c>
      <c r="Q87" s="148">
        <f t="shared" si="236"/>
        <v>0</v>
      </c>
      <c r="R87" s="101">
        <f t="shared" si="236"/>
        <v>0</v>
      </c>
      <c r="S87" s="148">
        <f t="shared" ref="S87:AA87" si="237">(S86+S83+S80+S37)-(S9+S79+S82+S85)</f>
        <v>0</v>
      </c>
      <c r="T87" s="101">
        <f t="shared" si="237"/>
        <v>0</v>
      </c>
      <c r="U87" s="148">
        <f t="shared" si="237"/>
        <v>0</v>
      </c>
      <c r="V87" s="101">
        <f t="shared" si="237"/>
        <v>0</v>
      </c>
      <c r="W87" s="148">
        <f t="shared" si="237"/>
        <v>0</v>
      </c>
      <c r="X87" s="101">
        <f t="shared" si="237"/>
        <v>0</v>
      </c>
      <c r="Y87" s="148">
        <f t="shared" si="237"/>
        <v>0</v>
      </c>
      <c r="Z87" s="101">
        <f t="shared" si="237"/>
        <v>0</v>
      </c>
      <c r="AA87" s="101">
        <f t="shared" si="237"/>
        <v>0</v>
      </c>
      <c r="AB87" s="133">
        <f t="shared" si="213"/>
        <v>1</v>
      </c>
      <c r="AC87" s="101">
        <f t="shared" ref="AC87:AE87" si="238">(AC86+AC83+AC80+AC37)-(AC9+AC79+AC82+AC85)</f>
        <v>0</v>
      </c>
      <c r="AD87" s="101">
        <f t="shared" si="238"/>
        <v>0</v>
      </c>
      <c r="AE87" s="148">
        <f t="shared" si="238"/>
        <v>0</v>
      </c>
      <c r="AF87" s="133">
        <f t="shared" si="215"/>
        <v>1</v>
      </c>
      <c r="AG87" s="101">
        <f>(AG86+AG83+AG80+AG37)-(AG9+AG79+AG82+AG85)</f>
        <v>0</v>
      </c>
      <c r="AH87" s="148">
        <f>(AH86+AH83+AH80+AH37)-(AH9+AH79+AH82+AH85)</f>
        <v>0</v>
      </c>
      <c r="AI87" s="133">
        <f t="shared" si="217"/>
        <v>1</v>
      </c>
      <c r="AJ87" s="101">
        <f>(AJ86+AJ83+AJ80+AJ37)-(AJ9+AJ79+AJ82+AJ85)</f>
        <v>0</v>
      </c>
      <c r="AK87" s="148">
        <f>(AK86+AK83+AK80+AK37)-(AK9+AK79+AK82+AK85)</f>
        <v>0</v>
      </c>
      <c r="AL87" s="133">
        <f t="shared" si="218"/>
        <v>1</v>
      </c>
      <c r="AM87" s="101">
        <f>(AM86+AM83+AM80+AM37)-(AM9+AM79+AM82+AM85)</f>
        <v>0</v>
      </c>
      <c r="AN87" s="148">
        <f>(AN86+AN83+AN80+AN37)-(AN9+AN79+AN82+AN85)</f>
        <v>0</v>
      </c>
      <c r="AO87" s="133">
        <f t="shared" si="219"/>
        <v>1</v>
      </c>
      <c r="AP87" s="101">
        <f>(AP86+AP83+AP80+AP37)-(AP9+AP79+AP82+AP85)</f>
        <v>0</v>
      </c>
      <c r="AQ87" s="148">
        <f>(AQ86+AQ83+AQ80+AQ37)-(AQ9+AQ79+AQ82+AQ85)</f>
        <v>0</v>
      </c>
      <c r="AR87" s="133">
        <f t="shared" si="220"/>
        <v>1</v>
      </c>
      <c r="AS87" s="101">
        <f>(AS86+AS83+AS80+AS37)-(AS9+AS79+AS82+AS85)</f>
        <v>0</v>
      </c>
      <c r="AT87" s="148">
        <f>(AT86+AT83+AT80+AT37)-(AT9+AT79+AT82+AT85)</f>
        <v>0</v>
      </c>
      <c r="AU87" s="133">
        <f t="shared" si="221"/>
        <v>1</v>
      </c>
      <c r="AV87" s="101">
        <f>(AV86+AV83+AV80+AV37)-(AV9+AV79+AV82+AV85)</f>
        <v>0</v>
      </c>
      <c r="AW87" s="148">
        <f>(AW86+AW83+AW80+AW37)-(AW9+AW79+AW82+AW85)</f>
        <v>0</v>
      </c>
      <c r="AX87" s="133">
        <f t="shared" si="222"/>
        <v>1</v>
      </c>
      <c r="AY87" s="101">
        <f>(AY86+AY83+AY80+AY37)-(AY9+AY79+AY82+AY85)</f>
        <v>0</v>
      </c>
      <c r="AZ87" s="148">
        <f>(AZ86+AZ83+AZ80+AZ37)-(AZ9+AZ79+AZ82+AZ85)</f>
        <v>0</v>
      </c>
      <c r="BA87" s="133">
        <f t="shared" si="223"/>
        <v>1</v>
      </c>
      <c r="BB87" s="101">
        <f>(BB86+BB83+BB80+BB37)-(BB9+BB79+BB82+BB85)</f>
        <v>0</v>
      </c>
      <c r="BC87" s="148">
        <f>(BC86+BC83+BC80+BC37)-(BC9+BC79+BC82+BC85)</f>
        <v>0</v>
      </c>
      <c r="BD87" s="133">
        <f t="shared" si="224"/>
        <v>1</v>
      </c>
      <c r="BE87" s="101">
        <f>(BE86+BE83+BE80+BE37)-(BE9+BE79+BE82+BE85)</f>
        <v>0</v>
      </c>
      <c r="BF87" s="148">
        <f>(BF86+BF83+BF80+BF37)-(BF9+BF79+BF82+BF85)</f>
        <v>0</v>
      </c>
      <c r="BG87" s="133">
        <f t="shared" si="225"/>
        <v>1</v>
      </c>
      <c r="BH87" s="148">
        <f t="shared" ref="BH87:BJ87" si="239">(BH86+BH83+BH80+BH37)-(BH9+BH79+BH82+BH85)</f>
        <v>0</v>
      </c>
      <c r="BI87" s="148">
        <f t="shared" si="239"/>
        <v>0</v>
      </c>
      <c r="BJ87" s="148">
        <f t="shared" si="239"/>
        <v>0</v>
      </c>
      <c r="BK87" s="133">
        <f>IF($AA$87=0,1,BJ87/$AA$87-1)</f>
        <v>1</v>
      </c>
      <c r="BL87" s="133">
        <f t="shared" si="227"/>
        <v>1</v>
      </c>
      <c r="BM87" s="169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</row>
    <row r="88" spans="1:206" s="72" customFormat="1" ht="51" customHeight="1">
      <c r="A88" s="431" t="s">
        <v>167</v>
      </c>
      <c r="B88" s="431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>
        <f t="shared" ref="AA88" si="240">AA74+AA77</f>
        <v>0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>
        <f t="shared" ref="BI88:BJ88" si="241">BI74+BI77</f>
        <v>0</v>
      </c>
      <c r="BJ88" s="130">
        <f t="shared" si="241"/>
        <v>0</v>
      </c>
      <c r="BK88" s="130" t="s">
        <v>51</v>
      </c>
      <c r="BL88" s="130" t="s">
        <v>51</v>
      </c>
      <c r="BM88" s="168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</row>
    <row r="89" spans="1:206" s="66" customFormat="1" ht="30" customHeight="1">
      <c r="A89" s="432" t="s">
        <v>63</v>
      </c>
      <c r="B89" s="432"/>
      <c r="C89" s="151"/>
      <c r="D89" s="151"/>
      <c r="E89" s="151"/>
      <c r="F89" s="151"/>
      <c r="G89" s="152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2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69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</row>
    <row r="90" spans="1:206" s="82" customFormat="1" ht="19.5" customHeight="1">
      <c r="A90" s="422" t="s">
        <v>136</v>
      </c>
      <c r="B90" s="422"/>
      <c r="C90" s="156"/>
      <c r="D90" s="156"/>
      <c r="E90" s="156"/>
      <c r="F90" s="156"/>
      <c r="G90" s="155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5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68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</row>
    <row r="91" spans="1:206" s="104" customFormat="1" ht="18" customHeight="1">
      <c r="A91" s="428" t="s">
        <v>64</v>
      </c>
      <c r="B91" s="428"/>
      <c r="C91" s="137">
        <f t="shared" ref="C91:F91" si="242">C92+C93+C94</f>
        <v>0</v>
      </c>
      <c r="D91" s="137">
        <f t="shared" si="242"/>
        <v>0</v>
      </c>
      <c r="E91" s="137">
        <f t="shared" si="242"/>
        <v>0</v>
      </c>
      <c r="F91" s="137">
        <f t="shared" si="242"/>
        <v>0</v>
      </c>
      <c r="G91" s="137">
        <f t="shared" ref="G91:Z91" si="243">G92+G93+G94</f>
        <v>0</v>
      </c>
      <c r="H91" s="137">
        <f t="shared" si="243"/>
        <v>0</v>
      </c>
      <c r="I91" s="137">
        <f t="shared" si="243"/>
        <v>0</v>
      </c>
      <c r="J91" s="137">
        <f t="shared" si="243"/>
        <v>0</v>
      </c>
      <c r="K91" s="137">
        <f t="shared" si="243"/>
        <v>0</v>
      </c>
      <c r="L91" s="137">
        <f t="shared" si="243"/>
        <v>0</v>
      </c>
      <c r="M91" s="137">
        <f t="shared" si="243"/>
        <v>0</v>
      </c>
      <c r="N91" s="137">
        <f t="shared" si="243"/>
        <v>0</v>
      </c>
      <c r="O91" s="137">
        <f t="shared" si="243"/>
        <v>0</v>
      </c>
      <c r="P91" s="137">
        <f t="shared" si="243"/>
        <v>0</v>
      </c>
      <c r="Q91" s="137">
        <f t="shared" si="243"/>
        <v>0</v>
      </c>
      <c r="R91" s="137">
        <f t="shared" si="243"/>
        <v>0</v>
      </c>
      <c r="S91" s="137">
        <f t="shared" si="243"/>
        <v>0</v>
      </c>
      <c r="T91" s="137">
        <f t="shared" si="243"/>
        <v>0</v>
      </c>
      <c r="U91" s="137">
        <f t="shared" si="243"/>
        <v>0</v>
      </c>
      <c r="V91" s="137">
        <f t="shared" si="243"/>
        <v>0</v>
      </c>
      <c r="W91" s="137">
        <f t="shared" si="243"/>
        <v>0</v>
      </c>
      <c r="X91" s="137">
        <f t="shared" si="243"/>
        <v>0</v>
      </c>
      <c r="Y91" s="137">
        <f t="shared" si="243"/>
        <v>0</v>
      </c>
      <c r="Z91" s="137">
        <f t="shared" si="243"/>
        <v>0</v>
      </c>
      <c r="AA91" s="137">
        <f>AA92+AA93+AA94</f>
        <v>0</v>
      </c>
      <c r="AB91" s="135">
        <f t="shared" ref="AB91:AB112" si="244">IF(D91=0,1,AA91/D91-1)</f>
        <v>1</v>
      </c>
      <c r="AC91" s="137">
        <f t="shared" ref="AC91:AE91" si="245">AC92+AC93+AC94</f>
        <v>0</v>
      </c>
      <c r="AD91" s="137">
        <f t="shared" si="245"/>
        <v>0</v>
      </c>
      <c r="AE91" s="137">
        <f t="shared" si="245"/>
        <v>0</v>
      </c>
      <c r="AF91" s="135">
        <f t="shared" ref="AF91:AF112" si="246">IF(G91=0,1,AE91/G91-1)</f>
        <v>1</v>
      </c>
      <c r="AG91" s="137">
        <f>AG92+AG93+AG94</f>
        <v>0</v>
      </c>
      <c r="AH91" s="137">
        <f>AH92+AH93+AH94</f>
        <v>0</v>
      </c>
      <c r="AI91" s="135">
        <f t="shared" ref="AI91:AI112" si="247">IF(I91=0,1,AH91/I91-1)</f>
        <v>1</v>
      </c>
      <c r="AJ91" s="137">
        <f>AJ92+AJ93+AJ94</f>
        <v>0</v>
      </c>
      <c r="AK91" s="137">
        <f>AK92+AK93+AK94</f>
        <v>0</v>
      </c>
      <c r="AL91" s="135">
        <f t="shared" ref="AL91:AL112" si="248">IF(K91=0,1,AK91/K91-1)</f>
        <v>1</v>
      </c>
      <c r="AM91" s="137">
        <f>AM92+AM93+AM94</f>
        <v>0</v>
      </c>
      <c r="AN91" s="137">
        <f>AN92+AN93+AN94</f>
        <v>0</v>
      </c>
      <c r="AO91" s="135">
        <f t="shared" ref="AO91:AO112" si="249">IF(M91=0,1,AN91/M91-1)</f>
        <v>1</v>
      </c>
      <c r="AP91" s="137">
        <f>AP92+AP93+AP94</f>
        <v>0</v>
      </c>
      <c r="AQ91" s="137">
        <f>AQ92+AQ93+AQ94</f>
        <v>0</v>
      </c>
      <c r="AR91" s="135">
        <f t="shared" ref="AR91:AR112" si="250">IF(O91=0,1,AQ91/O91-1)</f>
        <v>1</v>
      </c>
      <c r="AS91" s="137">
        <f>AS92+AS93+AS94</f>
        <v>0</v>
      </c>
      <c r="AT91" s="137">
        <f>AT92+AT93+AT94</f>
        <v>0</v>
      </c>
      <c r="AU91" s="135">
        <f t="shared" ref="AU91:AU112" si="251">IF(Q91=0,1,AT91/Q91-1)</f>
        <v>1</v>
      </c>
      <c r="AV91" s="137">
        <f>AV92+AV93+AV94</f>
        <v>0</v>
      </c>
      <c r="AW91" s="137">
        <f>AW92+AW93+AW94</f>
        <v>0</v>
      </c>
      <c r="AX91" s="135">
        <f t="shared" ref="AX91:AX112" si="252">IF(S91=0,1,AW91/S91-1)</f>
        <v>1</v>
      </c>
      <c r="AY91" s="137">
        <f>AY92+AY93+AY94</f>
        <v>0</v>
      </c>
      <c r="AZ91" s="137">
        <f>AZ92+AZ93+AZ94</f>
        <v>0</v>
      </c>
      <c r="BA91" s="135">
        <f t="shared" ref="BA91:BA112" si="253">IF(U91=0,1,AZ91/U91-1)</f>
        <v>1</v>
      </c>
      <c r="BB91" s="137">
        <f>BB92+BB93+BB94</f>
        <v>0</v>
      </c>
      <c r="BC91" s="137">
        <f>BC92+BC93+BC94</f>
        <v>0</v>
      </c>
      <c r="BD91" s="135">
        <f t="shared" ref="BD91:BD112" si="254">IF(W91=0,1,BC91/W91-1)</f>
        <v>1</v>
      </c>
      <c r="BE91" s="137">
        <f>BE92+BE93+BE94</f>
        <v>0</v>
      </c>
      <c r="BF91" s="137">
        <f>BF92+BF93+BF94</f>
        <v>0</v>
      </c>
      <c r="BG91" s="135">
        <f t="shared" ref="BG91:BG112" si="255">IF(Y91=0,1,BF91/Y91-1)</f>
        <v>1</v>
      </c>
      <c r="BH91" s="137">
        <f t="shared" ref="BH91:BJ91" si="256">BH92+BH93+BH94</f>
        <v>0</v>
      </c>
      <c r="BI91" s="137">
        <f t="shared" si="256"/>
        <v>0</v>
      </c>
      <c r="BJ91" s="137">
        <f t="shared" si="256"/>
        <v>0</v>
      </c>
      <c r="BK91" s="135">
        <f>IF($AA$91=0,1,BJ91/$AA$91-1)</f>
        <v>1</v>
      </c>
      <c r="BL91" s="135">
        <f t="shared" ref="BL91:BL112" si="257">IF($D91=0,1,BJ91/$D91-1)</f>
        <v>1</v>
      </c>
      <c r="BM91" s="167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</row>
    <row r="92" spans="1:206" s="106" customFormat="1" ht="18" customHeight="1">
      <c r="A92" s="426" t="s">
        <v>38</v>
      </c>
      <c r="B92" s="426"/>
      <c r="C92" s="29"/>
      <c r="D92" s="134">
        <f>E92+F92+H92+J92+L92+N92+P92+R92+T92+V92+X92+Z92</f>
        <v>0</v>
      </c>
      <c r="E92" s="29"/>
      <c r="F92" s="29"/>
      <c r="G92" s="137">
        <f t="shared" ref="G92:G112" si="258">E92+F92</f>
        <v>0</v>
      </c>
      <c r="H92" s="29"/>
      <c r="I92" s="137">
        <f t="shared" ref="I92:I100" si="259">G92+H92</f>
        <v>0</v>
      </c>
      <c r="J92" s="29"/>
      <c r="K92" s="137">
        <f t="shared" ref="K92:K112" si="260">I92+J92</f>
        <v>0</v>
      </c>
      <c r="L92" s="29"/>
      <c r="M92" s="137">
        <f t="shared" ref="M92:M112" si="261">K92+L92</f>
        <v>0</v>
      </c>
      <c r="N92" s="29"/>
      <c r="O92" s="137">
        <f t="shared" ref="O92:O112" si="262">M92+N92</f>
        <v>0</v>
      </c>
      <c r="P92" s="29"/>
      <c r="Q92" s="137">
        <f t="shared" ref="Q92:Q112" si="263">O92+P92</f>
        <v>0</v>
      </c>
      <c r="R92" s="29"/>
      <c r="S92" s="137">
        <f t="shared" ref="S92:S112" si="264">Q92+R92</f>
        <v>0</v>
      </c>
      <c r="T92" s="29"/>
      <c r="U92" s="137">
        <f t="shared" ref="U92:U112" si="265">S92+T92</f>
        <v>0</v>
      </c>
      <c r="V92" s="29"/>
      <c r="W92" s="137">
        <f t="shared" ref="W92:W112" si="266">U92+V92</f>
        <v>0</v>
      </c>
      <c r="X92" s="29"/>
      <c r="Y92" s="137">
        <f t="shared" ref="Y92:Y112" si="267">W92+X92</f>
        <v>0</v>
      </c>
      <c r="Z92" s="29"/>
      <c r="AA92" s="29"/>
      <c r="AB92" s="135">
        <f t="shared" si="244"/>
        <v>1</v>
      </c>
      <c r="AC92" s="29"/>
      <c r="AD92" s="29"/>
      <c r="AE92" s="137">
        <f t="shared" ref="AE92:AE112" si="268">AC92+AD92</f>
        <v>0</v>
      </c>
      <c r="AF92" s="135">
        <f t="shared" si="246"/>
        <v>1</v>
      </c>
      <c r="AG92" s="29"/>
      <c r="AH92" s="137">
        <f t="shared" ref="AH92:AH112" si="269">AE92+AG92</f>
        <v>0</v>
      </c>
      <c r="AI92" s="135">
        <f t="shared" si="247"/>
        <v>1</v>
      </c>
      <c r="AJ92" s="29"/>
      <c r="AK92" s="137">
        <f t="shared" ref="AK92:AK112" si="270">AH92+AJ92</f>
        <v>0</v>
      </c>
      <c r="AL92" s="135">
        <f t="shared" si="248"/>
        <v>1</v>
      </c>
      <c r="AM92" s="29"/>
      <c r="AN92" s="137">
        <f t="shared" ref="AN92:AN112" si="271">AK92+AM92</f>
        <v>0</v>
      </c>
      <c r="AO92" s="135">
        <f t="shared" si="249"/>
        <v>1</v>
      </c>
      <c r="AP92" s="29"/>
      <c r="AQ92" s="137">
        <f t="shared" ref="AQ92:AQ112" si="272">AN92+AP92</f>
        <v>0</v>
      </c>
      <c r="AR92" s="135">
        <f t="shared" si="250"/>
        <v>1</v>
      </c>
      <c r="AS92" s="29"/>
      <c r="AT92" s="137">
        <f t="shared" ref="AT92:AT112" si="273">AQ92+AS92</f>
        <v>0</v>
      </c>
      <c r="AU92" s="135">
        <f t="shared" si="251"/>
        <v>1</v>
      </c>
      <c r="AV92" s="29"/>
      <c r="AW92" s="137">
        <f t="shared" ref="AW92:AW112" si="274">AT92+AV92</f>
        <v>0</v>
      </c>
      <c r="AX92" s="135">
        <f t="shared" si="252"/>
        <v>1</v>
      </c>
      <c r="AY92" s="29"/>
      <c r="AZ92" s="137">
        <f t="shared" ref="AZ92:AZ112" si="275">AW92+AY92</f>
        <v>0</v>
      </c>
      <c r="BA92" s="135">
        <f t="shared" si="253"/>
        <v>1</v>
      </c>
      <c r="BB92" s="29"/>
      <c r="BC92" s="137">
        <f t="shared" ref="BC92:BC112" si="276">AZ92+BB92</f>
        <v>0</v>
      </c>
      <c r="BD92" s="135">
        <f t="shared" si="254"/>
        <v>1</v>
      </c>
      <c r="BE92" s="29"/>
      <c r="BF92" s="137">
        <f t="shared" ref="BF92:BF112" si="277">BC92+BE92</f>
        <v>0</v>
      </c>
      <c r="BG92" s="135">
        <f t="shared" si="255"/>
        <v>1</v>
      </c>
      <c r="BH92" s="29"/>
      <c r="BI92" s="29"/>
      <c r="BJ92" s="29"/>
      <c r="BK92" s="135">
        <f>IF($AA$92=0,1,BJ92/$AA$92-1)</f>
        <v>1</v>
      </c>
      <c r="BL92" s="135">
        <f t="shared" si="257"/>
        <v>1</v>
      </c>
      <c r="BM92" s="167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</row>
    <row r="93" spans="1:206" s="106" customFormat="1" ht="18" customHeight="1">
      <c r="A93" s="429" t="s">
        <v>143</v>
      </c>
      <c r="B93" s="429"/>
      <c r="C93" s="29"/>
      <c r="D93" s="134">
        <f>E93+F93+H93+J93+L93+N93+P93+R93+T93+V93+X93+Z93</f>
        <v>0</v>
      </c>
      <c r="E93" s="29"/>
      <c r="F93" s="29"/>
      <c r="G93" s="137">
        <f t="shared" si="258"/>
        <v>0</v>
      </c>
      <c r="H93" s="29"/>
      <c r="I93" s="137">
        <f t="shared" si="259"/>
        <v>0</v>
      </c>
      <c r="J93" s="29"/>
      <c r="K93" s="137">
        <f t="shared" si="260"/>
        <v>0</v>
      </c>
      <c r="L93" s="29"/>
      <c r="M93" s="137">
        <f t="shared" si="261"/>
        <v>0</v>
      </c>
      <c r="N93" s="29"/>
      <c r="O93" s="137">
        <f t="shared" si="262"/>
        <v>0</v>
      </c>
      <c r="P93" s="29"/>
      <c r="Q93" s="137">
        <f t="shared" si="263"/>
        <v>0</v>
      </c>
      <c r="R93" s="29"/>
      <c r="S93" s="137">
        <f t="shared" si="264"/>
        <v>0</v>
      </c>
      <c r="T93" s="29"/>
      <c r="U93" s="137">
        <f t="shared" si="265"/>
        <v>0</v>
      </c>
      <c r="V93" s="29"/>
      <c r="W93" s="137">
        <f t="shared" si="266"/>
        <v>0</v>
      </c>
      <c r="X93" s="29"/>
      <c r="Y93" s="137">
        <f t="shared" si="267"/>
        <v>0</v>
      </c>
      <c r="Z93" s="29"/>
      <c r="AA93" s="29"/>
      <c r="AB93" s="135">
        <f t="shared" si="244"/>
        <v>1</v>
      </c>
      <c r="AC93" s="29"/>
      <c r="AD93" s="29"/>
      <c r="AE93" s="137">
        <f t="shared" si="268"/>
        <v>0</v>
      </c>
      <c r="AF93" s="135">
        <f t="shared" si="246"/>
        <v>1</v>
      </c>
      <c r="AG93" s="29"/>
      <c r="AH93" s="137">
        <f t="shared" si="269"/>
        <v>0</v>
      </c>
      <c r="AI93" s="135">
        <f t="shared" si="247"/>
        <v>1</v>
      </c>
      <c r="AJ93" s="29"/>
      <c r="AK93" s="137">
        <f t="shared" si="270"/>
        <v>0</v>
      </c>
      <c r="AL93" s="135">
        <f t="shared" si="248"/>
        <v>1</v>
      </c>
      <c r="AM93" s="29"/>
      <c r="AN93" s="137">
        <f t="shared" si="271"/>
        <v>0</v>
      </c>
      <c r="AO93" s="135">
        <f t="shared" si="249"/>
        <v>1</v>
      </c>
      <c r="AP93" s="29"/>
      <c r="AQ93" s="137">
        <f t="shared" si="272"/>
        <v>0</v>
      </c>
      <c r="AR93" s="135">
        <f t="shared" si="250"/>
        <v>1</v>
      </c>
      <c r="AS93" s="29"/>
      <c r="AT93" s="137">
        <f t="shared" si="273"/>
        <v>0</v>
      </c>
      <c r="AU93" s="135">
        <f t="shared" si="251"/>
        <v>1</v>
      </c>
      <c r="AV93" s="29"/>
      <c r="AW93" s="137">
        <f t="shared" si="274"/>
        <v>0</v>
      </c>
      <c r="AX93" s="135">
        <f t="shared" si="252"/>
        <v>1</v>
      </c>
      <c r="AY93" s="29"/>
      <c r="AZ93" s="137">
        <f t="shared" si="275"/>
        <v>0</v>
      </c>
      <c r="BA93" s="135">
        <f t="shared" si="253"/>
        <v>1</v>
      </c>
      <c r="BB93" s="29"/>
      <c r="BC93" s="137">
        <f t="shared" si="276"/>
        <v>0</v>
      </c>
      <c r="BD93" s="135">
        <f t="shared" si="254"/>
        <v>1</v>
      </c>
      <c r="BE93" s="29"/>
      <c r="BF93" s="137">
        <f t="shared" si="277"/>
        <v>0</v>
      </c>
      <c r="BG93" s="135">
        <f t="shared" si="255"/>
        <v>1</v>
      </c>
      <c r="BH93" s="29"/>
      <c r="BI93" s="29"/>
      <c r="BJ93" s="29"/>
      <c r="BK93" s="135">
        <f>IF($AA$93=0,1,BJ93/$AA$93-1)</f>
        <v>1</v>
      </c>
      <c r="BL93" s="135">
        <f t="shared" si="257"/>
        <v>1</v>
      </c>
      <c r="BM93" s="167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</row>
    <row r="94" spans="1:206" s="106" customFormat="1" ht="18" customHeight="1">
      <c r="A94" s="426" t="s">
        <v>65</v>
      </c>
      <c r="B94" s="426"/>
      <c r="C94" s="134">
        <f t="shared" ref="C94:F94" si="278">C95+C96+C97+C98+C99+C100</f>
        <v>0</v>
      </c>
      <c r="D94" s="134">
        <f t="shared" si="278"/>
        <v>0</v>
      </c>
      <c r="E94" s="134">
        <f t="shared" si="278"/>
        <v>0</v>
      </c>
      <c r="F94" s="134">
        <f t="shared" si="278"/>
        <v>0</v>
      </c>
      <c r="G94" s="137">
        <f t="shared" si="258"/>
        <v>0</v>
      </c>
      <c r="H94" s="134">
        <f>H95+H96+H97+H98+H99+H100</f>
        <v>0</v>
      </c>
      <c r="I94" s="137">
        <f t="shared" si="259"/>
        <v>0</v>
      </c>
      <c r="J94" s="134">
        <f>J95+J96+J97+J98+J99+J100</f>
        <v>0</v>
      </c>
      <c r="K94" s="137">
        <f t="shared" si="260"/>
        <v>0</v>
      </c>
      <c r="L94" s="134">
        <f>L95+L96+L97+L98+L99+L100</f>
        <v>0</v>
      </c>
      <c r="M94" s="137">
        <f t="shared" si="261"/>
        <v>0</v>
      </c>
      <c r="N94" s="134">
        <f>N95+N96+N97+N98+N99+N100</f>
        <v>0</v>
      </c>
      <c r="O94" s="137">
        <f t="shared" si="262"/>
        <v>0</v>
      </c>
      <c r="P94" s="134">
        <f>P95+P96+P97+P98+P99+P100</f>
        <v>0</v>
      </c>
      <c r="Q94" s="137">
        <f t="shared" si="263"/>
        <v>0</v>
      </c>
      <c r="R94" s="134">
        <f>R95+R96+R97+R98+R99+R100</f>
        <v>0</v>
      </c>
      <c r="S94" s="137">
        <f t="shared" si="264"/>
        <v>0</v>
      </c>
      <c r="T94" s="134">
        <f>T95+T96+T97+T98+T99+T100</f>
        <v>0</v>
      </c>
      <c r="U94" s="137">
        <f t="shared" si="265"/>
        <v>0</v>
      </c>
      <c r="V94" s="134">
        <f>V95+V96+V97+V98+V99+V100</f>
        <v>0</v>
      </c>
      <c r="W94" s="137">
        <f t="shared" si="266"/>
        <v>0</v>
      </c>
      <c r="X94" s="134">
        <f>X95+X96+X97+X98+X99+X100</f>
        <v>0</v>
      </c>
      <c r="Y94" s="137">
        <f t="shared" si="267"/>
        <v>0</v>
      </c>
      <c r="Z94" s="134">
        <f>Z95+Z96+Z97+Z98+Z99+Z100</f>
        <v>0</v>
      </c>
      <c r="AA94" s="137"/>
      <c r="AB94" s="135">
        <f t="shared" si="244"/>
        <v>1</v>
      </c>
      <c r="AC94" s="134">
        <f>AC95+AC96+AC97+AC98+AC99+AC100</f>
        <v>0</v>
      </c>
      <c r="AD94" s="134">
        <f>AD95+AD96+AD97+AD98+AD99+AD100</f>
        <v>0</v>
      </c>
      <c r="AE94" s="137">
        <f t="shared" si="268"/>
        <v>0</v>
      </c>
      <c r="AF94" s="135">
        <f t="shared" si="246"/>
        <v>1</v>
      </c>
      <c r="AG94" s="134">
        <f>AG95+AG96+AG97+AG98+AG99+AG100</f>
        <v>0</v>
      </c>
      <c r="AH94" s="137">
        <f t="shared" si="269"/>
        <v>0</v>
      </c>
      <c r="AI94" s="135">
        <f t="shared" si="247"/>
        <v>1</v>
      </c>
      <c r="AJ94" s="134">
        <f>AJ95+AJ96+AJ97+AJ98+AJ99+AJ100</f>
        <v>0</v>
      </c>
      <c r="AK94" s="137">
        <f t="shared" si="270"/>
        <v>0</v>
      </c>
      <c r="AL94" s="135">
        <f t="shared" si="248"/>
        <v>1</v>
      </c>
      <c r="AM94" s="134">
        <f>AM95+AM96+AM97+AM98+AM99+AM100</f>
        <v>0</v>
      </c>
      <c r="AN94" s="137">
        <f t="shared" si="271"/>
        <v>0</v>
      </c>
      <c r="AO94" s="135">
        <f t="shared" si="249"/>
        <v>1</v>
      </c>
      <c r="AP94" s="134">
        <f>AP95+AP96+AP97+AP98+AP99+AP100</f>
        <v>0</v>
      </c>
      <c r="AQ94" s="137">
        <f t="shared" si="272"/>
        <v>0</v>
      </c>
      <c r="AR94" s="135">
        <f t="shared" si="250"/>
        <v>1</v>
      </c>
      <c r="AS94" s="134">
        <f>AS95+AS96+AS97+AS98+AS99+AS100</f>
        <v>0</v>
      </c>
      <c r="AT94" s="137">
        <f t="shared" si="273"/>
        <v>0</v>
      </c>
      <c r="AU94" s="135">
        <f t="shared" si="251"/>
        <v>1</v>
      </c>
      <c r="AV94" s="134">
        <f>AV95+AV96+AV97+AV98+AV99+AV100</f>
        <v>0</v>
      </c>
      <c r="AW94" s="137">
        <f t="shared" si="274"/>
        <v>0</v>
      </c>
      <c r="AX94" s="135">
        <f t="shared" si="252"/>
        <v>1</v>
      </c>
      <c r="AY94" s="134">
        <f>AY95+AY96+AY97+AY98+AY99+AY100</f>
        <v>0</v>
      </c>
      <c r="AZ94" s="137">
        <f t="shared" si="275"/>
        <v>0</v>
      </c>
      <c r="BA94" s="135">
        <f t="shared" si="253"/>
        <v>1</v>
      </c>
      <c r="BB94" s="134">
        <f>BB95+BB96+BB97+BB98+BB99+BB100</f>
        <v>0</v>
      </c>
      <c r="BC94" s="137">
        <f t="shared" si="276"/>
        <v>0</v>
      </c>
      <c r="BD94" s="135">
        <f t="shared" si="254"/>
        <v>1</v>
      </c>
      <c r="BE94" s="134">
        <f>BE95+BE96+BE97+BE98+BE99+BE100</f>
        <v>0</v>
      </c>
      <c r="BF94" s="137">
        <f t="shared" si="277"/>
        <v>0</v>
      </c>
      <c r="BG94" s="135">
        <f t="shared" si="255"/>
        <v>1</v>
      </c>
      <c r="BH94" s="134">
        <f>BH95+BH96+BH97+BH98+BH99+BH100</f>
        <v>0</v>
      </c>
      <c r="BI94" s="134">
        <f t="shared" ref="BI94:BJ94" si="279">BI95+BI96+BI97+BI98+BI99+BI100</f>
        <v>0</v>
      </c>
      <c r="BJ94" s="134">
        <f t="shared" si="279"/>
        <v>0</v>
      </c>
      <c r="BK94" s="135">
        <f>IF($AA$94=0,1,BJ94/$AA$94-1)</f>
        <v>1</v>
      </c>
      <c r="BL94" s="135">
        <f t="shared" si="257"/>
        <v>1</v>
      </c>
      <c r="BM94" s="167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</row>
    <row r="95" spans="1:206" s="106" customFormat="1" ht="18" customHeight="1">
      <c r="A95" s="427" t="s">
        <v>67</v>
      </c>
      <c r="B95" s="427"/>
      <c r="C95" s="29"/>
      <c r="D95" s="134">
        <f t="shared" ref="D95:D100" si="280">E95+F95+H95+J95+L95+N95+P95+R95+T95+V95+X95+Z95</f>
        <v>0</v>
      </c>
      <c r="E95" s="29"/>
      <c r="F95" s="29"/>
      <c r="G95" s="137">
        <f t="shared" si="258"/>
        <v>0</v>
      </c>
      <c r="H95" s="29"/>
      <c r="I95" s="137">
        <f t="shared" si="259"/>
        <v>0</v>
      </c>
      <c r="J95" s="29"/>
      <c r="K95" s="137">
        <f t="shared" si="260"/>
        <v>0</v>
      </c>
      <c r="L95" s="29"/>
      <c r="M95" s="137">
        <f t="shared" si="261"/>
        <v>0</v>
      </c>
      <c r="N95" s="29"/>
      <c r="O95" s="137">
        <f t="shared" si="262"/>
        <v>0</v>
      </c>
      <c r="P95" s="29"/>
      <c r="Q95" s="137">
        <f t="shared" si="263"/>
        <v>0</v>
      </c>
      <c r="R95" s="29"/>
      <c r="S95" s="137">
        <f t="shared" si="264"/>
        <v>0</v>
      </c>
      <c r="T95" s="29"/>
      <c r="U95" s="137">
        <f t="shared" si="265"/>
        <v>0</v>
      </c>
      <c r="V95" s="29"/>
      <c r="W95" s="137">
        <f t="shared" si="266"/>
        <v>0</v>
      </c>
      <c r="X95" s="29"/>
      <c r="Y95" s="137">
        <f t="shared" si="267"/>
        <v>0</v>
      </c>
      <c r="Z95" s="29"/>
      <c r="AA95" s="29"/>
      <c r="AB95" s="135">
        <f t="shared" si="244"/>
        <v>1</v>
      </c>
      <c r="AC95" s="29"/>
      <c r="AD95" s="29"/>
      <c r="AE95" s="137">
        <f t="shared" si="268"/>
        <v>0</v>
      </c>
      <c r="AF95" s="135">
        <f t="shared" si="246"/>
        <v>1</v>
      </c>
      <c r="AG95" s="29"/>
      <c r="AH95" s="137">
        <f t="shared" si="269"/>
        <v>0</v>
      </c>
      <c r="AI95" s="135">
        <f t="shared" si="247"/>
        <v>1</v>
      </c>
      <c r="AJ95" s="29"/>
      <c r="AK95" s="137">
        <f t="shared" si="270"/>
        <v>0</v>
      </c>
      <c r="AL95" s="135">
        <f t="shared" si="248"/>
        <v>1</v>
      </c>
      <c r="AM95" s="29"/>
      <c r="AN95" s="137">
        <f t="shared" si="271"/>
        <v>0</v>
      </c>
      <c r="AO95" s="135">
        <f t="shared" si="249"/>
        <v>1</v>
      </c>
      <c r="AP95" s="29"/>
      <c r="AQ95" s="137">
        <f t="shared" si="272"/>
        <v>0</v>
      </c>
      <c r="AR95" s="135">
        <f t="shared" si="250"/>
        <v>1</v>
      </c>
      <c r="AS95" s="29"/>
      <c r="AT95" s="137">
        <f t="shared" si="273"/>
        <v>0</v>
      </c>
      <c r="AU95" s="135">
        <f t="shared" si="251"/>
        <v>1</v>
      </c>
      <c r="AV95" s="29"/>
      <c r="AW95" s="137">
        <f t="shared" si="274"/>
        <v>0</v>
      </c>
      <c r="AX95" s="135">
        <f t="shared" si="252"/>
        <v>1</v>
      </c>
      <c r="AY95" s="29"/>
      <c r="AZ95" s="137">
        <f t="shared" si="275"/>
        <v>0</v>
      </c>
      <c r="BA95" s="135">
        <f t="shared" si="253"/>
        <v>1</v>
      </c>
      <c r="BB95" s="29"/>
      <c r="BC95" s="137">
        <f t="shared" si="276"/>
        <v>0</v>
      </c>
      <c r="BD95" s="135">
        <f t="shared" si="254"/>
        <v>1</v>
      </c>
      <c r="BE95" s="29"/>
      <c r="BF95" s="137">
        <f t="shared" si="277"/>
        <v>0</v>
      </c>
      <c r="BG95" s="135">
        <f t="shared" si="255"/>
        <v>1</v>
      </c>
      <c r="BH95" s="29"/>
      <c r="BI95" s="29"/>
      <c r="BJ95" s="29"/>
      <c r="BK95" s="135">
        <f>IF($AA$95=0,1,BJ95/$AA$95-1)</f>
        <v>1</v>
      </c>
      <c r="BL95" s="135">
        <f t="shared" si="257"/>
        <v>1</v>
      </c>
      <c r="BM95" s="167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</row>
    <row r="96" spans="1:206" s="106" customFormat="1" ht="18" customHeight="1">
      <c r="A96" s="427" t="s">
        <v>34</v>
      </c>
      <c r="B96" s="427"/>
      <c r="C96" s="29"/>
      <c r="D96" s="134">
        <f t="shared" si="280"/>
        <v>0</v>
      </c>
      <c r="E96" s="29"/>
      <c r="F96" s="29"/>
      <c r="G96" s="137">
        <f t="shared" si="258"/>
        <v>0</v>
      </c>
      <c r="H96" s="29"/>
      <c r="I96" s="137">
        <f t="shared" si="259"/>
        <v>0</v>
      </c>
      <c r="J96" s="29"/>
      <c r="K96" s="137">
        <f t="shared" si="260"/>
        <v>0</v>
      </c>
      <c r="L96" s="29"/>
      <c r="M96" s="137">
        <f t="shared" si="261"/>
        <v>0</v>
      </c>
      <c r="N96" s="29"/>
      <c r="O96" s="137">
        <f t="shared" si="262"/>
        <v>0</v>
      </c>
      <c r="P96" s="29"/>
      <c r="Q96" s="137">
        <f t="shared" si="263"/>
        <v>0</v>
      </c>
      <c r="R96" s="29"/>
      <c r="S96" s="137">
        <f t="shared" si="264"/>
        <v>0</v>
      </c>
      <c r="T96" s="29"/>
      <c r="U96" s="137">
        <f t="shared" si="265"/>
        <v>0</v>
      </c>
      <c r="V96" s="29"/>
      <c r="W96" s="137">
        <f t="shared" si="266"/>
        <v>0</v>
      </c>
      <c r="X96" s="29"/>
      <c r="Y96" s="137">
        <f t="shared" si="267"/>
        <v>0</v>
      </c>
      <c r="Z96" s="29"/>
      <c r="AA96" s="29"/>
      <c r="AB96" s="135">
        <f t="shared" si="244"/>
        <v>1</v>
      </c>
      <c r="AC96" s="29"/>
      <c r="AD96" s="29"/>
      <c r="AE96" s="137">
        <f t="shared" si="268"/>
        <v>0</v>
      </c>
      <c r="AF96" s="135">
        <f t="shared" si="246"/>
        <v>1</v>
      </c>
      <c r="AG96" s="29"/>
      <c r="AH96" s="137">
        <f t="shared" si="269"/>
        <v>0</v>
      </c>
      <c r="AI96" s="135">
        <f t="shared" si="247"/>
        <v>1</v>
      </c>
      <c r="AJ96" s="29"/>
      <c r="AK96" s="137">
        <f t="shared" si="270"/>
        <v>0</v>
      </c>
      <c r="AL96" s="135">
        <f t="shared" si="248"/>
        <v>1</v>
      </c>
      <c r="AM96" s="29"/>
      <c r="AN96" s="137">
        <f t="shared" si="271"/>
        <v>0</v>
      </c>
      <c r="AO96" s="135">
        <f t="shared" si="249"/>
        <v>1</v>
      </c>
      <c r="AP96" s="29"/>
      <c r="AQ96" s="137">
        <f t="shared" si="272"/>
        <v>0</v>
      </c>
      <c r="AR96" s="135">
        <f t="shared" si="250"/>
        <v>1</v>
      </c>
      <c r="AS96" s="29"/>
      <c r="AT96" s="137">
        <f t="shared" si="273"/>
        <v>0</v>
      </c>
      <c r="AU96" s="135">
        <f t="shared" si="251"/>
        <v>1</v>
      </c>
      <c r="AV96" s="29"/>
      <c r="AW96" s="137">
        <f t="shared" si="274"/>
        <v>0</v>
      </c>
      <c r="AX96" s="135">
        <f t="shared" si="252"/>
        <v>1</v>
      </c>
      <c r="AY96" s="29"/>
      <c r="AZ96" s="137">
        <f t="shared" si="275"/>
        <v>0</v>
      </c>
      <c r="BA96" s="135">
        <f t="shared" si="253"/>
        <v>1</v>
      </c>
      <c r="BB96" s="29"/>
      <c r="BC96" s="137">
        <f t="shared" si="276"/>
        <v>0</v>
      </c>
      <c r="BD96" s="135">
        <f t="shared" si="254"/>
        <v>1</v>
      </c>
      <c r="BE96" s="29"/>
      <c r="BF96" s="137">
        <f t="shared" si="277"/>
        <v>0</v>
      </c>
      <c r="BG96" s="135">
        <f t="shared" si="255"/>
        <v>1</v>
      </c>
      <c r="BH96" s="29"/>
      <c r="BI96" s="29"/>
      <c r="BJ96" s="29"/>
      <c r="BK96" s="135">
        <f>IF($AA$96=0,1,BJ96/$AA$96-1)</f>
        <v>1</v>
      </c>
      <c r="BL96" s="135">
        <f t="shared" si="257"/>
        <v>1</v>
      </c>
      <c r="BM96" s="167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</row>
    <row r="97" spans="1:206" s="106" customFormat="1" ht="18" customHeight="1">
      <c r="A97" s="427" t="s">
        <v>34</v>
      </c>
      <c r="B97" s="427"/>
      <c r="C97" s="29"/>
      <c r="D97" s="134">
        <f t="shared" si="280"/>
        <v>0</v>
      </c>
      <c r="E97" s="29"/>
      <c r="F97" s="29"/>
      <c r="G97" s="137">
        <f t="shared" si="258"/>
        <v>0</v>
      </c>
      <c r="H97" s="29"/>
      <c r="I97" s="137">
        <f t="shared" si="259"/>
        <v>0</v>
      </c>
      <c r="J97" s="29"/>
      <c r="K97" s="137">
        <f t="shared" si="260"/>
        <v>0</v>
      </c>
      <c r="L97" s="29"/>
      <c r="M97" s="137">
        <f t="shared" si="261"/>
        <v>0</v>
      </c>
      <c r="N97" s="29"/>
      <c r="O97" s="137">
        <f t="shared" si="262"/>
        <v>0</v>
      </c>
      <c r="P97" s="29"/>
      <c r="Q97" s="137">
        <f t="shared" si="263"/>
        <v>0</v>
      </c>
      <c r="R97" s="29"/>
      <c r="S97" s="137">
        <f t="shared" si="264"/>
        <v>0</v>
      </c>
      <c r="T97" s="29"/>
      <c r="U97" s="137">
        <f t="shared" si="265"/>
        <v>0</v>
      </c>
      <c r="V97" s="29"/>
      <c r="W97" s="137">
        <f t="shared" si="266"/>
        <v>0</v>
      </c>
      <c r="X97" s="29"/>
      <c r="Y97" s="137">
        <f t="shared" si="267"/>
        <v>0</v>
      </c>
      <c r="Z97" s="29"/>
      <c r="AA97" s="29"/>
      <c r="AB97" s="135">
        <f t="shared" si="244"/>
        <v>1</v>
      </c>
      <c r="AC97" s="29"/>
      <c r="AD97" s="29"/>
      <c r="AE97" s="137">
        <f t="shared" si="268"/>
        <v>0</v>
      </c>
      <c r="AF97" s="135">
        <f t="shared" si="246"/>
        <v>1</v>
      </c>
      <c r="AG97" s="29"/>
      <c r="AH97" s="137">
        <f t="shared" si="269"/>
        <v>0</v>
      </c>
      <c r="AI97" s="135">
        <f t="shared" si="247"/>
        <v>1</v>
      </c>
      <c r="AJ97" s="29"/>
      <c r="AK97" s="137">
        <f t="shared" si="270"/>
        <v>0</v>
      </c>
      <c r="AL97" s="135">
        <f t="shared" si="248"/>
        <v>1</v>
      </c>
      <c r="AM97" s="29"/>
      <c r="AN97" s="137">
        <f t="shared" si="271"/>
        <v>0</v>
      </c>
      <c r="AO97" s="135">
        <f t="shared" si="249"/>
        <v>1</v>
      </c>
      <c r="AP97" s="29"/>
      <c r="AQ97" s="137">
        <f t="shared" si="272"/>
        <v>0</v>
      </c>
      <c r="AR97" s="135">
        <f t="shared" si="250"/>
        <v>1</v>
      </c>
      <c r="AS97" s="29"/>
      <c r="AT97" s="137">
        <f t="shared" si="273"/>
        <v>0</v>
      </c>
      <c r="AU97" s="135">
        <f t="shared" si="251"/>
        <v>1</v>
      </c>
      <c r="AV97" s="29"/>
      <c r="AW97" s="137">
        <f t="shared" si="274"/>
        <v>0</v>
      </c>
      <c r="AX97" s="135">
        <f t="shared" si="252"/>
        <v>1</v>
      </c>
      <c r="AY97" s="29"/>
      <c r="AZ97" s="137">
        <f t="shared" si="275"/>
        <v>0</v>
      </c>
      <c r="BA97" s="135">
        <f t="shared" si="253"/>
        <v>1</v>
      </c>
      <c r="BB97" s="29"/>
      <c r="BC97" s="137">
        <f t="shared" si="276"/>
        <v>0</v>
      </c>
      <c r="BD97" s="135">
        <f t="shared" si="254"/>
        <v>1</v>
      </c>
      <c r="BE97" s="29"/>
      <c r="BF97" s="137">
        <f t="shared" si="277"/>
        <v>0</v>
      </c>
      <c r="BG97" s="135">
        <f t="shared" si="255"/>
        <v>1</v>
      </c>
      <c r="BH97" s="29"/>
      <c r="BI97" s="29"/>
      <c r="BJ97" s="29"/>
      <c r="BK97" s="135">
        <f t="shared" ref="BK97:BK100" si="281">IF($AA$96=0,1,BJ97/$AA$96-1)</f>
        <v>1</v>
      </c>
      <c r="BL97" s="135">
        <f t="shared" si="257"/>
        <v>1</v>
      </c>
      <c r="BM97" s="167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</row>
    <row r="98" spans="1:206" s="106" customFormat="1" ht="18" customHeight="1">
      <c r="A98" s="427" t="s">
        <v>34</v>
      </c>
      <c r="B98" s="427"/>
      <c r="C98" s="29"/>
      <c r="D98" s="134">
        <f t="shared" si="280"/>
        <v>0</v>
      </c>
      <c r="E98" s="29"/>
      <c r="F98" s="29"/>
      <c r="G98" s="137">
        <f t="shared" si="258"/>
        <v>0</v>
      </c>
      <c r="H98" s="29"/>
      <c r="I98" s="137">
        <f t="shared" si="259"/>
        <v>0</v>
      </c>
      <c r="J98" s="29"/>
      <c r="K98" s="137">
        <f t="shared" si="260"/>
        <v>0</v>
      </c>
      <c r="L98" s="29"/>
      <c r="M98" s="137">
        <f t="shared" si="261"/>
        <v>0</v>
      </c>
      <c r="N98" s="29"/>
      <c r="O98" s="137">
        <f t="shared" si="262"/>
        <v>0</v>
      </c>
      <c r="P98" s="29"/>
      <c r="Q98" s="137">
        <f t="shared" si="263"/>
        <v>0</v>
      </c>
      <c r="R98" s="29"/>
      <c r="S98" s="137">
        <f t="shared" si="264"/>
        <v>0</v>
      </c>
      <c r="T98" s="29"/>
      <c r="U98" s="137">
        <f t="shared" si="265"/>
        <v>0</v>
      </c>
      <c r="V98" s="29"/>
      <c r="W98" s="137">
        <f t="shared" si="266"/>
        <v>0</v>
      </c>
      <c r="X98" s="29"/>
      <c r="Y98" s="137">
        <f t="shared" si="267"/>
        <v>0</v>
      </c>
      <c r="Z98" s="29"/>
      <c r="AA98" s="29"/>
      <c r="AB98" s="135">
        <f t="shared" si="244"/>
        <v>1</v>
      </c>
      <c r="AC98" s="29"/>
      <c r="AD98" s="29"/>
      <c r="AE98" s="137">
        <f t="shared" si="268"/>
        <v>0</v>
      </c>
      <c r="AF98" s="135">
        <f t="shared" si="246"/>
        <v>1</v>
      </c>
      <c r="AG98" s="29"/>
      <c r="AH98" s="137">
        <f t="shared" si="269"/>
        <v>0</v>
      </c>
      <c r="AI98" s="135">
        <f t="shared" si="247"/>
        <v>1</v>
      </c>
      <c r="AJ98" s="29"/>
      <c r="AK98" s="137">
        <f t="shared" si="270"/>
        <v>0</v>
      </c>
      <c r="AL98" s="135">
        <f t="shared" si="248"/>
        <v>1</v>
      </c>
      <c r="AM98" s="29"/>
      <c r="AN98" s="137">
        <f t="shared" si="271"/>
        <v>0</v>
      </c>
      <c r="AO98" s="135">
        <f t="shared" si="249"/>
        <v>1</v>
      </c>
      <c r="AP98" s="29"/>
      <c r="AQ98" s="137">
        <f t="shared" si="272"/>
        <v>0</v>
      </c>
      <c r="AR98" s="135">
        <f t="shared" si="250"/>
        <v>1</v>
      </c>
      <c r="AS98" s="29"/>
      <c r="AT98" s="137">
        <f t="shared" si="273"/>
        <v>0</v>
      </c>
      <c r="AU98" s="135">
        <f t="shared" si="251"/>
        <v>1</v>
      </c>
      <c r="AV98" s="29"/>
      <c r="AW98" s="137">
        <f t="shared" si="274"/>
        <v>0</v>
      </c>
      <c r="AX98" s="135">
        <f t="shared" si="252"/>
        <v>1</v>
      </c>
      <c r="AY98" s="29"/>
      <c r="AZ98" s="137">
        <f t="shared" si="275"/>
        <v>0</v>
      </c>
      <c r="BA98" s="135">
        <f t="shared" si="253"/>
        <v>1</v>
      </c>
      <c r="BB98" s="29"/>
      <c r="BC98" s="137">
        <f t="shared" si="276"/>
        <v>0</v>
      </c>
      <c r="BD98" s="135">
        <f t="shared" si="254"/>
        <v>1</v>
      </c>
      <c r="BE98" s="29"/>
      <c r="BF98" s="137">
        <f t="shared" si="277"/>
        <v>0</v>
      </c>
      <c r="BG98" s="135">
        <f t="shared" si="255"/>
        <v>1</v>
      </c>
      <c r="BH98" s="29"/>
      <c r="BI98" s="29"/>
      <c r="BJ98" s="29"/>
      <c r="BK98" s="135">
        <f t="shared" si="281"/>
        <v>1</v>
      </c>
      <c r="BL98" s="135">
        <f t="shared" si="257"/>
        <v>1</v>
      </c>
      <c r="BM98" s="167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</row>
    <row r="99" spans="1:206" s="106" customFormat="1" ht="18" customHeight="1">
      <c r="A99" s="427" t="s">
        <v>34</v>
      </c>
      <c r="B99" s="427"/>
      <c r="C99" s="29"/>
      <c r="D99" s="134">
        <f t="shared" si="280"/>
        <v>0</v>
      </c>
      <c r="E99" s="29"/>
      <c r="F99" s="29"/>
      <c r="G99" s="137">
        <f t="shared" si="258"/>
        <v>0</v>
      </c>
      <c r="H99" s="29"/>
      <c r="I99" s="137">
        <f t="shared" si="259"/>
        <v>0</v>
      </c>
      <c r="J99" s="29"/>
      <c r="K99" s="137">
        <f t="shared" si="260"/>
        <v>0</v>
      </c>
      <c r="L99" s="29"/>
      <c r="M99" s="137">
        <f t="shared" si="261"/>
        <v>0</v>
      </c>
      <c r="N99" s="29"/>
      <c r="O99" s="137">
        <f t="shared" si="262"/>
        <v>0</v>
      </c>
      <c r="P99" s="29"/>
      <c r="Q99" s="137">
        <f t="shared" si="263"/>
        <v>0</v>
      </c>
      <c r="R99" s="29"/>
      <c r="S99" s="137">
        <f t="shared" si="264"/>
        <v>0</v>
      </c>
      <c r="T99" s="29"/>
      <c r="U99" s="137">
        <f t="shared" si="265"/>
        <v>0</v>
      </c>
      <c r="V99" s="29"/>
      <c r="W99" s="137">
        <f t="shared" si="266"/>
        <v>0</v>
      </c>
      <c r="X99" s="29"/>
      <c r="Y99" s="137">
        <f t="shared" si="267"/>
        <v>0</v>
      </c>
      <c r="Z99" s="29"/>
      <c r="AA99" s="29"/>
      <c r="AB99" s="135">
        <f t="shared" si="244"/>
        <v>1</v>
      </c>
      <c r="AC99" s="29"/>
      <c r="AD99" s="29"/>
      <c r="AE99" s="137">
        <f t="shared" si="268"/>
        <v>0</v>
      </c>
      <c r="AF99" s="135">
        <f t="shared" si="246"/>
        <v>1</v>
      </c>
      <c r="AG99" s="29"/>
      <c r="AH99" s="137">
        <f t="shared" si="269"/>
        <v>0</v>
      </c>
      <c r="AI99" s="135">
        <f t="shared" si="247"/>
        <v>1</v>
      </c>
      <c r="AJ99" s="29"/>
      <c r="AK99" s="137">
        <f t="shared" si="270"/>
        <v>0</v>
      </c>
      <c r="AL99" s="135">
        <f t="shared" si="248"/>
        <v>1</v>
      </c>
      <c r="AM99" s="29"/>
      <c r="AN99" s="137">
        <f t="shared" si="271"/>
        <v>0</v>
      </c>
      <c r="AO99" s="135">
        <f t="shared" si="249"/>
        <v>1</v>
      </c>
      <c r="AP99" s="29"/>
      <c r="AQ99" s="137">
        <f t="shared" si="272"/>
        <v>0</v>
      </c>
      <c r="AR99" s="135">
        <f t="shared" si="250"/>
        <v>1</v>
      </c>
      <c r="AS99" s="29"/>
      <c r="AT99" s="137">
        <f t="shared" si="273"/>
        <v>0</v>
      </c>
      <c r="AU99" s="135">
        <f t="shared" si="251"/>
        <v>1</v>
      </c>
      <c r="AV99" s="29"/>
      <c r="AW99" s="137">
        <f t="shared" si="274"/>
        <v>0</v>
      </c>
      <c r="AX99" s="135">
        <f t="shared" si="252"/>
        <v>1</v>
      </c>
      <c r="AY99" s="29"/>
      <c r="AZ99" s="137">
        <f t="shared" si="275"/>
        <v>0</v>
      </c>
      <c r="BA99" s="135">
        <f t="shared" si="253"/>
        <v>1</v>
      </c>
      <c r="BB99" s="29"/>
      <c r="BC99" s="137">
        <f t="shared" si="276"/>
        <v>0</v>
      </c>
      <c r="BD99" s="135">
        <f t="shared" si="254"/>
        <v>1</v>
      </c>
      <c r="BE99" s="29"/>
      <c r="BF99" s="137">
        <f t="shared" si="277"/>
        <v>0</v>
      </c>
      <c r="BG99" s="135">
        <f t="shared" si="255"/>
        <v>1</v>
      </c>
      <c r="BH99" s="29"/>
      <c r="BI99" s="29"/>
      <c r="BJ99" s="29"/>
      <c r="BK99" s="135">
        <f t="shared" si="281"/>
        <v>1</v>
      </c>
      <c r="BL99" s="135">
        <f t="shared" si="257"/>
        <v>1</v>
      </c>
      <c r="BM99" s="167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</row>
    <row r="100" spans="1:206" ht="16.5" customHeight="1">
      <c r="A100" s="427" t="s">
        <v>34</v>
      </c>
      <c r="B100" s="427"/>
      <c r="C100" s="29"/>
      <c r="D100" s="134">
        <f t="shared" si="280"/>
        <v>0</v>
      </c>
      <c r="E100" s="29"/>
      <c r="F100" s="29"/>
      <c r="G100" s="137">
        <f t="shared" si="258"/>
        <v>0</v>
      </c>
      <c r="H100" s="29"/>
      <c r="I100" s="137">
        <f t="shared" si="259"/>
        <v>0</v>
      </c>
      <c r="J100" s="29"/>
      <c r="K100" s="137">
        <f t="shared" si="260"/>
        <v>0</v>
      </c>
      <c r="L100" s="29"/>
      <c r="M100" s="137">
        <f t="shared" si="261"/>
        <v>0</v>
      </c>
      <c r="N100" s="29"/>
      <c r="O100" s="137">
        <f t="shared" si="262"/>
        <v>0</v>
      </c>
      <c r="P100" s="29"/>
      <c r="Q100" s="137">
        <f t="shared" si="263"/>
        <v>0</v>
      </c>
      <c r="R100" s="29"/>
      <c r="S100" s="137">
        <f t="shared" si="264"/>
        <v>0</v>
      </c>
      <c r="T100" s="29"/>
      <c r="U100" s="137">
        <f t="shared" si="265"/>
        <v>0</v>
      </c>
      <c r="V100" s="29"/>
      <c r="W100" s="137">
        <f t="shared" si="266"/>
        <v>0</v>
      </c>
      <c r="X100" s="29"/>
      <c r="Y100" s="137">
        <f t="shared" si="267"/>
        <v>0</v>
      </c>
      <c r="Z100" s="29"/>
      <c r="AA100" s="29"/>
      <c r="AB100" s="135">
        <f t="shared" si="244"/>
        <v>1</v>
      </c>
      <c r="AC100" s="29"/>
      <c r="AD100" s="29"/>
      <c r="AE100" s="137">
        <f t="shared" si="268"/>
        <v>0</v>
      </c>
      <c r="AF100" s="135">
        <f t="shared" si="246"/>
        <v>1</v>
      </c>
      <c r="AG100" s="29"/>
      <c r="AH100" s="137">
        <f t="shared" si="269"/>
        <v>0</v>
      </c>
      <c r="AI100" s="135">
        <f t="shared" si="247"/>
        <v>1</v>
      </c>
      <c r="AJ100" s="29"/>
      <c r="AK100" s="137">
        <f t="shared" si="270"/>
        <v>0</v>
      </c>
      <c r="AL100" s="135">
        <f t="shared" si="248"/>
        <v>1</v>
      </c>
      <c r="AM100" s="29"/>
      <c r="AN100" s="137">
        <f t="shared" si="271"/>
        <v>0</v>
      </c>
      <c r="AO100" s="135">
        <f t="shared" si="249"/>
        <v>1</v>
      </c>
      <c r="AP100" s="29"/>
      <c r="AQ100" s="137">
        <f t="shared" si="272"/>
        <v>0</v>
      </c>
      <c r="AR100" s="135">
        <f t="shared" si="250"/>
        <v>1</v>
      </c>
      <c r="AS100" s="29"/>
      <c r="AT100" s="137">
        <f t="shared" si="273"/>
        <v>0</v>
      </c>
      <c r="AU100" s="135">
        <f t="shared" si="251"/>
        <v>1</v>
      </c>
      <c r="AV100" s="29"/>
      <c r="AW100" s="137">
        <f t="shared" si="274"/>
        <v>0</v>
      </c>
      <c r="AX100" s="135">
        <f t="shared" si="252"/>
        <v>1</v>
      </c>
      <c r="AY100" s="29"/>
      <c r="AZ100" s="137">
        <f t="shared" si="275"/>
        <v>0</v>
      </c>
      <c r="BA100" s="135">
        <f t="shared" si="253"/>
        <v>1</v>
      </c>
      <c r="BB100" s="29"/>
      <c r="BC100" s="137">
        <f t="shared" si="276"/>
        <v>0</v>
      </c>
      <c r="BD100" s="135">
        <f t="shared" si="254"/>
        <v>1</v>
      </c>
      <c r="BE100" s="29"/>
      <c r="BF100" s="137">
        <f t="shared" si="277"/>
        <v>0</v>
      </c>
      <c r="BG100" s="135">
        <f t="shared" si="255"/>
        <v>1</v>
      </c>
      <c r="BH100" s="29"/>
      <c r="BI100" s="29"/>
      <c r="BJ100" s="29"/>
      <c r="BK100" s="135">
        <f t="shared" si="281"/>
        <v>1</v>
      </c>
      <c r="BL100" s="135">
        <f t="shared" si="257"/>
        <v>1</v>
      </c>
    </row>
    <row r="101" spans="1:206" s="104" customFormat="1" ht="18" customHeight="1">
      <c r="A101" s="428" t="s">
        <v>68</v>
      </c>
      <c r="B101" s="428"/>
      <c r="C101" s="137">
        <f t="shared" ref="C101:F101" si="282">C102+C103+C104+C105+C106+C107+C108+C112+C109+C110+C111</f>
        <v>0</v>
      </c>
      <c r="D101" s="137">
        <f t="shared" si="282"/>
        <v>0</v>
      </c>
      <c r="E101" s="137">
        <f t="shared" si="282"/>
        <v>0</v>
      </c>
      <c r="F101" s="137">
        <f t="shared" si="282"/>
        <v>0</v>
      </c>
      <c r="G101" s="137">
        <f t="shared" si="258"/>
        <v>0</v>
      </c>
      <c r="H101" s="137">
        <f>H102+H103+H104+H105+H106+H107+H108+H112+H109+H110+H111</f>
        <v>0</v>
      </c>
      <c r="I101" s="137">
        <f t="shared" ref="I101" si="283">I102+I103+I104+I105+I106+I107+I108+I112</f>
        <v>0</v>
      </c>
      <c r="J101" s="137">
        <f>J102+J103+J104+J105+J106+J107+J108+J112+J109+J110+J111</f>
        <v>0</v>
      </c>
      <c r="K101" s="137">
        <f t="shared" si="260"/>
        <v>0</v>
      </c>
      <c r="L101" s="137">
        <f>L102+L103+L104+L105+L106+L107+L108+L112+L109+L110+L111</f>
        <v>0</v>
      </c>
      <c r="M101" s="137">
        <f t="shared" si="261"/>
        <v>0</v>
      </c>
      <c r="N101" s="137">
        <f>N102+N103+N104+N105+N106+N107+N108+N112+N109+N110+N111</f>
        <v>0</v>
      </c>
      <c r="O101" s="137">
        <f t="shared" si="262"/>
        <v>0</v>
      </c>
      <c r="P101" s="137">
        <f>P102+P103+P104+P105+P106+P107+P108+P112+P109+P110+P111</f>
        <v>0</v>
      </c>
      <c r="Q101" s="137">
        <f t="shared" si="263"/>
        <v>0</v>
      </c>
      <c r="R101" s="137">
        <f>R102+R103+R104+R105+R106+R107+R108+R112+R109+R110+R111</f>
        <v>0</v>
      </c>
      <c r="S101" s="137">
        <f t="shared" si="264"/>
        <v>0</v>
      </c>
      <c r="T101" s="137">
        <f>T102+T103+T104+T105+T106+T107+T108+T112+T109+T110+T111</f>
        <v>0</v>
      </c>
      <c r="U101" s="137">
        <f t="shared" si="265"/>
        <v>0</v>
      </c>
      <c r="V101" s="137">
        <f>V102+V103+V104+V105+V106+V107+V108+V112+V109+V110+V111</f>
        <v>0</v>
      </c>
      <c r="W101" s="137">
        <f t="shared" si="266"/>
        <v>0</v>
      </c>
      <c r="X101" s="137">
        <f>X102+X103+X104+X105+X106+X107+X108+X112+X109+X110+X111</f>
        <v>0</v>
      </c>
      <c r="Y101" s="137">
        <f t="shared" si="267"/>
        <v>0</v>
      </c>
      <c r="Z101" s="137">
        <f>Z102+Z103+Z104+Z105+Z106+Z107+Z108+Z112+Z109+Z110+Z111</f>
        <v>0</v>
      </c>
      <c r="AA101" s="137">
        <f t="shared" ref="AA101" si="284">AA102+AA103+AA104+AA105+AA106+AA107+AA108+AA112</f>
        <v>0</v>
      </c>
      <c r="AB101" s="135">
        <f t="shared" si="244"/>
        <v>1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268"/>
        <v>0</v>
      </c>
      <c r="AF101" s="135">
        <f t="shared" si="246"/>
        <v>1</v>
      </c>
      <c r="AG101" s="137">
        <f>AG102+AG103+AG104+AG105+AG106+AG107+AG108+AG112+AG109+AG110+AG111</f>
        <v>0</v>
      </c>
      <c r="AH101" s="137">
        <f t="shared" si="269"/>
        <v>0</v>
      </c>
      <c r="AI101" s="135">
        <f t="shared" si="247"/>
        <v>1</v>
      </c>
      <c r="AJ101" s="137">
        <f>AJ102+AJ103+AJ104+AJ105+AJ106+AJ107+AJ108+AJ112+AJ109+AJ110+AJ111</f>
        <v>0</v>
      </c>
      <c r="AK101" s="137">
        <f t="shared" si="270"/>
        <v>0</v>
      </c>
      <c r="AL101" s="135">
        <f t="shared" si="248"/>
        <v>1</v>
      </c>
      <c r="AM101" s="137">
        <f>AM102+AM103+AM104+AM105+AM106+AM107+AM108+AM112+AM109+AM110+AM111</f>
        <v>0</v>
      </c>
      <c r="AN101" s="137">
        <f t="shared" si="271"/>
        <v>0</v>
      </c>
      <c r="AO101" s="135">
        <f t="shared" si="249"/>
        <v>1</v>
      </c>
      <c r="AP101" s="137">
        <f>AP102+AP103+AP104+AP105+AP106+AP107+AP108+AP112+AP109+AP110+AP111</f>
        <v>0</v>
      </c>
      <c r="AQ101" s="137">
        <f t="shared" si="272"/>
        <v>0</v>
      </c>
      <c r="AR101" s="135">
        <f t="shared" si="250"/>
        <v>1</v>
      </c>
      <c r="AS101" s="137">
        <f>AS102+AS103+AS104+AS105+AS106+AS107+AS108+AS112+AS109+AS110+AS111</f>
        <v>0</v>
      </c>
      <c r="AT101" s="137">
        <f t="shared" si="273"/>
        <v>0</v>
      </c>
      <c r="AU101" s="135">
        <f t="shared" si="251"/>
        <v>1</v>
      </c>
      <c r="AV101" s="137">
        <f>AV102+AV103+AV104+AV105+AV106+AV107+AV108+AV112+AV109+AV110+AV111</f>
        <v>0</v>
      </c>
      <c r="AW101" s="137">
        <f t="shared" si="274"/>
        <v>0</v>
      </c>
      <c r="AX101" s="135">
        <f t="shared" si="252"/>
        <v>1</v>
      </c>
      <c r="AY101" s="137">
        <f>AY102+AY103+AY104+AY105+AY106+AY107+AY108+AY112+AY109+AY110+AY111</f>
        <v>0</v>
      </c>
      <c r="AZ101" s="137">
        <f t="shared" si="275"/>
        <v>0</v>
      </c>
      <c r="BA101" s="135">
        <f t="shared" si="253"/>
        <v>1</v>
      </c>
      <c r="BB101" s="137">
        <f>BB102+BB103+BB104+BB105+BB106+BB107+BB108+BB112+BB109+BB110+BB111</f>
        <v>0</v>
      </c>
      <c r="BC101" s="137">
        <f t="shared" si="276"/>
        <v>0</v>
      </c>
      <c r="BD101" s="135">
        <f t="shared" si="254"/>
        <v>1</v>
      </c>
      <c r="BE101" s="137">
        <f>BE102+BE103+BE104+BE105+BE106+BE107+BE108+BE112+BE109+BE110+BE111</f>
        <v>0</v>
      </c>
      <c r="BF101" s="137">
        <f t="shared" si="277"/>
        <v>0</v>
      </c>
      <c r="BG101" s="135">
        <f t="shared" si="255"/>
        <v>1</v>
      </c>
      <c r="BH101" s="137">
        <f>BH102+BH103+BH104+BH105+BH106+BH107+BH108+BH112+BH109+BH110+BH111</f>
        <v>0</v>
      </c>
      <c r="BI101" s="137">
        <f t="shared" ref="BI101:BJ101" si="285">BI102+BI103+BI104+BI105+BI106+BI107+BI108+BI112</f>
        <v>0</v>
      </c>
      <c r="BJ101" s="137">
        <f t="shared" si="285"/>
        <v>0</v>
      </c>
      <c r="BK101" s="135">
        <f>IF($AA$101=0,1,BJ101/$AA$101-1)</f>
        <v>1</v>
      </c>
      <c r="BL101" s="135">
        <f t="shared" si="257"/>
        <v>1</v>
      </c>
      <c r="BM101" s="167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</row>
    <row r="102" spans="1:206" s="104" customFormat="1" ht="19.5" customHeight="1">
      <c r="A102" s="426">
        <v>243</v>
      </c>
      <c r="B102" s="426"/>
      <c r="C102" s="29"/>
      <c r="D102" s="134">
        <f t="shared" ref="D102:D112" si="286">E102+F102+H102+J102+L102+N102+P102+R102+T102+V102+X102+Z102</f>
        <v>0</v>
      </c>
      <c r="E102" s="29"/>
      <c r="F102" s="29"/>
      <c r="G102" s="137">
        <f t="shared" si="258"/>
        <v>0</v>
      </c>
      <c r="H102" s="29"/>
      <c r="I102" s="137">
        <f t="shared" ref="I102:I112" si="287">F102+E102</f>
        <v>0</v>
      </c>
      <c r="J102" s="29"/>
      <c r="K102" s="137">
        <f t="shared" si="260"/>
        <v>0</v>
      </c>
      <c r="L102" s="29"/>
      <c r="M102" s="137">
        <f t="shared" si="261"/>
        <v>0</v>
      </c>
      <c r="N102" s="29"/>
      <c r="O102" s="137">
        <f t="shared" si="262"/>
        <v>0</v>
      </c>
      <c r="P102" s="29"/>
      <c r="Q102" s="137">
        <f t="shared" si="263"/>
        <v>0</v>
      </c>
      <c r="R102" s="29"/>
      <c r="S102" s="137">
        <f t="shared" si="264"/>
        <v>0</v>
      </c>
      <c r="T102" s="29"/>
      <c r="U102" s="137">
        <f t="shared" si="265"/>
        <v>0</v>
      </c>
      <c r="V102" s="29"/>
      <c r="W102" s="137">
        <f t="shared" si="266"/>
        <v>0</v>
      </c>
      <c r="X102" s="29"/>
      <c r="Y102" s="137">
        <f t="shared" si="267"/>
        <v>0</v>
      </c>
      <c r="Z102" s="29"/>
      <c r="AA102" s="29"/>
      <c r="AB102" s="135">
        <f t="shared" si="244"/>
        <v>1</v>
      </c>
      <c r="AC102" s="29"/>
      <c r="AD102" s="29"/>
      <c r="AE102" s="137">
        <f t="shared" si="268"/>
        <v>0</v>
      </c>
      <c r="AF102" s="135">
        <f t="shared" si="246"/>
        <v>1</v>
      </c>
      <c r="AG102" s="29"/>
      <c r="AH102" s="137">
        <f t="shared" si="269"/>
        <v>0</v>
      </c>
      <c r="AI102" s="135">
        <f t="shared" si="247"/>
        <v>1</v>
      </c>
      <c r="AJ102" s="29"/>
      <c r="AK102" s="137">
        <f t="shared" si="270"/>
        <v>0</v>
      </c>
      <c r="AL102" s="135">
        <f t="shared" si="248"/>
        <v>1</v>
      </c>
      <c r="AM102" s="29"/>
      <c r="AN102" s="137">
        <f t="shared" si="271"/>
        <v>0</v>
      </c>
      <c r="AO102" s="135">
        <f t="shared" si="249"/>
        <v>1</v>
      </c>
      <c r="AP102" s="29"/>
      <c r="AQ102" s="137">
        <f t="shared" si="272"/>
        <v>0</v>
      </c>
      <c r="AR102" s="135">
        <f t="shared" si="250"/>
        <v>1</v>
      </c>
      <c r="AS102" s="29"/>
      <c r="AT102" s="137">
        <f t="shared" si="273"/>
        <v>0</v>
      </c>
      <c r="AU102" s="135">
        <f t="shared" si="251"/>
        <v>1</v>
      </c>
      <c r="AV102" s="29"/>
      <c r="AW102" s="137">
        <f t="shared" si="274"/>
        <v>0</v>
      </c>
      <c r="AX102" s="135">
        <f t="shared" si="252"/>
        <v>1</v>
      </c>
      <c r="AY102" s="29"/>
      <c r="AZ102" s="137">
        <f t="shared" si="275"/>
        <v>0</v>
      </c>
      <c r="BA102" s="135">
        <f t="shared" si="253"/>
        <v>1</v>
      </c>
      <c r="BB102" s="29"/>
      <c r="BC102" s="137">
        <f t="shared" si="276"/>
        <v>0</v>
      </c>
      <c r="BD102" s="135">
        <f t="shared" si="254"/>
        <v>1</v>
      </c>
      <c r="BE102" s="29"/>
      <c r="BF102" s="137">
        <f t="shared" si="277"/>
        <v>0</v>
      </c>
      <c r="BG102" s="135">
        <f t="shared" si="255"/>
        <v>1</v>
      </c>
      <c r="BH102" s="29"/>
      <c r="BI102" s="29"/>
      <c r="BJ102" s="29">
        <v>0</v>
      </c>
      <c r="BK102" s="135">
        <f>IF($AA$102=0,1,BJ102/$AA$102-1)</f>
        <v>1</v>
      </c>
      <c r="BL102" s="135">
        <f t="shared" si="257"/>
        <v>1</v>
      </c>
      <c r="BM102" s="167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</row>
    <row r="103" spans="1:206" s="106" customFormat="1" ht="18" customHeight="1">
      <c r="A103" s="426">
        <v>244</v>
      </c>
      <c r="B103" s="426"/>
      <c r="C103" s="29"/>
      <c r="D103" s="134">
        <f t="shared" si="286"/>
        <v>0</v>
      </c>
      <c r="E103" s="29"/>
      <c r="F103" s="29"/>
      <c r="G103" s="137">
        <f t="shared" si="258"/>
        <v>0</v>
      </c>
      <c r="H103" s="29"/>
      <c r="I103" s="137">
        <f t="shared" si="287"/>
        <v>0</v>
      </c>
      <c r="J103" s="29"/>
      <c r="K103" s="137">
        <f t="shared" si="260"/>
        <v>0</v>
      </c>
      <c r="L103" s="29"/>
      <c r="M103" s="137">
        <f t="shared" si="261"/>
        <v>0</v>
      </c>
      <c r="N103" s="29"/>
      <c r="O103" s="137">
        <f t="shared" si="262"/>
        <v>0</v>
      </c>
      <c r="P103" s="29"/>
      <c r="Q103" s="137">
        <f t="shared" si="263"/>
        <v>0</v>
      </c>
      <c r="R103" s="29"/>
      <c r="S103" s="137">
        <f t="shared" si="264"/>
        <v>0</v>
      </c>
      <c r="T103" s="29"/>
      <c r="U103" s="137">
        <f t="shared" si="265"/>
        <v>0</v>
      </c>
      <c r="V103" s="29"/>
      <c r="W103" s="137">
        <f t="shared" si="266"/>
        <v>0</v>
      </c>
      <c r="X103" s="29"/>
      <c r="Y103" s="137">
        <f t="shared" si="267"/>
        <v>0</v>
      </c>
      <c r="Z103" s="29"/>
      <c r="AA103" s="29"/>
      <c r="AB103" s="135">
        <f t="shared" si="244"/>
        <v>1</v>
      </c>
      <c r="AC103" s="29"/>
      <c r="AD103" s="29"/>
      <c r="AE103" s="137">
        <f t="shared" si="268"/>
        <v>0</v>
      </c>
      <c r="AF103" s="135">
        <f t="shared" si="246"/>
        <v>1</v>
      </c>
      <c r="AG103" s="29"/>
      <c r="AH103" s="137">
        <f t="shared" si="269"/>
        <v>0</v>
      </c>
      <c r="AI103" s="135">
        <f t="shared" si="247"/>
        <v>1</v>
      </c>
      <c r="AJ103" s="29"/>
      <c r="AK103" s="137">
        <f t="shared" si="270"/>
        <v>0</v>
      </c>
      <c r="AL103" s="135">
        <f t="shared" si="248"/>
        <v>1</v>
      </c>
      <c r="AM103" s="29"/>
      <c r="AN103" s="137">
        <f t="shared" si="271"/>
        <v>0</v>
      </c>
      <c r="AO103" s="135">
        <f t="shared" si="249"/>
        <v>1</v>
      </c>
      <c r="AP103" s="29"/>
      <c r="AQ103" s="137">
        <f t="shared" si="272"/>
        <v>0</v>
      </c>
      <c r="AR103" s="135">
        <f t="shared" si="250"/>
        <v>1</v>
      </c>
      <c r="AS103" s="29"/>
      <c r="AT103" s="137">
        <f t="shared" si="273"/>
        <v>0</v>
      </c>
      <c r="AU103" s="135">
        <f t="shared" si="251"/>
        <v>1</v>
      </c>
      <c r="AV103" s="29"/>
      <c r="AW103" s="137">
        <f t="shared" si="274"/>
        <v>0</v>
      </c>
      <c r="AX103" s="135">
        <f t="shared" si="252"/>
        <v>1</v>
      </c>
      <c r="AY103" s="29"/>
      <c r="AZ103" s="137">
        <f t="shared" si="275"/>
        <v>0</v>
      </c>
      <c r="BA103" s="135">
        <f t="shared" si="253"/>
        <v>1</v>
      </c>
      <c r="BB103" s="29"/>
      <c r="BC103" s="137">
        <f t="shared" si="276"/>
        <v>0</v>
      </c>
      <c r="BD103" s="135">
        <f t="shared" si="254"/>
        <v>1</v>
      </c>
      <c r="BE103" s="29"/>
      <c r="BF103" s="137">
        <f t="shared" si="277"/>
        <v>0</v>
      </c>
      <c r="BG103" s="135">
        <f t="shared" si="255"/>
        <v>1</v>
      </c>
      <c r="BH103" s="29"/>
      <c r="BI103" s="29"/>
      <c r="BJ103" s="29">
        <v>0</v>
      </c>
      <c r="BK103" s="135">
        <f>IF($AA$103=0,1,BJ103/$AA$103-1)</f>
        <v>1</v>
      </c>
      <c r="BL103" s="135">
        <f t="shared" si="257"/>
        <v>1</v>
      </c>
      <c r="BM103" s="167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</row>
    <row r="104" spans="1:206" s="106" customFormat="1" ht="18" customHeight="1">
      <c r="A104" s="426">
        <v>414</v>
      </c>
      <c r="B104" s="426"/>
      <c r="C104" s="29"/>
      <c r="D104" s="134">
        <f t="shared" si="286"/>
        <v>0</v>
      </c>
      <c r="E104" s="29"/>
      <c r="F104" s="29"/>
      <c r="G104" s="137">
        <f t="shared" si="258"/>
        <v>0</v>
      </c>
      <c r="H104" s="29"/>
      <c r="I104" s="137">
        <f t="shared" si="287"/>
        <v>0</v>
      </c>
      <c r="J104" s="29"/>
      <c r="K104" s="137">
        <f t="shared" si="260"/>
        <v>0</v>
      </c>
      <c r="L104" s="29"/>
      <c r="M104" s="137">
        <f t="shared" si="261"/>
        <v>0</v>
      </c>
      <c r="N104" s="29"/>
      <c r="O104" s="137">
        <f t="shared" si="262"/>
        <v>0</v>
      </c>
      <c r="P104" s="29"/>
      <c r="Q104" s="137">
        <f t="shared" si="263"/>
        <v>0</v>
      </c>
      <c r="R104" s="29"/>
      <c r="S104" s="137">
        <f t="shared" si="264"/>
        <v>0</v>
      </c>
      <c r="T104" s="29"/>
      <c r="U104" s="137">
        <f t="shared" si="265"/>
        <v>0</v>
      </c>
      <c r="V104" s="29"/>
      <c r="W104" s="137">
        <f t="shared" si="266"/>
        <v>0</v>
      </c>
      <c r="X104" s="29"/>
      <c r="Y104" s="137">
        <f t="shared" si="267"/>
        <v>0</v>
      </c>
      <c r="Z104" s="29"/>
      <c r="AA104" s="29"/>
      <c r="AB104" s="135">
        <f t="shared" si="244"/>
        <v>1</v>
      </c>
      <c r="AC104" s="29"/>
      <c r="AD104" s="29"/>
      <c r="AE104" s="137">
        <f t="shared" si="268"/>
        <v>0</v>
      </c>
      <c r="AF104" s="135">
        <f t="shared" si="246"/>
        <v>1</v>
      </c>
      <c r="AG104" s="29"/>
      <c r="AH104" s="137">
        <f t="shared" si="269"/>
        <v>0</v>
      </c>
      <c r="AI104" s="135">
        <f t="shared" si="247"/>
        <v>1</v>
      </c>
      <c r="AJ104" s="29"/>
      <c r="AK104" s="137">
        <f t="shared" si="270"/>
        <v>0</v>
      </c>
      <c r="AL104" s="135">
        <f t="shared" si="248"/>
        <v>1</v>
      </c>
      <c r="AM104" s="29"/>
      <c r="AN104" s="137">
        <f t="shared" si="271"/>
        <v>0</v>
      </c>
      <c r="AO104" s="135">
        <f t="shared" si="249"/>
        <v>1</v>
      </c>
      <c r="AP104" s="29"/>
      <c r="AQ104" s="137">
        <f t="shared" si="272"/>
        <v>0</v>
      </c>
      <c r="AR104" s="135">
        <f t="shared" si="250"/>
        <v>1</v>
      </c>
      <c r="AS104" s="29"/>
      <c r="AT104" s="137">
        <f t="shared" si="273"/>
        <v>0</v>
      </c>
      <c r="AU104" s="135">
        <f t="shared" si="251"/>
        <v>1</v>
      </c>
      <c r="AV104" s="29"/>
      <c r="AW104" s="137">
        <f t="shared" si="274"/>
        <v>0</v>
      </c>
      <c r="AX104" s="135">
        <f t="shared" si="252"/>
        <v>1</v>
      </c>
      <c r="AY104" s="29"/>
      <c r="AZ104" s="137">
        <f t="shared" si="275"/>
        <v>0</v>
      </c>
      <c r="BA104" s="135">
        <f t="shared" si="253"/>
        <v>1</v>
      </c>
      <c r="BB104" s="29"/>
      <c r="BC104" s="137">
        <f t="shared" si="276"/>
        <v>0</v>
      </c>
      <c r="BD104" s="135">
        <f t="shared" si="254"/>
        <v>1</v>
      </c>
      <c r="BE104" s="29"/>
      <c r="BF104" s="137">
        <f t="shared" si="277"/>
        <v>0</v>
      </c>
      <c r="BG104" s="135">
        <f t="shared" si="255"/>
        <v>1</v>
      </c>
      <c r="BH104" s="29"/>
      <c r="BI104" s="29"/>
      <c r="BJ104" s="29">
        <v>0</v>
      </c>
      <c r="BK104" s="135">
        <f>IF($AA$104=0,1,BJ104/$AA$104-1)</f>
        <v>1</v>
      </c>
      <c r="BL104" s="135">
        <f t="shared" si="257"/>
        <v>1</v>
      </c>
      <c r="BM104" s="167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</row>
    <row r="105" spans="1:206" s="106" customFormat="1" ht="18" customHeight="1">
      <c r="A105" s="426">
        <v>521</v>
      </c>
      <c r="B105" s="426"/>
      <c r="C105" s="29"/>
      <c r="D105" s="134">
        <f t="shared" si="286"/>
        <v>0</v>
      </c>
      <c r="E105" s="29"/>
      <c r="F105" s="29"/>
      <c r="G105" s="137">
        <f t="shared" si="258"/>
        <v>0</v>
      </c>
      <c r="H105" s="29"/>
      <c r="I105" s="137">
        <f t="shared" si="287"/>
        <v>0</v>
      </c>
      <c r="J105" s="29"/>
      <c r="K105" s="137">
        <f t="shared" si="260"/>
        <v>0</v>
      </c>
      <c r="L105" s="29"/>
      <c r="M105" s="137">
        <f t="shared" si="261"/>
        <v>0</v>
      </c>
      <c r="N105" s="29"/>
      <c r="O105" s="137">
        <f t="shared" si="262"/>
        <v>0</v>
      </c>
      <c r="P105" s="29"/>
      <c r="Q105" s="137">
        <f t="shared" si="263"/>
        <v>0</v>
      </c>
      <c r="R105" s="29"/>
      <c r="S105" s="137">
        <f t="shared" si="264"/>
        <v>0</v>
      </c>
      <c r="T105" s="29"/>
      <c r="U105" s="137">
        <f t="shared" si="265"/>
        <v>0</v>
      </c>
      <c r="V105" s="29"/>
      <c r="W105" s="137">
        <f t="shared" si="266"/>
        <v>0</v>
      </c>
      <c r="X105" s="29"/>
      <c r="Y105" s="137">
        <f t="shared" si="267"/>
        <v>0</v>
      </c>
      <c r="Z105" s="29"/>
      <c r="AA105" s="29"/>
      <c r="AB105" s="135">
        <f t="shared" si="244"/>
        <v>1</v>
      </c>
      <c r="AC105" s="29"/>
      <c r="AD105" s="29"/>
      <c r="AE105" s="137">
        <f t="shared" si="268"/>
        <v>0</v>
      </c>
      <c r="AF105" s="135">
        <f t="shared" si="246"/>
        <v>1</v>
      </c>
      <c r="AG105" s="29"/>
      <c r="AH105" s="137">
        <f t="shared" si="269"/>
        <v>0</v>
      </c>
      <c r="AI105" s="135">
        <f t="shared" si="247"/>
        <v>1</v>
      </c>
      <c r="AJ105" s="29"/>
      <c r="AK105" s="137">
        <f t="shared" si="270"/>
        <v>0</v>
      </c>
      <c r="AL105" s="135">
        <f t="shared" si="248"/>
        <v>1</v>
      </c>
      <c r="AM105" s="29"/>
      <c r="AN105" s="137">
        <f t="shared" si="271"/>
        <v>0</v>
      </c>
      <c r="AO105" s="135">
        <f t="shared" si="249"/>
        <v>1</v>
      </c>
      <c r="AP105" s="29"/>
      <c r="AQ105" s="137">
        <f t="shared" si="272"/>
        <v>0</v>
      </c>
      <c r="AR105" s="135">
        <f t="shared" si="250"/>
        <v>1</v>
      </c>
      <c r="AS105" s="29"/>
      <c r="AT105" s="137">
        <f t="shared" si="273"/>
        <v>0</v>
      </c>
      <c r="AU105" s="135">
        <f t="shared" si="251"/>
        <v>1</v>
      </c>
      <c r="AV105" s="29"/>
      <c r="AW105" s="137">
        <f t="shared" si="274"/>
        <v>0</v>
      </c>
      <c r="AX105" s="135">
        <f t="shared" si="252"/>
        <v>1</v>
      </c>
      <c r="AY105" s="29"/>
      <c r="AZ105" s="137">
        <f t="shared" si="275"/>
        <v>0</v>
      </c>
      <c r="BA105" s="135">
        <f t="shared" si="253"/>
        <v>1</v>
      </c>
      <c r="BB105" s="29"/>
      <c r="BC105" s="137">
        <f t="shared" si="276"/>
        <v>0</v>
      </c>
      <c r="BD105" s="135">
        <f t="shared" si="254"/>
        <v>1</v>
      </c>
      <c r="BE105" s="29"/>
      <c r="BF105" s="137">
        <f t="shared" si="277"/>
        <v>0</v>
      </c>
      <c r="BG105" s="135">
        <f t="shared" si="255"/>
        <v>1</v>
      </c>
      <c r="BH105" s="29"/>
      <c r="BI105" s="29"/>
      <c r="BJ105" s="29">
        <v>0</v>
      </c>
      <c r="BK105" s="135">
        <f>IF($AA$105=0,1,BJ105/$AA$105-1)</f>
        <v>1</v>
      </c>
      <c r="BL105" s="135">
        <f t="shared" si="257"/>
        <v>1</v>
      </c>
      <c r="BM105" s="167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</row>
    <row r="106" spans="1:206" s="106" customFormat="1" ht="18" customHeight="1">
      <c r="A106" s="426">
        <v>831</v>
      </c>
      <c r="B106" s="426"/>
      <c r="C106" s="29"/>
      <c r="D106" s="134">
        <f t="shared" si="286"/>
        <v>0</v>
      </c>
      <c r="E106" s="29"/>
      <c r="F106" s="29"/>
      <c r="G106" s="137">
        <f t="shared" si="258"/>
        <v>0</v>
      </c>
      <c r="H106" s="29"/>
      <c r="I106" s="137">
        <f t="shared" si="287"/>
        <v>0</v>
      </c>
      <c r="J106" s="29"/>
      <c r="K106" s="137">
        <f t="shared" si="260"/>
        <v>0</v>
      </c>
      <c r="L106" s="29"/>
      <c r="M106" s="137">
        <f t="shared" si="261"/>
        <v>0</v>
      </c>
      <c r="N106" s="29"/>
      <c r="O106" s="137">
        <f t="shared" si="262"/>
        <v>0</v>
      </c>
      <c r="P106" s="29"/>
      <c r="Q106" s="137">
        <f t="shared" si="263"/>
        <v>0</v>
      </c>
      <c r="R106" s="29"/>
      <c r="S106" s="137">
        <f t="shared" si="264"/>
        <v>0</v>
      </c>
      <c r="T106" s="29"/>
      <c r="U106" s="137">
        <f t="shared" si="265"/>
        <v>0</v>
      </c>
      <c r="V106" s="29"/>
      <c r="W106" s="137">
        <f t="shared" si="266"/>
        <v>0</v>
      </c>
      <c r="X106" s="29"/>
      <c r="Y106" s="137">
        <f t="shared" si="267"/>
        <v>0</v>
      </c>
      <c r="Z106" s="29"/>
      <c r="AA106" s="29"/>
      <c r="AB106" s="135">
        <f t="shared" si="244"/>
        <v>1</v>
      </c>
      <c r="AC106" s="29"/>
      <c r="AD106" s="29"/>
      <c r="AE106" s="137">
        <f t="shared" si="268"/>
        <v>0</v>
      </c>
      <c r="AF106" s="135">
        <f t="shared" si="246"/>
        <v>1</v>
      </c>
      <c r="AG106" s="29"/>
      <c r="AH106" s="137">
        <f t="shared" si="269"/>
        <v>0</v>
      </c>
      <c r="AI106" s="135">
        <f t="shared" si="247"/>
        <v>1</v>
      </c>
      <c r="AJ106" s="29"/>
      <c r="AK106" s="137">
        <f t="shared" si="270"/>
        <v>0</v>
      </c>
      <c r="AL106" s="135">
        <f t="shared" si="248"/>
        <v>1</v>
      </c>
      <c r="AM106" s="29"/>
      <c r="AN106" s="137">
        <f t="shared" si="271"/>
        <v>0</v>
      </c>
      <c r="AO106" s="135">
        <f t="shared" si="249"/>
        <v>1</v>
      </c>
      <c r="AP106" s="29"/>
      <c r="AQ106" s="137">
        <f t="shared" si="272"/>
        <v>0</v>
      </c>
      <c r="AR106" s="135">
        <f t="shared" si="250"/>
        <v>1</v>
      </c>
      <c r="AS106" s="29"/>
      <c r="AT106" s="137">
        <f t="shared" si="273"/>
        <v>0</v>
      </c>
      <c r="AU106" s="135">
        <f t="shared" si="251"/>
        <v>1</v>
      </c>
      <c r="AV106" s="29"/>
      <c r="AW106" s="137">
        <f t="shared" si="274"/>
        <v>0</v>
      </c>
      <c r="AX106" s="135">
        <f t="shared" si="252"/>
        <v>1</v>
      </c>
      <c r="AY106" s="29"/>
      <c r="AZ106" s="137">
        <f t="shared" si="275"/>
        <v>0</v>
      </c>
      <c r="BA106" s="135">
        <f t="shared" si="253"/>
        <v>1</v>
      </c>
      <c r="BB106" s="29"/>
      <c r="BC106" s="137">
        <f t="shared" si="276"/>
        <v>0</v>
      </c>
      <c r="BD106" s="135">
        <f t="shared" si="254"/>
        <v>1</v>
      </c>
      <c r="BE106" s="29"/>
      <c r="BF106" s="137">
        <f t="shared" si="277"/>
        <v>0</v>
      </c>
      <c r="BG106" s="135">
        <f t="shared" si="255"/>
        <v>1</v>
      </c>
      <c r="BH106" s="29"/>
      <c r="BI106" s="29"/>
      <c r="BJ106" s="29">
        <v>0</v>
      </c>
      <c r="BK106" s="135">
        <f t="shared" ref="BK106:BK112" si="288">IF($AA$105=0,1,BJ106/$AA$105-1)</f>
        <v>1</v>
      </c>
      <c r="BL106" s="135">
        <f t="shared" si="257"/>
        <v>1</v>
      </c>
      <c r="BM106" s="167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</row>
    <row r="107" spans="1:206" s="106" customFormat="1" ht="18" customHeight="1">
      <c r="A107" s="426">
        <v>851</v>
      </c>
      <c r="B107" s="426"/>
      <c r="C107" s="29"/>
      <c r="D107" s="134">
        <f t="shared" si="286"/>
        <v>0</v>
      </c>
      <c r="E107" s="29"/>
      <c r="F107" s="29"/>
      <c r="G107" s="137">
        <f t="shared" si="258"/>
        <v>0</v>
      </c>
      <c r="H107" s="29"/>
      <c r="I107" s="137">
        <f t="shared" si="287"/>
        <v>0</v>
      </c>
      <c r="J107" s="29"/>
      <c r="K107" s="137">
        <f t="shared" si="260"/>
        <v>0</v>
      </c>
      <c r="L107" s="29"/>
      <c r="M107" s="137">
        <f t="shared" si="261"/>
        <v>0</v>
      </c>
      <c r="N107" s="29"/>
      <c r="O107" s="137">
        <f t="shared" si="262"/>
        <v>0</v>
      </c>
      <c r="P107" s="29"/>
      <c r="Q107" s="137">
        <f t="shared" si="263"/>
        <v>0</v>
      </c>
      <c r="R107" s="29"/>
      <c r="S107" s="137">
        <f t="shared" si="264"/>
        <v>0</v>
      </c>
      <c r="T107" s="29"/>
      <c r="U107" s="137">
        <f t="shared" si="265"/>
        <v>0</v>
      </c>
      <c r="V107" s="29"/>
      <c r="W107" s="137">
        <f t="shared" si="266"/>
        <v>0</v>
      </c>
      <c r="X107" s="29"/>
      <c r="Y107" s="137">
        <f t="shared" si="267"/>
        <v>0</v>
      </c>
      <c r="Z107" s="29"/>
      <c r="AA107" s="29"/>
      <c r="AB107" s="135">
        <f t="shared" si="244"/>
        <v>1</v>
      </c>
      <c r="AC107" s="29"/>
      <c r="AD107" s="29"/>
      <c r="AE107" s="137">
        <f t="shared" si="268"/>
        <v>0</v>
      </c>
      <c r="AF107" s="135">
        <f t="shared" si="246"/>
        <v>1</v>
      </c>
      <c r="AG107" s="29"/>
      <c r="AH107" s="137">
        <f t="shared" si="269"/>
        <v>0</v>
      </c>
      <c r="AI107" s="135">
        <f t="shared" si="247"/>
        <v>1</v>
      </c>
      <c r="AJ107" s="29"/>
      <c r="AK107" s="137">
        <f t="shared" si="270"/>
        <v>0</v>
      </c>
      <c r="AL107" s="135">
        <f t="shared" si="248"/>
        <v>1</v>
      </c>
      <c r="AM107" s="29"/>
      <c r="AN107" s="137">
        <f t="shared" si="271"/>
        <v>0</v>
      </c>
      <c r="AO107" s="135">
        <f t="shared" si="249"/>
        <v>1</v>
      </c>
      <c r="AP107" s="29"/>
      <c r="AQ107" s="137">
        <f t="shared" si="272"/>
        <v>0</v>
      </c>
      <c r="AR107" s="135">
        <f t="shared" si="250"/>
        <v>1</v>
      </c>
      <c r="AS107" s="29"/>
      <c r="AT107" s="137">
        <f t="shared" si="273"/>
        <v>0</v>
      </c>
      <c r="AU107" s="135">
        <f t="shared" si="251"/>
        <v>1</v>
      </c>
      <c r="AV107" s="29"/>
      <c r="AW107" s="137">
        <f t="shared" si="274"/>
        <v>0</v>
      </c>
      <c r="AX107" s="135">
        <f t="shared" si="252"/>
        <v>1</v>
      </c>
      <c r="AY107" s="29"/>
      <c r="AZ107" s="137">
        <f t="shared" si="275"/>
        <v>0</v>
      </c>
      <c r="BA107" s="135">
        <f t="shared" si="253"/>
        <v>1</v>
      </c>
      <c r="BB107" s="29"/>
      <c r="BC107" s="137">
        <f t="shared" si="276"/>
        <v>0</v>
      </c>
      <c r="BD107" s="135">
        <f t="shared" si="254"/>
        <v>1</v>
      </c>
      <c r="BE107" s="29"/>
      <c r="BF107" s="137">
        <f t="shared" si="277"/>
        <v>0</v>
      </c>
      <c r="BG107" s="135">
        <f t="shared" si="255"/>
        <v>1</v>
      </c>
      <c r="BH107" s="29"/>
      <c r="BI107" s="29"/>
      <c r="BJ107" s="29">
        <v>0</v>
      </c>
      <c r="BK107" s="135">
        <f t="shared" si="288"/>
        <v>1</v>
      </c>
      <c r="BL107" s="135">
        <f t="shared" si="257"/>
        <v>1</v>
      </c>
      <c r="BM107" s="167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</row>
    <row r="108" spans="1:206" s="106" customFormat="1" ht="18" customHeight="1">
      <c r="A108" s="426">
        <v>853</v>
      </c>
      <c r="B108" s="426"/>
      <c r="C108" s="29"/>
      <c r="D108" s="134">
        <f t="shared" si="286"/>
        <v>0</v>
      </c>
      <c r="E108" s="29"/>
      <c r="F108" s="29"/>
      <c r="G108" s="137">
        <f t="shared" si="258"/>
        <v>0</v>
      </c>
      <c r="H108" s="29"/>
      <c r="I108" s="137">
        <f t="shared" si="287"/>
        <v>0</v>
      </c>
      <c r="J108" s="29"/>
      <c r="K108" s="137">
        <f t="shared" si="260"/>
        <v>0</v>
      </c>
      <c r="L108" s="29"/>
      <c r="M108" s="137">
        <f t="shared" si="261"/>
        <v>0</v>
      </c>
      <c r="N108" s="29"/>
      <c r="O108" s="137">
        <f t="shared" si="262"/>
        <v>0</v>
      </c>
      <c r="P108" s="29"/>
      <c r="Q108" s="137">
        <f t="shared" si="263"/>
        <v>0</v>
      </c>
      <c r="R108" s="29"/>
      <c r="S108" s="137">
        <f t="shared" si="264"/>
        <v>0</v>
      </c>
      <c r="T108" s="29"/>
      <c r="U108" s="137">
        <f t="shared" si="265"/>
        <v>0</v>
      </c>
      <c r="V108" s="29"/>
      <c r="W108" s="137">
        <f t="shared" si="266"/>
        <v>0</v>
      </c>
      <c r="X108" s="29"/>
      <c r="Y108" s="137">
        <f t="shared" si="267"/>
        <v>0</v>
      </c>
      <c r="Z108" s="29"/>
      <c r="AA108" s="29"/>
      <c r="AB108" s="135">
        <f t="shared" si="244"/>
        <v>1</v>
      </c>
      <c r="AC108" s="29"/>
      <c r="AD108" s="29"/>
      <c r="AE108" s="137">
        <f t="shared" si="268"/>
        <v>0</v>
      </c>
      <c r="AF108" s="135">
        <f t="shared" si="246"/>
        <v>1</v>
      </c>
      <c r="AG108" s="29"/>
      <c r="AH108" s="137">
        <f t="shared" si="269"/>
        <v>0</v>
      </c>
      <c r="AI108" s="135">
        <f t="shared" si="247"/>
        <v>1</v>
      </c>
      <c r="AJ108" s="29"/>
      <c r="AK108" s="137">
        <f t="shared" si="270"/>
        <v>0</v>
      </c>
      <c r="AL108" s="135">
        <f t="shared" si="248"/>
        <v>1</v>
      </c>
      <c r="AM108" s="29"/>
      <c r="AN108" s="137">
        <f t="shared" si="271"/>
        <v>0</v>
      </c>
      <c r="AO108" s="135">
        <f t="shared" si="249"/>
        <v>1</v>
      </c>
      <c r="AP108" s="29"/>
      <c r="AQ108" s="137">
        <f t="shared" si="272"/>
        <v>0</v>
      </c>
      <c r="AR108" s="135">
        <f t="shared" si="250"/>
        <v>1</v>
      </c>
      <c r="AS108" s="29"/>
      <c r="AT108" s="137">
        <f t="shared" si="273"/>
        <v>0</v>
      </c>
      <c r="AU108" s="135">
        <f t="shared" si="251"/>
        <v>1</v>
      </c>
      <c r="AV108" s="29"/>
      <c r="AW108" s="137">
        <f t="shared" si="274"/>
        <v>0</v>
      </c>
      <c r="AX108" s="135">
        <f t="shared" si="252"/>
        <v>1</v>
      </c>
      <c r="AY108" s="29"/>
      <c r="AZ108" s="137">
        <f t="shared" si="275"/>
        <v>0</v>
      </c>
      <c r="BA108" s="135">
        <f t="shared" si="253"/>
        <v>1</v>
      </c>
      <c r="BB108" s="29"/>
      <c r="BC108" s="137">
        <f t="shared" si="276"/>
        <v>0</v>
      </c>
      <c r="BD108" s="135">
        <f t="shared" si="254"/>
        <v>1</v>
      </c>
      <c r="BE108" s="29"/>
      <c r="BF108" s="137">
        <f t="shared" si="277"/>
        <v>0</v>
      </c>
      <c r="BG108" s="135">
        <f t="shared" si="255"/>
        <v>1</v>
      </c>
      <c r="BH108" s="29"/>
      <c r="BI108" s="29"/>
      <c r="BJ108" s="29">
        <v>0</v>
      </c>
      <c r="BK108" s="135">
        <f t="shared" si="288"/>
        <v>1</v>
      </c>
      <c r="BL108" s="135">
        <f t="shared" si="257"/>
        <v>1</v>
      </c>
      <c r="BM108" s="167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</row>
    <row r="109" spans="1:206" s="106" customFormat="1" ht="18" customHeight="1">
      <c r="A109" s="426"/>
      <c r="B109" s="426"/>
      <c r="C109" s="29"/>
      <c r="D109" s="134">
        <f t="shared" si="286"/>
        <v>0</v>
      </c>
      <c r="E109" s="29"/>
      <c r="F109" s="29"/>
      <c r="G109" s="137">
        <f t="shared" si="258"/>
        <v>0</v>
      </c>
      <c r="H109" s="29"/>
      <c r="I109" s="137">
        <f t="shared" si="287"/>
        <v>0</v>
      </c>
      <c r="J109" s="29"/>
      <c r="K109" s="137">
        <f t="shared" si="260"/>
        <v>0</v>
      </c>
      <c r="L109" s="29"/>
      <c r="M109" s="137">
        <f t="shared" si="261"/>
        <v>0</v>
      </c>
      <c r="N109" s="29"/>
      <c r="O109" s="137">
        <f t="shared" si="262"/>
        <v>0</v>
      </c>
      <c r="P109" s="29"/>
      <c r="Q109" s="137">
        <f t="shared" si="263"/>
        <v>0</v>
      </c>
      <c r="R109" s="29"/>
      <c r="S109" s="137">
        <f t="shared" si="264"/>
        <v>0</v>
      </c>
      <c r="T109" s="29"/>
      <c r="U109" s="137">
        <f t="shared" si="265"/>
        <v>0</v>
      </c>
      <c r="V109" s="29"/>
      <c r="W109" s="137">
        <f t="shared" si="266"/>
        <v>0</v>
      </c>
      <c r="X109" s="29"/>
      <c r="Y109" s="137">
        <f t="shared" si="267"/>
        <v>0</v>
      </c>
      <c r="Z109" s="29"/>
      <c r="AA109" s="29"/>
      <c r="AB109" s="135">
        <f t="shared" si="244"/>
        <v>1</v>
      </c>
      <c r="AC109" s="29"/>
      <c r="AD109" s="29"/>
      <c r="AE109" s="137">
        <f t="shared" si="268"/>
        <v>0</v>
      </c>
      <c r="AF109" s="135">
        <f t="shared" si="246"/>
        <v>1</v>
      </c>
      <c r="AG109" s="29"/>
      <c r="AH109" s="137">
        <f t="shared" si="269"/>
        <v>0</v>
      </c>
      <c r="AI109" s="135">
        <f t="shared" si="247"/>
        <v>1</v>
      </c>
      <c r="AJ109" s="29"/>
      <c r="AK109" s="137">
        <f t="shared" si="270"/>
        <v>0</v>
      </c>
      <c r="AL109" s="135">
        <f t="shared" si="248"/>
        <v>1</v>
      </c>
      <c r="AM109" s="29"/>
      <c r="AN109" s="137">
        <f t="shared" si="271"/>
        <v>0</v>
      </c>
      <c r="AO109" s="135">
        <f t="shared" si="249"/>
        <v>1</v>
      </c>
      <c r="AP109" s="29"/>
      <c r="AQ109" s="137">
        <f t="shared" si="272"/>
        <v>0</v>
      </c>
      <c r="AR109" s="135">
        <f t="shared" si="250"/>
        <v>1</v>
      </c>
      <c r="AS109" s="29"/>
      <c r="AT109" s="137">
        <f t="shared" si="273"/>
        <v>0</v>
      </c>
      <c r="AU109" s="135">
        <f t="shared" si="251"/>
        <v>1</v>
      </c>
      <c r="AV109" s="29"/>
      <c r="AW109" s="137">
        <f t="shared" si="274"/>
        <v>0</v>
      </c>
      <c r="AX109" s="135">
        <f t="shared" si="252"/>
        <v>1</v>
      </c>
      <c r="AY109" s="29"/>
      <c r="AZ109" s="137">
        <f t="shared" si="275"/>
        <v>0</v>
      </c>
      <c r="BA109" s="135">
        <f t="shared" si="253"/>
        <v>1</v>
      </c>
      <c r="BB109" s="29"/>
      <c r="BC109" s="137">
        <f t="shared" si="276"/>
        <v>0</v>
      </c>
      <c r="BD109" s="135">
        <f t="shared" si="254"/>
        <v>1</v>
      </c>
      <c r="BE109" s="29"/>
      <c r="BF109" s="137">
        <f t="shared" si="277"/>
        <v>0</v>
      </c>
      <c r="BG109" s="135">
        <f t="shared" si="255"/>
        <v>1</v>
      </c>
      <c r="BH109" s="29"/>
      <c r="BI109" s="29"/>
      <c r="BJ109" s="29">
        <v>0</v>
      </c>
      <c r="BK109" s="135">
        <f t="shared" si="288"/>
        <v>1</v>
      </c>
      <c r="BL109" s="135">
        <f t="shared" si="257"/>
        <v>1</v>
      </c>
      <c r="BM109" s="167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</row>
    <row r="110" spans="1:206" s="106" customFormat="1" ht="18" customHeight="1">
      <c r="A110" s="426"/>
      <c r="B110" s="426"/>
      <c r="C110" s="29"/>
      <c r="D110" s="134">
        <f t="shared" si="286"/>
        <v>0</v>
      </c>
      <c r="E110" s="29"/>
      <c r="F110" s="29"/>
      <c r="G110" s="137">
        <f t="shared" si="258"/>
        <v>0</v>
      </c>
      <c r="H110" s="29"/>
      <c r="I110" s="137">
        <f t="shared" si="287"/>
        <v>0</v>
      </c>
      <c r="J110" s="29"/>
      <c r="K110" s="137">
        <f t="shared" si="260"/>
        <v>0</v>
      </c>
      <c r="L110" s="29"/>
      <c r="M110" s="137">
        <f t="shared" si="261"/>
        <v>0</v>
      </c>
      <c r="N110" s="29"/>
      <c r="O110" s="137">
        <f t="shared" si="262"/>
        <v>0</v>
      </c>
      <c r="P110" s="29"/>
      <c r="Q110" s="137">
        <f t="shared" si="263"/>
        <v>0</v>
      </c>
      <c r="R110" s="29"/>
      <c r="S110" s="137">
        <f t="shared" si="264"/>
        <v>0</v>
      </c>
      <c r="T110" s="29"/>
      <c r="U110" s="137">
        <f t="shared" si="265"/>
        <v>0</v>
      </c>
      <c r="V110" s="29"/>
      <c r="W110" s="137">
        <f t="shared" si="266"/>
        <v>0</v>
      </c>
      <c r="X110" s="29"/>
      <c r="Y110" s="137">
        <f t="shared" si="267"/>
        <v>0</v>
      </c>
      <c r="Z110" s="29"/>
      <c r="AA110" s="29"/>
      <c r="AB110" s="135">
        <f t="shared" si="244"/>
        <v>1</v>
      </c>
      <c r="AC110" s="29"/>
      <c r="AD110" s="29"/>
      <c r="AE110" s="137">
        <f t="shared" si="268"/>
        <v>0</v>
      </c>
      <c r="AF110" s="135">
        <f t="shared" si="246"/>
        <v>1</v>
      </c>
      <c r="AG110" s="29"/>
      <c r="AH110" s="137">
        <f t="shared" si="269"/>
        <v>0</v>
      </c>
      <c r="AI110" s="135">
        <f t="shared" si="247"/>
        <v>1</v>
      </c>
      <c r="AJ110" s="29"/>
      <c r="AK110" s="137">
        <f t="shared" si="270"/>
        <v>0</v>
      </c>
      <c r="AL110" s="135">
        <f t="shared" si="248"/>
        <v>1</v>
      </c>
      <c r="AM110" s="29"/>
      <c r="AN110" s="137">
        <f t="shared" si="271"/>
        <v>0</v>
      </c>
      <c r="AO110" s="135">
        <f t="shared" si="249"/>
        <v>1</v>
      </c>
      <c r="AP110" s="29"/>
      <c r="AQ110" s="137">
        <f t="shared" si="272"/>
        <v>0</v>
      </c>
      <c r="AR110" s="135">
        <f t="shared" si="250"/>
        <v>1</v>
      </c>
      <c r="AS110" s="29"/>
      <c r="AT110" s="137">
        <f t="shared" si="273"/>
        <v>0</v>
      </c>
      <c r="AU110" s="135">
        <f t="shared" si="251"/>
        <v>1</v>
      </c>
      <c r="AV110" s="29"/>
      <c r="AW110" s="137">
        <f t="shared" si="274"/>
        <v>0</v>
      </c>
      <c r="AX110" s="135">
        <f t="shared" si="252"/>
        <v>1</v>
      </c>
      <c r="AY110" s="29"/>
      <c r="AZ110" s="137">
        <f t="shared" si="275"/>
        <v>0</v>
      </c>
      <c r="BA110" s="135">
        <f t="shared" si="253"/>
        <v>1</v>
      </c>
      <c r="BB110" s="29"/>
      <c r="BC110" s="137">
        <f t="shared" si="276"/>
        <v>0</v>
      </c>
      <c r="BD110" s="135">
        <f t="shared" si="254"/>
        <v>1</v>
      </c>
      <c r="BE110" s="29"/>
      <c r="BF110" s="137">
        <f t="shared" si="277"/>
        <v>0</v>
      </c>
      <c r="BG110" s="135">
        <f t="shared" si="255"/>
        <v>1</v>
      </c>
      <c r="BH110" s="29"/>
      <c r="BI110" s="29"/>
      <c r="BJ110" s="29">
        <v>0</v>
      </c>
      <c r="BK110" s="135">
        <f t="shared" si="288"/>
        <v>1</v>
      </c>
      <c r="BL110" s="135">
        <f t="shared" si="257"/>
        <v>1</v>
      </c>
      <c r="BM110" s="167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</row>
    <row r="111" spans="1:206" s="106" customFormat="1" ht="18" customHeight="1">
      <c r="A111" s="426"/>
      <c r="B111" s="426"/>
      <c r="C111" s="29"/>
      <c r="D111" s="134">
        <f t="shared" si="286"/>
        <v>0</v>
      </c>
      <c r="E111" s="29"/>
      <c r="F111" s="29"/>
      <c r="G111" s="137">
        <f t="shared" si="258"/>
        <v>0</v>
      </c>
      <c r="H111" s="29"/>
      <c r="I111" s="137">
        <f t="shared" si="287"/>
        <v>0</v>
      </c>
      <c r="J111" s="29"/>
      <c r="K111" s="137">
        <f t="shared" si="260"/>
        <v>0</v>
      </c>
      <c r="L111" s="29"/>
      <c r="M111" s="137">
        <f t="shared" si="261"/>
        <v>0</v>
      </c>
      <c r="N111" s="29"/>
      <c r="O111" s="137">
        <f t="shared" si="262"/>
        <v>0</v>
      </c>
      <c r="P111" s="29"/>
      <c r="Q111" s="137">
        <f t="shared" si="263"/>
        <v>0</v>
      </c>
      <c r="R111" s="29"/>
      <c r="S111" s="137">
        <f t="shared" si="264"/>
        <v>0</v>
      </c>
      <c r="T111" s="29"/>
      <c r="U111" s="137">
        <f t="shared" si="265"/>
        <v>0</v>
      </c>
      <c r="V111" s="29"/>
      <c r="W111" s="137">
        <f t="shared" si="266"/>
        <v>0</v>
      </c>
      <c r="X111" s="29"/>
      <c r="Y111" s="137">
        <f t="shared" si="267"/>
        <v>0</v>
      </c>
      <c r="Z111" s="29"/>
      <c r="AA111" s="29"/>
      <c r="AB111" s="135">
        <f t="shared" si="244"/>
        <v>1</v>
      </c>
      <c r="AC111" s="29"/>
      <c r="AD111" s="29"/>
      <c r="AE111" s="137">
        <f t="shared" si="268"/>
        <v>0</v>
      </c>
      <c r="AF111" s="135">
        <f t="shared" si="246"/>
        <v>1</v>
      </c>
      <c r="AG111" s="29"/>
      <c r="AH111" s="137">
        <f t="shared" si="269"/>
        <v>0</v>
      </c>
      <c r="AI111" s="135">
        <f t="shared" si="247"/>
        <v>1</v>
      </c>
      <c r="AJ111" s="29"/>
      <c r="AK111" s="137">
        <f t="shared" si="270"/>
        <v>0</v>
      </c>
      <c r="AL111" s="135">
        <f t="shared" si="248"/>
        <v>1</v>
      </c>
      <c r="AM111" s="29"/>
      <c r="AN111" s="137">
        <f t="shared" si="271"/>
        <v>0</v>
      </c>
      <c r="AO111" s="135">
        <f t="shared" si="249"/>
        <v>1</v>
      </c>
      <c r="AP111" s="29"/>
      <c r="AQ111" s="137">
        <f t="shared" si="272"/>
        <v>0</v>
      </c>
      <c r="AR111" s="135">
        <f t="shared" si="250"/>
        <v>1</v>
      </c>
      <c r="AS111" s="29"/>
      <c r="AT111" s="137">
        <f t="shared" si="273"/>
        <v>0</v>
      </c>
      <c r="AU111" s="135">
        <f t="shared" si="251"/>
        <v>1</v>
      </c>
      <c r="AV111" s="29"/>
      <c r="AW111" s="137">
        <f t="shared" si="274"/>
        <v>0</v>
      </c>
      <c r="AX111" s="135">
        <f t="shared" si="252"/>
        <v>1</v>
      </c>
      <c r="AY111" s="29"/>
      <c r="AZ111" s="137">
        <f t="shared" si="275"/>
        <v>0</v>
      </c>
      <c r="BA111" s="135">
        <f t="shared" si="253"/>
        <v>1</v>
      </c>
      <c r="BB111" s="29"/>
      <c r="BC111" s="137">
        <f t="shared" si="276"/>
        <v>0</v>
      </c>
      <c r="BD111" s="135">
        <f t="shared" si="254"/>
        <v>1</v>
      </c>
      <c r="BE111" s="29"/>
      <c r="BF111" s="137">
        <f t="shared" si="277"/>
        <v>0</v>
      </c>
      <c r="BG111" s="135">
        <f t="shared" si="255"/>
        <v>1</v>
      </c>
      <c r="BH111" s="29"/>
      <c r="BI111" s="29"/>
      <c r="BJ111" s="29">
        <v>0</v>
      </c>
      <c r="BK111" s="135">
        <f t="shared" si="288"/>
        <v>1</v>
      </c>
      <c r="BL111" s="135">
        <f t="shared" si="257"/>
        <v>1</v>
      </c>
      <c r="BM111" s="167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</row>
    <row r="112" spans="1:206" s="106" customFormat="1" ht="18" customHeight="1">
      <c r="A112" s="426"/>
      <c r="B112" s="426"/>
      <c r="C112" s="29"/>
      <c r="D112" s="134">
        <f t="shared" si="286"/>
        <v>0</v>
      </c>
      <c r="E112" s="29"/>
      <c r="F112" s="29"/>
      <c r="G112" s="137">
        <f t="shared" si="258"/>
        <v>0</v>
      </c>
      <c r="H112" s="29"/>
      <c r="I112" s="137">
        <f t="shared" si="287"/>
        <v>0</v>
      </c>
      <c r="J112" s="29"/>
      <c r="K112" s="137">
        <f t="shared" si="260"/>
        <v>0</v>
      </c>
      <c r="L112" s="29"/>
      <c r="M112" s="137">
        <f t="shared" si="261"/>
        <v>0</v>
      </c>
      <c r="N112" s="29"/>
      <c r="O112" s="137">
        <f t="shared" si="262"/>
        <v>0</v>
      </c>
      <c r="P112" s="29"/>
      <c r="Q112" s="137">
        <f t="shared" si="263"/>
        <v>0</v>
      </c>
      <c r="R112" s="29"/>
      <c r="S112" s="137">
        <f t="shared" si="264"/>
        <v>0</v>
      </c>
      <c r="T112" s="29"/>
      <c r="U112" s="137">
        <f t="shared" si="265"/>
        <v>0</v>
      </c>
      <c r="V112" s="29"/>
      <c r="W112" s="137">
        <f t="shared" si="266"/>
        <v>0</v>
      </c>
      <c r="X112" s="29"/>
      <c r="Y112" s="137">
        <f t="shared" si="267"/>
        <v>0</v>
      </c>
      <c r="Z112" s="29"/>
      <c r="AA112" s="29"/>
      <c r="AB112" s="135">
        <f t="shared" si="244"/>
        <v>1</v>
      </c>
      <c r="AC112" s="29"/>
      <c r="AD112" s="29"/>
      <c r="AE112" s="137">
        <f t="shared" si="268"/>
        <v>0</v>
      </c>
      <c r="AF112" s="135">
        <f t="shared" si="246"/>
        <v>1</v>
      </c>
      <c r="AG112" s="29"/>
      <c r="AH112" s="137">
        <f t="shared" si="269"/>
        <v>0</v>
      </c>
      <c r="AI112" s="135">
        <f t="shared" si="247"/>
        <v>1</v>
      </c>
      <c r="AJ112" s="29"/>
      <c r="AK112" s="137">
        <f t="shared" si="270"/>
        <v>0</v>
      </c>
      <c r="AL112" s="135">
        <f t="shared" si="248"/>
        <v>1</v>
      </c>
      <c r="AM112" s="29"/>
      <c r="AN112" s="137">
        <f t="shared" si="271"/>
        <v>0</v>
      </c>
      <c r="AO112" s="135">
        <f t="shared" si="249"/>
        <v>1</v>
      </c>
      <c r="AP112" s="29"/>
      <c r="AQ112" s="137">
        <f t="shared" si="272"/>
        <v>0</v>
      </c>
      <c r="AR112" s="135">
        <f t="shared" si="250"/>
        <v>1</v>
      </c>
      <c r="AS112" s="29"/>
      <c r="AT112" s="137">
        <f t="shared" si="273"/>
        <v>0</v>
      </c>
      <c r="AU112" s="135">
        <f t="shared" si="251"/>
        <v>1</v>
      </c>
      <c r="AV112" s="29"/>
      <c r="AW112" s="137">
        <f t="shared" si="274"/>
        <v>0</v>
      </c>
      <c r="AX112" s="135">
        <f t="shared" si="252"/>
        <v>1</v>
      </c>
      <c r="AY112" s="29"/>
      <c r="AZ112" s="137">
        <f t="shared" si="275"/>
        <v>0</v>
      </c>
      <c r="BA112" s="135">
        <f t="shared" si="253"/>
        <v>1</v>
      </c>
      <c r="BB112" s="29"/>
      <c r="BC112" s="137">
        <f t="shared" si="276"/>
        <v>0</v>
      </c>
      <c r="BD112" s="135">
        <f t="shared" si="254"/>
        <v>1</v>
      </c>
      <c r="BE112" s="29"/>
      <c r="BF112" s="137">
        <f t="shared" si="277"/>
        <v>0</v>
      </c>
      <c r="BG112" s="135">
        <f t="shared" si="255"/>
        <v>1</v>
      </c>
      <c r="BH112" s="29"/>
      <c r="BI112" s="29"/>
      <c r="BJ112" s="29">
        <v>0</v>
      </c>
      <c r="BK112" s="135">
        <f t="shared" si="288"/>
        <v>1</v>
      </c>
      <c r="BL112" s="135">
        <f t="shared" si="257"/>
        <v>1</v>
      </c>
      <c r="BM112" s="167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</row>
    <row r="113" spans="1:206" s="160" customFormat="1" ht="68.25" customHeight="1">
      <c r="A113" s="288"/>
      <c r="B113" s="288"/>
      <c r="C113" s="190" t="str">
        <f>BJ113</f>
        <v>на 1 января  очередного финансового года</v>
      </c>
      <c r="D113" s="190" t="str">
        <f>C113</f>
        <v>на 1 января  очередного финансового года</v>
      </c>
      <c r="E113" s="178" t="s">
        <v>69</v>
      </c>
      <c r="F113" s="178" t="s">
        <v>70</v>
      </c>
      <c r="G113" s="177" t="s">
        <v>151</v>
      </c>
      <c r="H113" s="178" t="s">
        <v>14</v>
      </c>
      <c r="I113" s="177" t="s">
        <v>151</v>
      </c>
      <c r="J113" s="178" t="s">
        <v>137</v>
      </c>
      <c r="K113" s="177" t="s">
        <v>151</v>
      </c>
      <c r="L113" s="178" t="s">
        <v>138</v>
      </c>
      <c r="M113" s="177" t="s">
        <v>151</v>
      </c>
      <c r="N113" s="178" t="s">
        <v>83</v>
      </c>
      <c r="O113" s="177" t="s">
        <v>151</v>
      </c>
      <c r="P113" s="178" t="s">
        <v>84</v>
      </c>
      <c r="Q113" s="177" t="s">
        <v>151</v>
      </c>
      <c r="R113" s="178" t="s">
        <v>85</v>
      </c>
      <c r="S113" s="177" t="s">
        <v>151</v>
      </c>
      <c r="T113" s="178" t="s">
        <v>86</v>
      </c>
      <c r="U113" s="177" t="s">
        <v>151</v>
      </c>
      <c r="V113" s="178" t="s">
        <v>87</v>
      </c>
      <c r="W113" s="177" t="s">
        <v>151</v>
      </c>
      <c r="X113" s="178" t="s">
        <v>88</v>
      </c>
      <c r="Y113" s="177" t="s">
        <v>151</v>
      </c>
      <c r="Z113" s="190" t="str">
        <f>D113</f>
        <v>на 1 января  очередного финансового года</v>
      </c>
      <c r="AA113" s="190" t="s">
        <v>71</v>
      </c>
      <c r="AB113" s="177" t="str">
        <f>AB6</f>
        <v>Темп роста (снижения) к исполнено за отчетный год, %</v>
      </c>
      <c r="AC113" s="178" t="s">
        <v>69</v>
      </c>
      <c r="AD113" s="178" t="s">
        <v>70</v>
      </c>
      <c r="AE113" s="177" t="s">
        <v>152</v>
      </c>
      <c r="AF113" s="177" t="str">
        <f>AF7</f>
        <v>Темп роста (снижения) к исполнено за отчетный год, %</v>
      </c>
      <c r="AG113" s="178" t="s">
        <v>14</v>
      </c>
      <c r="AH113" s="177" t="s">
        <v>152</v>
      </c>
      <c r="AI113" s="177" t="str">
        <f>AI7</f>
        <v>Темп роста (снижения) к исполнено за отчетный год, %</v>
      </c>
      <c r="AJ113" s="178" t="s">
        <v>81</v>
      </c>
      <c r="AK113" s="177" t="s">
        <v>152</v>
      </c>
      <c r="AL113" s="177" t="str">
        <f>AL7</f>
        <v>Темп роста (снижения) к исполнено за отчетный год, %</v>
      </c>
      <c r="AM113" s="178" t="s">
        <v>82</v>
      </c>
      <c r="AN113" s="177" t="s">
        <v>152</v>
      </c>
      <c r="AO113" s="177" t="str">
        <f>AO7</f>
        <v>Темп роста (снижения) к исполнено за отчетный год, %</v>
      </c>
      <c r="AP113" s="178" t="s">
        <v>83</v>
      </c>
      <c r="AQ113" s="177" t="s">
        <v>152</v>
      </c>
      <c r="AR113" s="177" t="str">
        <f>AR7</f>
        <v>Темп роста (снижения) к исполнено за отчетный год, %</v>
      </c>
      <c r="AS113" s="178" t="s">
        <v>84</v>
      </c>
      <c r="AT113" s="177" t="s">
        <v>152</v>
      </c>
      <c r="AU113" s="177" t="str">
        <f>AU7</f>
        <v>Темп роста (снижения) к исполнено за отчетный год, %</v>
      </c>
      <c r="AV113" s="178" t="s">
        <v>85</v>
      </c>
      <c r="AW113" s="177" t="s">
        <v>152</v>
      </c>
      <c r="AX113" s="177" t="str">
        <f>AX7</f>
        <v>Темп роста (снижения) к исполнено за отчетный год, %</v>
      </c>
      <c r="AY113" s="178" t="s">
        <v>86</v>
      </c>
      <c r="AZ113" s="177" t="s">
        <v>152</v>
      </c>
      <c r="BA113" s="177" t="str">
        <f>BA7</f>
        <v>Темп роста (снижения) к исполнено за отчетный год, %</v>
      </c>
      <c r="BB113" s="178" t="s">
        <v>87</v>
      </c>
      <c r="BC113" s="177" t="s">
        <v>152</v>
      </c>
      <c r="BD113" s="177" t="str">
        <f>BD7</f>
        <v>Темп роста (снижения) к исполнено за отчетный год, %</v>
      </c>
      <c r="BE113" s="178" t="s">
        <v>88</v>
      </c>
      <c r="BF113" s="177" t="s">
        <v>152</v>
      </c>
      <c r="BG113" s="177" t="str">
        <f>BG7</f>
        <v>Темп роста (снижения) к исполнено за отчетный год, %</v>
      </c>
      <c r="BH113" s="177" t="str">
        <f>AA113</f>
        <v>на 1 января  очередного финансового года</v>
      </c>
      <c r="BI113" s="177" t="str">
        <f>BI7</f>
        <v>Ожидаемая оценка на __________</v>
      </c>
      <c r="BJ113" s="177" t="s">
        <v>71</v>
      </c>
      <c r="BK113" s="177" t="str">
        <f>BK6</f>
        <v>Темп роста (снижения) к утверждено на текущий год, %</v>
      </c>
      <c r="BL113" s="177" t="str">
        <f>BL6</f>
        <v>Темп роста (снижения) к исполнено за отчетный год, %</v>
      </c>
      <c r="BM113" s="123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</row>
    <row r="114" spans="1:206" s="18" customFormat="1" ht="16.5">
      <c r="A114" s="421" t="s">
        <v>72</v>
      </c>
      <c r="B114" s="421"/>
      <c r="C114" s="17"/>
      <c r="D114" s="17"/>
      <c r="E114" s="17">
        <f>D114+E78+E81</f>
        <v>0</v>
      </c>
      <c r="F114" s="17">
        <f>E114+F78+F81</f>
        <v>0</v>
      </c>
      <c r="G114" s="17">
        <f>F114-$C114</f>
        <v>0</v>
      </c>
      <c r="H114" s="17">
        <f>G114+H78+H81</f>
        <v>0</v>
      </c>
      <c r="I114" s="17">
        <f>H114-$C114</f>
        <v>0</v>
      </c>
      <c r="J114" s="17">
        <f>I114+J78+J81</f>
        <v>0</v>
      </c>
      <c r="K114" s="17">
        <f>J114-$C114</f>
        <v>0</v>
      </c>
      <c r="L114" s="17">
        <f>K114+L78+L81</f>
        <v>0</v>
      </c>
      <c r="M114" s="17">
        <f>L114-$C114</f>
        <v>0</v>
      </c>
      <c r="N114" s="17">
        <f>M114+N78+N81</f>
        <v>0</v>
      </c>
      <c r="O114" s="17">
        <f>N114-$C114</f>
        <v>0</v>
      </c>
      <c r="P114" s="17">
        <f>O114+P78+P81</f>
        <v>0</v>
      </c>
      <c r="Q114" s="17">
        <f>P114-$C114</f>
        <v>0</v>
      </c>
      <c r="R114" s="17">
        <f>Q114+R78+R81</f>
        <v>0</v>
      </c>
      <c r="S114" s="17">
        <f>R114-$C114</f>
        <v>0</v>
      </c>
      <c r="T114" s="17">
        <f>S114+T78+T81</f>
        <v>0</v>
      </c>
      <c r="U114" s="17">
        <f>T114-$C114</f>
        <v>0</v>
      </c>
      <c r="V114" s="17">
        <f>U114+V78+V81</f>
        <v>0</v>
      </c>
      <c r="W114" s="17">
        <f>V114-$C114</f>
        <v>0</v>
      </c>
      <c r="X114" s="17">
        <f>W114+X78+X81</f>
        <v>0</v>
      </c>
      <c r="Y114" s="17">
        <f>X114-$C114</f>
        <v>0</v>
      </c>
      <c r="Z114" s="17">
        <f>Y114+Z78+Z81</f>
        <v>0</v>
      </c>
      <c r="AA114" s="17"/>
      <c r="AB114" s="131">
        <f>IF(D114=0,1,AA114/D114-1)</f>
        <v>1</v>
      </c>
      <c r="AC114" s="17">
        <f>D114+AC78-AC81</f>
        <v>0</v>
      </c>
      <c r="AD114" s="17">
        <f>AC114+AD78+AD81</f>
        <v>0</v>
      </c>
      <c r="AE114" s="17">
        <f>AD114-$D114</f>
        <v>0</v>
      </c>
      <c r="AF114" s="131">
        <f>IF(B114=0,1,AE114/B114-1)</f>
        <v>1</v>
      </c>
      <c r="AG114" s="17">
        <f>AE114+AG78+AG81</f>
        <v>0</v>
      </c>
      <c r="AH114" s="17">
        <f>AG114-$D114</f>
        <v>0</v>
      </c>
      <c r="AI114" s="131">
        <f>IF(E114=0,1,AH114/E114-1)</f>
        <v>1</v>
      </c>
      <c r="AJ114" s="17">
        <f>AH114+AJ78+AJ81</f>
        <v>0</v>
      </c>
      <c r="AK114" s="17">
        <f>AJ114-$D114</f>
        <v>0</v>
      </c>
      <c r="AL114" s="131">
        <f>IF(H114=0,1,AK114/H114-1)</f>
        <v>1</v>
      </c>
      <c r="AM114" s="17">
        <f>AK114+AM78+AM81</f>
        <v>0</v>
      </c>
      <c r="AN114" s="17">
        <f>AM114-$D114</f>
        <v>0</v>
      </c>
      <c r="AO114" s="131">
        <f>IF(K114=0,1,AN114/K114-1)</f>
        <v>1</v>
      </c>
      <c r="AP114" s="17">
        <f>AN114+AP78+AP81</f>
        <v>0</v>
      </c>
      <c r="AQ114" s="17">
        <f>AP114-$D114</f>
        <v>0</v>
      </c>
      <c r="AR114" s="131">
        <f>IF(N114=0,1,AQ114/N114-1)</f>
        <v>1</v>
      </c>
      <c r="AS114" s="17">
        <f>AQ114+AS78+AS81</f>
        <v>0</v>
      </c>
      <c r="AT114" s="17">
        <f>AS114-$D114</f>
        <v>0</v>
      </c>
      <c r="AU114" s="131">
        <f>IF(Q114=0,1,AT114/Q114-1)</f>
        <v>1</v>
      </c>
      <c r="AV114" s="17">
        <f>AT114+AV78+AV81</f>
        <v>0</v>
      </c>
      <c r="AW114" s="17">
        <f>AV114-$D114</f>
        <v>0</v>
      </c>
      <c r="AX114" s="131">
        <f>IF(T114=0,1,AW114/T114-1)</f>
        <v>1</v>
      </c>
      <c r="AY114" s="17">
        <f>AW114+AY78+AY81</f>
        <v>0</v>
      </c>
      <c r="AZ114" s="17">
        <f>AY114-$D114</f>
        <v>0</v>
      </c>
      <c r="BA114" s="131">
        <f>IF(W114=0,1,AZ114/W114-1)</f>
        <v>1</v>
      </c>
      <c r="BB114" s="17">
        <f>AZ114+BB78+BB81</f>
        <v>0</v>
      </c>
      <c r="BC114" s="17">
        <f>BB114-$D114</f>
        <v>0</v>
      </c>
      <c r="BD114" s="131">
        <f>IF(Z114=0,1,BC114/Z114-1)</f>
        <v>1</v>
      </c>
      <c r="BE114" s="17">
        <f>BC114+BE78+BE81</f>
        <v>0</v>
      </c>
      <c r="BF114" s="17">
        <f>BE114-$D114</f>
        <v>0</v>
      </c>
      <c r="BG114" s="131">
        <f>IF(AC114=0,1,BF114/AC114-1)</f>
        <v>1</v>
      </c>
      <c r="BH114" s="17">
        <f>BF114+BH78+BH81</f>
        <v>0</v>
      </c>
      <c r="BI114" s="17"/>
      <c r="BJ114" s="17">
        <f>D114+BJ78+BJ81</f>
        <v>0</v>
      </c>
      <c r="BK114" s="131">
        <f>IF($AA$87=0,1,BJ114/$AA$87-1)</f>
        <v>1</v>
      </c>
      <c r="BL114" s="131">
        <f>IF($D114=0,1,BJ114/$D114-1)</f>
        <v>1</v>
      </c>
      <c r="BM114" s="170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</row>
    <row r="115" spans="1:206" s="150" customFormat="1" ht="15.75" customHeight="1">
      <c r="A115" s="283" t="s">
        <v>73</v>
      </c>
      <c r="B115" s="284"/>
      <c r="C115" s="29"/>
      <c r="D115" s="134">
        <f t="shared" ref="D115:D117" si="289">E115+F115+H115+J115+L115+N115+P115+R115+T115+V115+X115+Z115</f>
        <v>0</v>
      </c>
      <c r="E115" s="29"/>
      <c r="F115" s="29"/>
      <c r="G115" s="137">
        <f>F115-$C115</f>
        <v>0</v>
      </c>
      <c r="H115" s="29"/>
      <c r="I115" s="137">
        <f>H115-$C115</f>
        <v>0</v>
      </c>
      <c r="J115" s="29"/>
      <c r="K115" s="137">
        <f>J115-$C115</f>
        <v>0</v>
      </c>
      <c r="L115" s="29"/>
      <c r="M115" s="137">
        <f>L115-$C115</f>
        <v>0</v>
      </c>
      <c r="N115" s="29"/>
      <c r="O115" s="137">
        <f>N115-$C115</f>
        <v>0</v>
      </c>
      <c r="P115" s="29"/>
      <c r="Q115" s="137">
        <f>P115-$C115</f>
        <v>0</v>
      </c>
      <c r="R115" s="29"/>
      <c r="S115" s="137">
        <f>R115-$C115</f>
        <v>0</v>
      </c>
      <c r="T115" s="29"/>
      <c r="U115" s="137">
        <f>T115-$C115</f>
        <v>0</v>
      </c>
      <c r="V115" s="29"/>
      <c r="W115" s="137">
        <f>V115-$C115</f>
        <v>0</v>
      </c>
      <c r="X115" s="29"/>
      <c r="Y115" s="137">
        <f>X115-$C115</f>
        <v>0</v>
      </c>
      <c r="Z115" s="29"/>
      <c r="AA115" s="29"/>
      <c r="AB115" s="135">
        <f t="shared" ref="AB115:AB117" si="290">IF(D115=0,1,AA115/D115-1)</f>
        <v>1</v>
      </c>
      <c r="AC115" s="29"/>
      <c r="AD115" s="29"/>
      <c r="AE115" s="29">
        <f>AD115-$D115</f>
        <v>0</v>
      </c>
      <c r="AF115" s="135">
        <f t="shared" ref="AF115:AF117" si="291">IF(B115=0,1,AE115/B115-1)</f>
        <v>1</v>
      </c>
      <c r="AG115" s="29"/>
      <c r="AH115" s="29">
        <f>AG115-$D115</f>
        <v>0</v>
      </c>
      <c r="AI115" s="135">
        <f t="shared" ref="AI115:AI117" si="292">IF(E115=0,1,AH115/E115-1)</f>
        <v>1</v>
      </c>
      <c r="AJ115" s="29"/>
      <c r="AK115" s="29">
        <f>AJ115-$D115</f>
        <v>0</v>
      </c>
      <c r="AL115" s="135">
        <f t="shared" ref="AL115:AL117" si="293">IF(H115=0,1,AK115/H115-1)</f>
        <v>1</v>
      </c>
      <c r="AM115" s="29"/>
      <c r="AN115" s="29">
        <f>AM115-$D115</f>
        <v>0</v>
      </c>
      <c r="AO115" s="135">
        <f t="shared" ref="AO115:AO117" si="294">IF(K115=0,1,AN115/K115-1)</f>
        <v>1</v>
      </c>
      <c r="AP115" s="29"/>
      <c r="AQ115" s="29">
        <f>AP115-$D115</f>
        <v>0</v>
      </c>
      <c r="AR115" s="135">
        <f t="shared" ref="AR115:AR117" si="295">IF(N115=0,1,AQ115/N115-1)</f>
        <v>1</v>
      </c>
      <c r="AS115" s="29"/>
      <c r="AT115" s="29">
        <f>AS115-$D115</f>
        <v>0</v>
      </c>
      <c r="AU115" s="135">
        <f t="shared" ref="AU115:AU117" si="296">IF(Q115=0,1,AT115/Q115-1)</f>
        <v>1</v>
      </c>
      <c r="AV115" s="29"/>
      <c r="AW115" s="29">
        <f>AV115-$D115</f>
        <v>0</v>
      </c>
      <c r="AX115" s="135">
        <f t="shared" ref="AX115:AX117" si="297">IF(T115=0,1,AW115/T115-1)</f>
        <v>1</v>
      </c>
      <c r="AY115" s="29"/>
      <c r="AZ115" s="29">
        <f>AY115-$D115</f>
        <v>0</v>
      </c>
      <c r="BA115" s="135">
        <f t="shared" ref="BA115:BA117" si="298">IF(W115=0,1,AZ115/W115-1)</f>
        <v>1</v>
      </c>
      <c r="BB115" s="29"/>
      <c r="BC115" s="29">
        <f>BB115-$D115</f>
        <v>0</v>
      </c>
      <c r="BD115" s="135">
        <f t="shared" ref="BD115:BD117" si="299">IF(Z115=0,1,BC115/Z115-1)</f>
        <v>1</v>
      </c>
      <c r="BE115" s="29"/>
      <c r="BF115" s="29">
        <f>BE115-$D115</f>
        <v>0</v>
      </c>
      <c r="BG115" s="135">
        <f t="shared" ref="BG115:BG117" si="300">IF(AC115=0,1,BF115/AC115-1)</f>
        <v>1</v>
      </c>
      <c r="BH115" s="29"/>
      <c r="BI115" s="137"/>
      <c r="BJ115" s="137"/>
      <c r="BK115" s="135">
        <f t="shared" ref="BK115:BK117" si="301">IF($AA$80=0,1,BJ115/$AA$80-1)</f>
        <v>1</v>
      </c>
      <c r="BL115" s="135">
        <f t="shared" ref="BL115:BL117" si="302">IF($D115=0,1,BJ115/$D115-1)</f>
        <v>1</v>
      </c>
      <c r="BM115" s="121"/>
      <c r="BN115" s="149"/>
      <c r="BO115" s="149"/>
      <c r="BP115" s="149"/>
      <c r="BQ115" s="149"/>
      <c r="BR115" s="149"/>
      <c r="BS115" s="149"/>
      <c r="BT115" s="149"/>
      <c r="BU115" s="149"/>
      <c r="BV115" s="149"/>
      <c r="BW115" s="149"/>
      <c r="BX115" s="149"/>
      <c r="BY115" s="149"/>
      <c r="BZ115" s="149"/>
      <c r="CA115" s="149"/>
      <c r="CB115" s="149"/>
      <c r="CC115" s="149"/>
      <c r="CD115" s="149"/>
      <c r="CE115" s="149"/>
      <c r="CF115" s="149"/>
      <c r="CG115" s="149"/>
      <c r="CH115" s="149"/>
      <c r="CI115" s="149"/>
      <c r="CJ115" s="149"/>
      <c r="CK115" s="149"/>
      <c r="CL115" s="149"/>
      <c r="CM115" s="149"/>
      <c r="CN115" s="149"/>
      <c r="CO115" s="149"/>
      <c r="CP115" s="149"/>
      <c r="CQ115" s="149"/>
      <c r="CR115" s="149"/>
      <c r="CS115" s="149"/>
      <c r="CT115" s="149"/>
      <c r="CU115" s="149"/>
      <c r="CV115" s="149"/>
      <c r="CW115" s="149"/>
      <c r="CX115" s="149"/>
      <c r="CY115" s="149"/>
      <c r="CZ115" s="149"/>
      <c r="DA115" s="149"/>
      <c r="DB115" s="149"/>
      <c r="DC115" s="149"/>
      <c r="DD115" s="149"/>
      <c r="DE115" s="149"/>
      <c r="DF115" s="149"/>
      <c r="DG115" s="149"/>
      <c r="DH115" s="149"/>
      <c r="DI115" s="149"/>
      <c r="DJ115" s="149"/>
      <c r="DK115" s="149"/>
      <c r="DL115" s="149"/>
      <c r="DM115" s="149"/>
      <c r="DN115" s="149"/>
      <c r="DO115" s="149"/>
      <c r="DP115" s="149"/>
      <c r="DQ115" s="149"/>
      <c r="DR115" s="149"/>
      <c r="DS115" s="149"/>
      <c r="DT115" s="149"/>
      <c r="DU115" s="149"/>
      <c r="DV115" s="149"/>
      <c r="DW115" s="149"/>
      <c r="DX115" s="149"/>
      <c r="DY115" s="149"/>
      <c r="DZ115" s="149"/>
      <c r="EA115" s="149"/>
      <c r="EB115" s="149"/>
      <c r="EC115" s="149"/>
      <c r="ED115" s="149"/>
      <c r="EE115" s="149"/>
      <c r="EF115" s="149"/>
      <c r="EG115" s="149"/>
      <c r="EH115" s="149"/>
      <c r="EI115" s="149"/>
      <c r="EJ115" s="149"/>
      <c r="EK115" s="149"/>
      <c r="EL115" s="149"/>
      <c r="EM115" s="149"/>
      <c r="EN115" s="149"/>
      <c r="EO115" s="149"/>
      <c r="EP115" s="149"/>
      <c r="EQ115" s="149"/>
      <c r="ER115" s="149"/>
      <c r="ES115" s="149"/>
      <c r="ET115" s="149"/>
      <c r="EU115" s="149"/>
      <c r="EV115" s="149"/>
      <c r="EW115" s="149"/>
      <c r="EX115" s="149"/>
      <c r="EY115" s="149"/>
      <c r="EZ115" s="149"/>
      <c r="FA115" s="149"/>
      <c r="FB115" s="149"/>
      <c r="FC115" s="149"/>
      <c r="FD115" s="149"/>
      <c r="FE115" s="149"/>
      <c r="FF115" s="149"/>
      <c r="FG115" s="149"/>
      <c r="FH115" s="149"/>
      <c r="FI115" s="149"/>
      <c r="FJ115" s="149"/>
      <c r="FK115" s="149"/>
      <c r="FL115" s="149"/>
      <c r="FM115" s="149"/>
      <c r="FN115" s="149"/>
      <c r="FO115" s="149"/>
      <c r="FP115" s="149"/>
      <c r="FQ115" s="149"/>
      <c r="FR115" s="149"/>
      <c r="FS115" s="149"/>
      <c r="FT115" s="149"/>
      <c r="FU115" s="149"/>
      <c r="FV115" s="149"/>
      <c r="FW115" s="149"/>
      <c r="FX115" s="149"/>
      <c r="FY115" s="149"/>
      <c r="FZ115" s="149"/>
      <c r="GA115" s="149"/>
      <c r="GB115" s="149"/>
      <c r="GC115" s="149"/>
      <c r="GD115" s="149"/>
      <c r="GE115" s="149"/>
      <c r="GF115" s="149"/>
      <c r="GG115" s="149"/>
      <c r="GH115" s="149"/>
      <c r="GI115" s="149"/>
      <c r="GJ115" s="149"/>
      <c r="GK115" s="149"/>
      <c r="GL115" s="149"/>
      <c r="GM115" s="149"/>
      <c r="GN115" s="149"/>
      <c r="GO115" s="149"/>
      <c r="GP115" s="149"/>
      <c r="GQ115" s="149"/>
      <c r="GR115" s="149"/>
      <c r="GS115" s="149"/>
      <c r="GT115" s="149"/>
      <c r="GU115" s="149"/>
      <c r="GV115" s="149"/>
      <c r="GW115" s="149"/>
      <c r="GX115" s="149"/>
    </row>
    <row r="116" spans="1:206" s="85" customFormat="1" ht="36.75" customHeight="1">
      <c r="A116" s="279" t="s">
        <v>74</v>
      </c>
      <c r="B116" s="280"/>
      <c r="C116" s="29"/>
      <c r="D116" s="134">
        <f t="shared" si="289"/>
        <v>0</v>
      </c>
      <c r="E116" s="29"/>
      <c r="F116" s="29"/>
      <c r="G116" s="137">
        <f t="shared" ref="G116:G117" si="303">F116-$C116</f>
        <v>0</v>
      </c>
      <c r="H116" s="29"/>
      <c r="I116" s="137">
        <f t="shared" ref="I116:K117" si="304">H116-$C116</f>
        <v>0</v>
      </c>
      <c r="J116" s="29"/>
      <c r="K116" s="137">
        <f t="shared" si="304"/>
        <v>0</v>
      </c>
      <c r="L116" s="29"/>
      <c r="M116" s="137">
        <f t="shared" ref="M116" si="305">L116-$C116</f>
        <v>0</v>
      </c>
      <c r="N116" s="29"/>
      <c r="O116" s="137">
        <f t="shared" ref="O116" si="306">N116-$C116</f>
        <v>0</v>
      </c>
      <c r="P116" s="29"/>
      <c r="Q116" s="137">
        <f t="shared" ref="Q116" si="307">P116-$C116</f>
        <v>0</v>
      </c>
      <c r="R116" s="29"/>
      <c r="S116" s="137">
        <f t="shared" ref="S116" si="308">R116-$C116</f>
        <v>0</v>
      </c>
      <c r="T116" s="29"/>
      <c r="U116" s="137">
        <f t="shared" ref="U116" si="309">T116-$C116</f>
        <v>0</v>
      </c>
      <c r="V116" s="29"/>
      <c r="W116" s="137">
        <f t="shared" ref="W116" si="310">V116-$C116</f>
        <v>0</v>
      </c>
      <c r="X116" s="29"/>
      <c r="Y116" s="137">
        <f t="shared" ref="Y116" si="311">X116-$C116</f>
        <v>0</v>
      </c>
      <c r="Z116" s="29"/>
      <c r="AA116" s="29"/>
      <c r="AB116" s="135">
        <f t="shared" si="290"/>
        <v>1</v>
      </c>
      <c r="AC116" s="29"/>
      <c r="AD116" s="29"/>
      <c r="AE116" s="29">
        <f t="shared" ref="AE116:AE117" si="312">AD116-$D116</f>
        <v>0</v>
      </c>
      <c r="AF116" s="135">
        <f t="shared" si="291"/>
        <v>1</v>
      </c>
      <c r="AG116" s="29"/>
      <c r="AH116" s="29">
        <f t="shared" ref="AH116:AH117" si="313">AG116-$D116</f>
        <v>0</v>
      </c>
      <c r="AI116" s="135">
        <f t="shared" si="292"/>
        <v>1</v>
      </c>
      <c r="AJ116" s="29"/>
      <c r="AK116" s="29">
        <f t="shared" ref="AK116:AK117" si="314">AJ116-$D116</f>
        <v>0</v>
      </c>
      <c r="AL116" s="135">
        <f t="shared" si="293"/>
        <v>1</v>
      </c>
      <c r="AM116" s="29"/>
      <c r="AN116" s="29">
        <f t="shared" ref="AN116:AN117" si="315">AM116-$D116</f>
        <v>0</v>
      </c>
      <c r="AO116" s="135">
        <f t="shared" si="294"/>
        <v>1</v>
      </c>
      <c r="AP116" s="29"/>
      <c r="AQ116" s="29">
        <f t="shared" ref="AQ116:AQ117" si="316">AP116-$D116</f>
        <v>0</v>
      </c>
      <c r="AR116" s="135">
        <f t="shared" si="295"/>
        <v>1</v>
      </c>
      <c r="AS116" s="29"/>
      <c r="AT116" s="29">
        <f t="shared" ref="AT116:AT117" si="317">AS116-$D116</f>
        <v>0</v>
      </c>
      <c r="AU116" s="135">
        <f t="shared" si="296"/>
        <v>1</v>
      </c>
      <c r="AV116" s="29"/>
      <c r="AW116" s="29">
        <f t="shared" ref="AW116:AW117" si="318">AV116-$D116</f>
        <v>0</v>
      </c>
      <c r="AX116" s="135">
        <f t="shared" si="297"/>
        <v>1</v>
      </c>
      <c r="AY116" s="29"/>
      <c r="AZ116" s="29">
        <f t="shared" ref="AZ116:AZ117" si="319">AY116-$D116</f>
        <v>0</v>
      </c>
      <c r="BA116" s="135">
        <f t="shared" si="298"/>
        <v>1</v>
      </c>
      <c r="BB116" s="29"/>
      <c r="BC116" s="29">
        <f t="shared" ref="BC116:BC117" si="320">BB116-$D116</f>
        <v>0</v>
      </c>
      <c r="BD116" s="135">
        <f t="shared" si="299"/>
        <v>1</v>
      </c>
      <c r="BE116" s="29"/>
      <c r="BF116" s="29">
        <f t="shared" ref="BF116:BF117" si="321">BE116-$D116</f>
        <v>0</v>
      </c>
      <c r="BG116" s="135">
        <f t="shared" si="300"/>
        <v>1</v>
      </c>
      <c r="BH116" s="29"/>
      <c r="BI116" s="137"/>
      <c r="BJ116" s="137"/>
      <c r="BK116" s="135">
        <f t="shared" si="301"/>
        <v>1</v>
      </c>
      <c r="BL116" s="135">
        <f t="shared" si="302"/>
        <v>1</v>
      </c>
      <c r="BM116" s="168"/>
      <c r="BN116" s="86"/>
      <c r="BO116" s="86"/>
      <c r="BP116" s="86"/>
      <c r="BQ116" s="86"/>
      <c r="BR116" s="86"/>
      <c r="BS116" s="86"/>
      <c r="BT116" s="86"/>
      <c r="BU116" s="86"/>
      <c r="BV116" s="86"/>
      <c r="BW116" s="86"/>
      <c r="BX116" s="86"/>
      <c r="BY116" s="86"/>
      <c r="BZ116" s="86"/>
      <c r="CA116" s="86"/>
      <c r="CB116" s="86"/>
      <c r="CC116" s="86"/>
      <c r="CD116" s="86"/>
      <c r="CE116" s="86"/>
      <c r="CF116" s="86"/>
      <c r="CG116" s="86"/>
      <c r="CH116" s="86"/>
      <c r="CI116" s="86"/>
      <c r="CJ116" s="86"/>
      <c r="CK116" s="86"/>
      <c r="CL116" s="86"/>
      <c r="CM116" s="86"/>
      <c r="CN116" s="86"/>
      <c r="CO116" s="86"/>
      <c r="CP116" s="86"/>
      <c r="CQ116" s="86"/>
      <c r="CR116" s="86"/>
      <c r="CS116" s="86"/>
      <c r="CT116" s="86"/>
      <c r="CU116" s="86"/>
      <c r="CV116" s="86"/>
      <c r="CW116" s="86"/>
      <c r="CX116" s="86"/>
      <c r="CY116" s="86"/>
      <c r="CZ116" s="86"/>
      <c r="DA116" s="86"/>
      <c r="DB116" s="86"/>
      <c r="DC116" s="86"/>
      <c r="DD116" s="86"/>
      <c r="DE116" s="86"/>
      <c r="DF116" s="86"/>
      <c r="DG116" s="86"/>
      <c r="DH116" s="86"/>
      <c r="DI116" s="86"/>
      <c r="DJ116" s="86"/>
      <c r="DK116" s="86"/>
      <c r="DL116" s="86"/>
      <c r="DM116" s="86"/>
      <c r="DN116" s="86"/>
      <c r="DO116" s="86"/>
      <c r="DP116" s="86"/>
      <c r="DQ116" s="86"/>
      <c r="DR116" s="86"/>
      <c r="DS116" s="86"/>
      <c r="DT116" s="86"/>
      <c r="DU116" s="86"/>
      <c r="DV116" s="86"/>
      <c r="DW116" s="86"/>
      <c r="DX116" s="86"/>
      <c r="DY116" s="86"/>
      <c r="DZ116" s="86"/>
      <c r="EA116" s="86"/>
      <c r="EB116" s="86"/>
      <c r="EC116" s="86"/>
      <c r="ED116" s="86"/>
      <c r="EE116" s="86"/>
      <c r="EF116" s="86"/>
      <c r="EG116" s="86"/>
      <c r="EH116" s="86"/>
      <c r="EI116" s="86"/>
      <c r="EJ116" s="86"/>
      <c r="EK116" s="86"/>
      <c r="EL116" s="86"/>
      <c r="EM116" s="86"/>
      <c r="EN116" s="86"/>
      <c r="EO116" s="86"/>
      <c r="EP116" s="86"/>
      <c r="EQ116" s="86"/>
      <c r="ER116" s="86"/>
      <c r="ES116" s="86"/>
      <c r="ET116" s="86"/>
      <c r="EU116" s="86"/>
      <c r="EV116" s="86"/>
      <c r="EW116" s="86"/>
      <c r="EX116" s="86"/>
      <c r="EY116" s="86"/>
      <c r="EZ116" s="86"/>
      <c r="FA116" s="86"/>
      <c r="FB116" s="86"/>
      <c r="FC116" s="86"/>
      <c r="FD116" s="86"/>
      <c r="FE116" s="86"/>
      <c r="FF116" s="86"/>
      <c r="FG116" s="86"/>
      <c r="FH116" s="86"/>
      <c r="FI116" s="86"/>
      <c r="FJ116" s="86"/>
      <c r="FK116" s="86"/>
      <c r="FL116" s="86"/>
      <c r="FM116" s="86"/>
      <c r="FN116" s="86"/>
      <c r="FO116" s="86"/>
      <c r="FP116" s="86"/>
      <c r="FQ116" s="86"/>
      <c r="FR116" s="86"/>
      <c r="FS116" s="86"/>
      <c r="FT116" s="86"/>
      <c r="FU116" s="86"/>
      <c r="FV116" s="86"/>
      <c r="FW116" s="86"/>
      <c r="FX116" s="86"/>
      <c r="FY116" s="86"/>
      <c r="FZ116" s="86"/>
      <c r="GA116" s="86"/>
      <c r="GB116" s="86"/>
      <c r="GC116" s="86"/>
      <c r="GD116" s="86"/>
      <c r="GE116" s="86"/>
      <c r="GF116" s="86"/>
      <c r="GG116" s="86"/>
      <c r="GH116" s="86"/>
      <c r="GI116" s="86"/>
      <c r="GJ116" s="86"/>
      <c r="GK116" s="86"/>
      <c r="GL116" s="86"/>
      <c r="GM116" s="86"/>
      <c r="GN116" s="86"/>
      <c r="GO116" s="86"/>
      <c r="GP116" s="86"/>
      <c r="GQ116" s="86"/>
      <c r="GR116" s="86"/>
      <c r="GS116" s="86"/>
      <c r="GT116" s="86"/>
      <c r="GU116" s="86"/>
      <c r="GV116" s="86"/>
      <c r="GW116" s="86"/>
      <c r="GX116" s="86"/>
    </row>
    <row r="117" spans="1:206" s="66" customFormat="1" ht="16.5">
      <c r="A117" s="277" t="s">
        <v>75</v>
      </c>
      <c r="B117" s="278"/>
      <c r="C117" s="29"/>
      <c r="D117" s="134">
        <f t="shared" si="289"/>
        <v>0</v>
      </c>
      <c r="E117" s="29"/>
      <c r="F117" s="29"/>
      <c r="G117" s="137">
        <f t="shared" si="303"/>
        <v>0</v>
      </c>
      <c r="H117" s="29"/>
      <c r="I117" s="137">
        <f t="shared" si="304"/>
        <v>0</v>
      </c>
      <c r="J117" s="29"/>
      <c r="K117" s="137">
        <f t="shared" si="304"/>
        <v>0</v>
      </c>
      <c r="L117" s="29"/>
      <c r="M117" s="137">
        <f t="shared" ref="M117" si="322">L117-$C117</f>
        <v>0</v>
      </c>
      <c r="N117" s="29"/>
      <c r="O117" s="137">
        <f t="shared" ref="O117" si="323">N117-$C117</f>
        <v>0</v>
      </c>
      <c r="P117" s="29"/>
      <c r="Q117" s="137">
        <f t="shared" ref="Q117" si="324">P117-$C117</f>
        <v>0</v>
      </c>
      <c r="R117" s="29"/>
      <c r="S117" s="137">
        <f t="shared" ref="S117" si="325">R117-$C117</f>
        <v>0</v>
      </c>
      <c r="T117" s="29"/>
      <c r="U117" s="137">
        <f t="shared" ref="U117" si="326">T117-$C117</f>
        <v>0</v>
      </c>
      <c r="V117" s="29"/>
      <c r="W117" s="137">
        <f t="shared" ref="W117" si="327">V117-$C117</f>
        <v>0</v>
      </c>
      <c r="X117" s="29"/>
      <c r="Y117" s="137">
        <f t="shared" ref="Y117" si="328">X117-$C117</f>
        <v>0</v>
      </c>
      <c r="Z117" s="29"/>
      <c r="AA117" s="29"/>
      <c r="AB117" s="135">
        <f t="shared" si="290"/>
        <v>1</v>
      </c>
      <c r="AC117" s="29"/>
      <c r="AD117" s="29"/>
      <c r="AE117" s="29">
        <f t="shared" si="312"/>
        <v>0</v>
      </c>
      <c r="AF117" s="135">
        <f t="shared" si="291"/>
        <v>1</v>
      </c>
      <c r="AG117" s="29"/>
      <c r="AH117" s="29">
        <f t="shared" si="313"/>
        <v>0</v>
      </c>
      <c r="AI117" s="135">
        <f t="shared" si="292"/>
        <v>1</v>
      </c>
      <c r="AJ117" s="29"/>
      <c r="AK117" s="29">
        <f t="shared" si="314"/>
        <v>0</v>
      </c>
      <c r="AL117" s="135">
        <f t="shared" si="293"/>
        <v>1</v>
      </c>
      <c r="AM117" s="29"/>
      <c r="AN117" s="29">
        <f t="shared" si="315"/>
        <v>0</v>
      </c>
      <c r="AO117" s="135">
        <f t="shared" si="294"/>
        <v>1</v>
      </c>
      <c r="AP117" s="29"/>
      <c r="AQ117" s="29">
        <f t="shared" si="316"/>
        <v>0</v>
      </c>
      <c r="AR117" s="135">
        <f t="shared" si="295"/>
        <v>1</v>
      </c>
      <c r="AS117" s="29"/>
      <c r="AT117" s="29">
        <f t="shared" si="317"/>
        <v>0</v>
      </c>
      <c r="AU117" s="135">
        <f t="shared" si="296"/>
        <v>1</v>
      </c>
      <c r="AV117" s="29"/>
      <c r="AW117" s="29">
        <f t="shared" si="318"/>
        <v>0</v>
      </c>
      <c r="AX117" s="135">
        <f t="shared" si="297"/>
        <v>1</v>
      </c>
      <c r="AY117" s="29"/>
      <c r="AZ117" s="29">
        <f t="shared" si="319"/>
        <v>0</v>
      </c>
      <c r="BA117" s="135">
        <f t="shared" si="298"/>
        <v>1</v>
      </c>
      <c r="BB117" s="29"/>
      <c r="BC117" s="29">
        <f t="shared" si="320"/>
        <v>0</v>
      </c>
      <c r="BD117" s="135">
        <f t="shared" si="299"/>
        <v>1</v>
      </c>
      <c r="BE117" s="29"/>
      <c r="BF117" s="29">
        <f t="shared" si="321"/>
        <v>0</v>
      </c>
      <c r="BG117" s="135">
        <f t="shared" si="300"/>
        <v>1</v>
      </c>
      <c r="BH117" s="29"/>
      <c r="BI117" s="137"/>
      <c r="BJ117" s="137"/>
      <c r="BK117" s="135">
        <f t="shared" si="301"/>
        <v>1</v>
      </c>
      <c r="BL117" s="135">
        <f t="shared" si="302"/>
        <v>1</v>
      </c>
      <c r="BM117" s="171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</row>
    <row r="118" spans="1:206" s="75" customFormat="1" ht="18.75" customHeight="1">
      <c r="A118" s="439" t="s">
        <v>76</v>
      </c>
      <c r="B118" s="439"/>
      <c r="C118" s="180"/>
      <c r="D118" s="181">
        <f t="shared" ref="D118:D128" si="329">Z118</f>
        <v>0</v>
      </c>
      <c r="E118" s="182"/>
      <c r="F118" s="182"/>
      <c r="G118" s="182">
        <f t="shared" ref="G118:G128" si="330">F118-$C118</f>
        <v>0</v>
      </c>
      <c r="H118" s="182"/>
      <c r="I118" s="182">
        <f t="shared" ref="I118:I128" si="331">H118-$C118</f>
        <v>0</v>
      </c>
      <c r="J118" s="182"/>
      <c r="K118" s="182">
        <f t="shared" ref="K118:K128" si="332">J118-$C118</f>
        <v>0</v>
      </c>
      <c r="L118" s="182"/>
      <c r="M118" s="182">
        <f t="shared" ref="M118:M128" si="333">L118-$C118</f>
        <v>0</v>
      </c>
      <c r="N118" s="182"/>
      <c r="O118" s="182">
        <f t="shared" ref="O118:O128" si="334">N118-$C118</f>
        <v>0</v>
      </c>
      <c r="P118" s="182"/>
      <c r="Q118" s="182">
        <f t="shared" ref="Q118:Q128" si="335">P118-$C118</f>
        <v>0</v>
      </c>
      <c r="R118" s="182"/>
      <c r="S118" s="182">
        <f t="shared" ref="S118:S128" si="336">R118-$C118</f>
        <v>0</v>
      </c>
      <c r="T118" s="182"/>
      <c r="U118" s="182">
        <f t="shared" ref="U118:U128" si="337">T118-$C118</f>
        <v>0</v>
      </c>
      <c r="V118" s="182"/>
      <c r="W118" s="182">
        <f t="shared" ref="W118:W128" si="338">V118-$C118</f>
        <v>0</v>
      </c>
      <c r="X118" s="183"/>
      <c r="Y118" s="182">
        <f t="shared" ref="Y118:Y128" si="339">X118-$C118</f>
        <v>0</v>
      </c>
      <c r="Z118" s="183"/>
      <c r="AA118" s="180" t="s">
        <v>51</v>
      </c>
      <c r="AB118" s="144" t="s">
        <v>51</v>
      </c>
      <c r="AC118" s="184"/>
      <c r="AD118" s="184"/>
      <c r="AE118" s="184">
        <f t="shared" ref="AE118:AE128" si="340">AD118-$D118</f>
        <v>0</v>
      </c>
      <c r="AF118" s="144" t="s">
        <v>51</v>
      </c>
      <c r="AG118" s="182"/>
      <c r="AH118" s="184">
        <f t="shared" ref="AH118:AH128" si="341">AG118-$D118</f>
        <v>0</v>
      </c>
      <c r="AI118" s="144" t="s">
        <v>51</v>
      </c>
      <c r="AJ118" s="182"/>
      <c r="AK118" s="184">
        <f t="shared" ref="AK118:AK128" si="342">AJ118-$D118</f>
        <v>0</v>
      </c>
      <c r="AL118" s="144" t="s">
        <v>51</v>
      </c>
      <c r="AM118" s="182"/>
      <c r="AN118" s="184">
        <f t="shared" ref="AN118:AN128" si="343">AM118-$D118</f>
        <v>0</v>
      </c>
      <c r="AO118" s="144" t="s">
        <v>51</v>
      </c>
      <c r="AP118" s="182"/>
      <c r="AQ118" s="184">
        <f t="shared" ref="AQ118:AQ128" si="344">AP118-$D118</f>
        <v>0</v>
      </c>
      <c r="AR118" s="144" t="s">
        <v>51</v>
      </c>
      <c r="AS118" s="182"/>
      <c r="AT118" s="184">
        <f t="shared" ref="AT118:AT128" si="345">AS118-$D118</f>
        <v>0</v>
      </c>
      <c r="AU118" s="144" t="s">
        <v>51</v>
      </c>
      <c r="AV118" s="182"/>
      <c r="AW118" s="184">
        <f t="shared" ref="AW118:AW128" si="346">AV118-$D118</f>
        <v>0</v>
      </c>
      <c r="AX118" s="144" t="s">
        <v>51</v>
      </c>
      <c r="AY118" s="182"/>
      <c r="AZ118" s="184">
        <f t="shared" ref="AZ118:AZ128" si="347">AY118-$D118</f>
        <v>0</v>
      </c>
      <c r="BA118" s="144" t="s">
        <v>51</v>
      </c>
      <c r="BB118" s="182"/>
      <c r="BC118" s="184">
        <f t="shared" ref="BC118:BC128" si="348">BB118-$D118</f>
        <v>0</v>
      </c>
      <c r="BD118" s="144" t="s">
        <v>51</v>
      </c>
      <c r="BE118" s="182"/>
      <c r="BF118" s="184">
        <f t="shared" ref="BF118:BF128" si="349">BE118-$D118</f>
        <v>0</v>
      </c>
      <c r="BG118" s="144" t="s">
        <v>51</v>
      </c>
      <c r="BH118" s="182"/>
      <c r="BI118" s="182"/>
      <c r="BJ118" s="182"/>
      <c r="BK118" s="144" t="s">
        <v>51</v>
      </c>
      <c r="BL118" s="144">
        <f t="shared" ref="BL118:BL128" si="350">IF($D118=0,1,BJ118/$D118-1)</f>
        <v>1</v>
      </c>
      <c r="BM118" s="185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</row>
    <row r="119" spans="1:206" s="75" customFormat="1" ht="33.75" customHeight="1">
      <c r="A119" s="279" t="s">
        <v>165</v>
      </c>
      <c r="B119" s="280"/>
      <c r="C119" s="19"/>
      <c r="D119" s="19"/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9"/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 t="s">
        <v>51</v>
      </c>
      <c r="AZ119" s="131" t="s">
        <v>51</v>
      </c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9"/>
      <c r="BK119" s="131" t="s">
        <v>51</v>
      </c>
      <c r="BL119" s="131" t="s">
        <v>51</v>
      </c>
      <c r="BM119" s="185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  <c r="EK119" s="74"/>
      <c r="EL119" s="74"/>
      <c r="EM119" s="74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/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</row>
    <row r="120" spans="1:206" s="66" customFormat="1" ht="18.75" customHeight="1">
      <c r="A120" s="425" t="s">
        <v>160</v>
      </c>
      <c r="B120" s="423"/>
      <c r="C120" s="42"/>
      <c r="D120" s="138">
        <f t="shared" si="329"/>
        <v>0</v>
      </c>
      <c r="E120" s="30"/>
      <c r="F120" s="30"/>
      <c r="G120" s="30">
        <f t="shared" si="330"/>
        <v>0</v>
      </c>
      <c r="H120" s="30"/>
      <c r="I120" s="30">
        <f t="shared" si="331"/>
        <v>0</v>
      </c>
      <c r="J120" s="30"/>
      <c r="K120" s="30">
        <f t="shared" si="332"/>
        <v>0</v>
      </c>
      <c r="L120" s="30"/>
      <c r="M120" s="30">
        <f t="shared" si="333"/>
        <v>0</v>
      </c>
      <c r="N120" s="30"/>
      <c r="O120" s="30">
        <f t="shared" si="334"/>
        <v>0</v>
      </c>
      <c r="P120" s="30"/>
      <c r="Q120" s="30">
        <f t="shared" si="335"/>
        <v>0</v>
      </c>
      <c r="R120" s="30"/>
      <c r="S120" s="30">
        <f t="shared" si="336"/>
        <v>0</v>
      </c>
      <c r="T120" s="30"/>
      <c r="U120" s="30">
        <f t="shared" si="337"/>
        <v>0</v>
      </c>
      <c r="V120" s="30"/>
      <c r="W120" s="30">
        <f t="shared" si="338"/>
        <v>0</v>
      </c>
      <c r="X120" s="40"/>
      <c r="Y120" s="30">
        <f t="shared" si="339"/>
        <v>0</v>
      </c>
      <c r="Z120" s="40"/>
      <c r="AA120" s="42" t="s">
        <v>51</v>
      </c>
      <c r="AB120" s="162" t="s">
        <v>51</v>
      </c>
      <c r="AC120" s="29"/>
      <c r="AD120" s="29"/>
      <c r="AE120" s="29">
        <f t="shared" si="340"/>
        <v>0</v>
      </c>
      <c r="AF120" s="162" t="s">
        <v>51</v>
      </c>
      <c r="AG120" s="29"/>
      <c r="AH120" s="29">
        <f t="shared" si="341"/>
        <v>0</v>
      </c>
      <c r="AI120" s="162" t="s">
        <v>51</v>
      </c>
      <c r="AJ120" s="29"/>
      <c r="AK120" s="29">
        <f t="shared" si="342"/>
        <v>0</v>
      </c>
      <c r="AL120" s="162" t="s">
        <v>51</v>
      </c>
      <c r="AM120" s="29"/>
      <c r="AN120" s="29">
        <f t="shared" si="343"/>
        <v>0</v>
      </c>
      <c r="AO120" s="162" t="s">
        <v>51</v>
      </c>
      <c r="AP120" s="29"/>
      <c r="AQ120" s="29">
        <f t="shared" si="344"/>
        <v>0</v>
      </c>
      <c r="AR120" s="162" t="s">
        <v>51</v>
      </c>
      <c r="AS120" s="29"/>
      <c r="AT120" s="29">
        <f t="shared" si="345"/>
        <v>0</v>
      </c>
      <c r="AU120" s="162" t="s">
        <v>51</v>
      </c>
      <c r="AV120" s="29"/>
      <c r="AW120" s="29">
        <f t="shared" si="346"/>
        <v>0</v>
      </c>
      <c r="AX120" s="162" t="s">
        <v>51</v>
      </c>
      <c r="AY120" s="29"/>
      <c r="AZ120" s="29">
        <f t="shared" si="347"/>
        <v>0</v>
      </c>
      <c r="BA120" s="162" t="s">
        <v>51</v>
      </c>
      <c r="BB120" s="29"/>
      <c r="BC120" s="29">
        <f t="shared" si="348"/>
        <v>0</v>
      </c>
      <c r="BD120" s="162" t="s">
        <v>51</v>
      </c>
      <c r="BE120" s="29"/>
      <c r="BF120" s="29">
        <f t="shared" si="349"/>
        <v>0</v>
      </c>
      <c r="BG120" s="162" t="s">
        <v>51</v>
      </c>
      <c r="BH120" s="29"/>
      <c r="BI120" s="29"/>
      <c r="BJ120" s="29"/>
      <c r="BK120" s="162" t="s">
        <v>51</v>
      </c>
      <c r="BL120" s="162">
        <f t="shared" si="350"/>
        <v>1</v>
      </c>
      <c r="BM120" s="171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</row>
    <row r="121" spans="1:206" s="87" customFormat="1" ht="35.25" customHeight="1">
      <c r="A121" s="422" t="s">
        <v>77</v>
      </c>
      <c r="B121" s="422"/>
      <c r="C121" s="17"/>
      <c r="D121" s="130">
        <f t="shared" si="329"/>
        <v>0</v>
      </c>
      <c r="E121" s="17"/>
      <c r="F121" s="17"/>
      <c r="G121" s="17">
        <f t="shared" si="330"/>
        <v>0</v>
      </c>
      <c r="H121" s="17"/>
      <c r="I121" s="17">
        <f t="shared" si="331"/>
        <v>0</v>
      </c>
      <c r="J121" s="17"/>
      <c r="K121" s="17">
        <f t="shared" si="332"/>
        <v>0</v>
      </c>
      <c r="L121" s="17"/>
      <c r="M121" s="17">
        <f t="shared" si="333"/>
        <v>0</v>
      </c>
      <c r="N121" s="17"/>
      <c r="O121" s="17">
        <f t="shared" si="334"/>
        <v>0</v>
      </c>
      <c r="P121" s="17"/>
      <c r="Q121" s="17">
        <f t="shared" si="335"/>
        <v>0</v>
      </c>
      <c r="R121" s="17"/>
      <c r="S121" s="17">
        <f t="shared" si="336"/>
        <v>0</v>
      </c>
      <c r="T121" s="17"/>
      <c r="U121" s="17">
        <f t="shared" si="337"/>
        <v>0</v>
      </c>
      <c r="V121" s="17"/>
      <c r="W121" s="17">
        <f t="shared" si="338"/>
        <v>0</v>
      </c>
      <c r="X121" s="17"/>
      <c r="Y121" s="17">
        <f t="shared" si="339"/>
        <v>0</v>
      </c>
      <c r="Z121" s="17"/>
      <c r="AA121" s="17" t="s">
        <v>51</v>
      </c>
      <c r="AB121" s="143" t="s">
        <v>51</v>
      </c>
      <c r="AC121" s="17"/>
      <c r="AD121" s="17"/>
      <c r="AE121" s="17">
        <f t="shared" si="340"/>
        <v>0</v>
      </c>
      <c r="AF121" s="143" t="s">
        <v>51</v>
      </c>
      <c r="AG121" s="17"/>
      <c r="AH121" s="17">
        <f t="shared" si="341"/>
        <v>0</v>
      </c>
      <c r="AI121" s="143" t="s">
        <v>51</v>
      </c>
      <c r="AJ121" s="17"/>
      <c r="AK121" s="17">
        <f t="shared" si="342"/>
        <v>0</v>
      </c>
      <c r="AL121" s="143" t="s">
        <v>51</v>
      </c>
      <c r="AM121" s="17"/>
      <c r="AN121" s="17">
        <f t="shared" si="343"/>
        <v>0</v>
      </c>
      <c r="AO121" s="143" t="s">
        <v>51</v>
      </c>
      <c r="AP121" s="17"/>
      <c r="AQ121" s="17">
        <f t="shared" si="344"/>
        <v>0</v>
      </c>
      <c r="AR121" s="143" t="s">
        <v>51</v>
      </c>
      <c r="AS121" s="17"/>
      <c r="AT121" s="17">
        <f t="shared" si="345"/>
        <v>0</v>
      </c>
      <c r="AU121" s="143" t="s">
        <v>51</v>
      </c>
      <c r="AV121" s="17"/>
      <c r="AW121" s="17">
        <f t="shared" si="346"/>
        <v>0</v>
      </c>
      <c r="AX121" s="143" t="s">
        <v>51</v>
      </c>
      <c r="AY121" s="17"/>
      <c r="AZ121" s="17">
        <f t="shared" si="347"/>
        <v>0</v>
      </c>
      <c r="BA121" s="143" t="s">
        <v>51</v>
      </c>
      <c r="BB121" s="17"/>
      <c r="BC121" s="17">
        <f t="shared" si="348"/>
        <v>0</v>
      </c>
      <c r="BD121" s="143" t="s">
        <v>51</v>
      </c>
      <c r="BE121" s="17"/>
      <c r="BF121" s="17">
        <f t="shared" si="349"/>
        <v>0</v>
      </c>
      <c r="BG121" s="143" t="s">
        <v>51</v>
      </c>
      <c r="BH121" s="17"/>
      <c r="BI121" s="17"/>
      <c r="BJ121" s="17"/>
      <c r="BK121" s="143" t="s">
        <v>51</v>
      </c>
      <c r="BL121" s="143">
        <f t="shared" si="350"/>
        <v>1</v>
      </c>
      <c r="BM121" s="172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88"/>
      <c r="EC121" s="88"/>
      <c r="ED121" s="88"/>
      <c r="EE121" s="88"/>
      <c r="EF121" s="88"/>
      <c r="EG121" s="88"/>
      <c r="EH121" s="88"/>
      <c r="EI121" s="88"/>
      <c r="EJ121" s="88"/>
      <c r="EK121" s="88"/>
      <c r="EL121" s="88"/>
      <c r="EM121" s="88"/>
      <c r="EN121" s="88"/>
      <c r="EO121" s="88"/>
      <c r="EP121" s="88"/>
      <c r="EQ121" s="88"/>
      <c r="ER121" s="88"/>
      <c r="ES121" s="88"/>
      <c r="ET121" s="88"/>
      <c r="EU121" s="88"/>
      <c r="EV121" s="88"/>
      <c r="EW121" s="88"/>
      <c r="EX121" s="88"/>
      <c r="EY121" s="88"/>
      <c r="EZ121" s="88"/>
      <c r="FA121" s="88"/>
      <c r="FB121" s="88"/>
      <c r="FC121" s="88"/>
      <c r="FD121" s="88"/>
      <c r="FE121" s="88"/>
      <c r="FF121" s="88"/>
      <c r="FG121" s="88"/>
      <c r="FH121" s="88"/>
      <c r="FI121" s="88"/>
      <c r="FJ121" s="88"/>
      <c r="FK121" s="88"/>
      <c r="FL121" s="88"/>
      <c r="FM121" s="88"/>
      <c r="FN121" s="88"/>
      <c r="FO121" s="88"/>
      <c r="FP121" s="88"/>
      <c r="FQ121" s="88"/>
      <c r="FR121" s="88"/>
      <c r="FS121" s="88"/>
      <c r="FT121" s="88"/>
      <c r="FU121" s="88"/>
      <c r="FV121" s="88"/>
      <c r="FW121" s="88"/>
      <c r="FX121" s="88"/>
      <c r="FY121" s="88"/>
      <c r="FZ121" s="88"/>
      <c r="GA121" s="88"/>
      <c r="GB121" s="88"/>
      <c r="GC121" s="88"/>
      <c r="GD121" s="88"/>
      <c r="GE121" s="88"/>
      <c r="GF121" s="88"/>
      <c r="GG121" s="88"/>
      <c r="GH121" s="88"/>
      <c r="GI121" s="88"/>
      <c r="GJ121" s="88"/>
      <c r="GK121" s="88"/>
      <c r="GL121" s="88"/>
      <c r="GM121" s="88"/>
      <c r="GN121" s="88"/>
      <c r="GO121" s="88"/>
      <c r="GP121" s="88"/>
      <c r="GQ121" s="88"/>
      <c r="GR121" s="88"/>
      <c r="GS121" s="88"/>
      <c r="GT121" s="88"/>
      <c r="GU121" s="88"/>
      <c r="GV121" s="88"/>
      <c r="GW121" s="88"/>
      <c r="GX121" s="88"/>
    </row>
    <row r="122" spans="1:206" s="66" customFormat="1" ht="16.5">
      <c r="A122" s="423" t="s">
        <v>75</v>
      </c>
      <c r="B122" s="423"/>
      <c r="C122" s="42"/>
      <c r="D122" s="161">
        <f t="shared" si="329"/>
        <v>0</v>
      </c>
      <c r="E122" s="40"/>
      <c r="F122" s="40"/>
      <c r="G122" s="40">
        <f t="shared" si="330"/>
        <v>0</v>
      </c>
      <c r="H122" s="40"/>
      <c r="I122" s="40">
        <f t="shared" si="331"/>
        <v>0</v>
      </c>
      <c r="J122" s="40"/>
      <c r="K122" s="40">
        <f t="shared" si="332"/>
        <v>0</v>
      </c>
      <c r="L122" s="40"/>
      <c r="M122" s="40">
        <f t="shared" si="333"/>
        <v>0</v>
      </c>
      <c r="N122" s="40"/>
      <c r="O122" s="40">
        <f t="shared" si="334"/>
        <v>0</v>
      </c>
      <c r="P122" s="40"/>
      <c r="Q122" s="40">
        <f t="shared" si="335"/>
        <v>0</v>
      </c>
      <c r="R122" s="40"/>
      <c r="S122" s="40">
        <f t="shared" si="336"/>
        <v>0</v>
      </c>
      <c r="T122" s="40"/>
      <c r="U122" s="40">
        <f t="shared" si="337"/>
        <v>0</v>
      </c>
      <c r="V122" s="40"/>
      <c r="W122" s="40">
        <f t="shared" si="338"/>
        <v>0</v>
      </c>
      <c r="X122" s="40"/>
      <c r="Y122" s="40">
        <f t="shared" si="339"/>
        <v>0</v>
      </c>
      <c r="Z122" s="40"/>
      <c r="AA122" s="42" t="s">
        <v>51</v>
      </c>
      <c r="AB122" s="162" t="s">
        <v>51</v>
      </c>
      <c r="AC122" s="40"/>
      <c r="AD122" s="40"/>
      <c r="AE122" s="40">
        <f t="shared" si="340"/>
        <v>0</v>
      </c>
      <c r="AF122" s="162" t="s">
        <v>51</v>
      </c>
      <c r="AG122" s="40"/>
      <c r="AH122" s="40">
        <f t="shared" si="341"/>
        <v>0</v>
      </c>
      <c r="AI122" s="162" t="s">
        <v>51</v>
      </c>
      <c r="AJ122" s="40"/>
      <c r="AK122" s="40">
        <f t="shared" si="342"/>
        <v>0</v>
      </c>
      <c r="AL122" s="162" t="s">
        <v>51</v>
      </c>
      <c r="AM122" s="40"/>
      <c r="AN122" s="40">
        <f t="shared" si="343"/>
        <v>0</v>
      </c>
      <c r="AO122" s="162" t="s">
        <v>51</v>
      </c>
      <c r="AP122" s="40"/>
      <c r="AQ122" s="40">
        <f t="shared" si="344"/>
        <v>0</v>
      </c>
      <c r="AR122" s="162" t="s">
        <v>51</v>
      </c>
      <c r="AS122" s="40"/>
      <c r="AT122" s="40">
        <f t="shared" si="345"/>
        <v>0</v>
      </c>
      <c r="AU122" s="162" t="s">
        <v>51</v>
      </c>
      <c r="AV122" s="40"/>
      <c r="AW122" s="40">
        <f t="shared" si="346"/>
        <v>0</v>
      </c>
      <c r="AX122" s="162" t="s">
        <v>51</v>
      </c>
      <c r="AY122" s="40"/>
      <c r="AZ122" s="40">
        <f t="shared" si="347"/>
        <v>0</v>
      </c>
      <c r="BA122" s="162" t="s">
        <v>51</v>
      </c>
      <c r="BB122" s="40"/>
      <c r="BC122" s="40">
        <f t="shared" si="348"/>
        <v>0</v>
      </c>
      <c r="BD122" s="162" t="s">
        <v>51</v>
      </c>
      <c r="BE122" s="40"/>
      <c r="BF122" s="40">
        <f t="shared" si="349"/>
        <v>0</v>
      </c>
      <c r="BG122" s="162" t="s">
        <v>51</v>
      </c>
      <c r="BH122" s="40"/>
      <c r="BI122" s="40"/>
      <c r="BJ122" s="40"/>
      <c r="BK122" s="162" t="s">
        <v>51</v>
      </c>
      <c r="BL122" s="162">
        <f t="shared" si="350"/>
        <v>1</v>
      </c>
      <c r="BM122" s="171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</row>
    <row r="123" spans="1:206" s="66" customFormat="1" ht="18.75" customHeight="1">
      <c r="A123" s="423" t="s">
        <v>76</v>
      </c>
      <c r="B123" s="423"/>
      <c r="C123" s="42"/>
      <c r="D123" s="161">
        <f t="shared" si="329"/>
        <v>0</v>
      </c>
      <c r="E123" s="40"/>
      <c r="F123" s="40"/>
      <c r="G123" s="40">
        <f t="shared" si="330"/>
        <v>0</v>
      </c>
      <c r="H123" s="40"/>
      <c r="I123" s="40">
        <f t="shared" si="331"/>
        <v>0</v>
      </c>
      <c r="J123" s="40"/>
      <c r="K123" s="40">
        <f t="shared" si="332"/>
        <v>0</v>
      </c>
      <c r="L123" s="40"/>
      <c r="M123" s="40">
        <f t="shared" si="333"/>
        <v>0</v>
      </c>
      <c r="N123" s="40"/>
      <c r="O123" s="40">
        <f t="shared" si="334"/>
        <v>0</v>
      </c>
      <c r="P123" s="40"/>
      <c r="Q123" s="40">
        <f t="shared" si="335"/>
        <v>0</v>
      </c>
      <c r="R123" s="40"/>
      <c r="S123" s="40">
        <f t="shared" si="336"/>
        <v>0</v>
      </c>
      <c r="T123" s="40"/>
      <c r="U123" s="40">
        <f t="shared" si="337"/>
        <v>0</v>
      </c>
      <c r="V123" s="40"/>
      <c r="W123" s="40">
        <f t="shared" si="338"/>
        <v>0</v>
      </c>
      <c r="X123" s="40"/>
      <c r="Y123" s="40">
        <f t="shared" si="339"/>
        <v>0</v>
      </c>
      <c r="Z123" s="40"/>
      <c r="AA123" s="42" t="s">
        <v>51</v>
      </c>
      <c r="AB123" s="162" t="s">
        <v>51</v>
      </c>
      <c r="AC123" s="40"/>
      <c r="AD123" s="40"/>
      <c r="AE123" s="40">
        <f t="shared" si="340"/>
        <v>0</v>
      </c>
      <c r="AF123" s="162" t="s">
        <v>51</v>
      </c>
      <c r="AG123" s="40"/>
      <c r="AH123" s="40">
        <f t="shared" si="341"/>
        <v>0</v>
      </c>
      <c r="AI123" s="162" t="s">
        <v>51</v>
      </c>
      <c r="AJ123" s="40"/>
      <c r="AK123" s="40">
        <f t="shared" si="342"/>
        <v>0</v>
      </c>
      <c r="AL123" s="162" t="s">
        <v>51</v>
      </c>
      <c r="AM123" s="40"/>
      <c r="AN123" s="40">
        <f t="shared" si="343"/>
        <v>0</v>
      </c>
      <c r="AO123" s="162" t="s">
        <v>51</v>
      </c>
      <c r="AP123" s="40"/>
      <c r="AQ123" s="40">
        <f t="shared" si="344"/>
        <v>0</v>
      </c>
      <c r="AR123" s="162" t="s">
        <v>51</v>
      </c>
      <c r="AS123" s="40"/>
      <c r="AT123" s="40">
        <f t="shared" si="345"/>
        <v>0</v>
      </c>
      <c r="AU123" s="162" t="s">
        <v>51</v>
      </c>
      <c r="AV123" s="40"/>
      <c r="AW123" s="40">
        <f t="shared" si="346"/>
        <v>0</v>
      </c>
      <c r="AX123" s="162" t="s">
        <v>51</v>
      </c>
      <c r="AY123" s="40"/>
      <c r="AZ123" s="40">
        <f t="shared" si="347"/>
        <v>0</v>
      </c>
      <c r="BA123" s="162" t="s">
        <v>51</v>
      </c>
      <c r="BB123" s="40"/>
      <c r="BC123" s="40">
        <f t="shared" si="348"/>
        <v>0</v>
      </c>
      <c r="BD123" s="162" t="s">
        <v>51</v>
      </c>
      <c r="BE123" s="40"/>
      <c r="BF123" s="40">
        <f t="shared" si="349"/>
        <v>0</v>
      </c>
      <c r="BG123" s="162" t="s">
        <v>51</v>
      </c>
      <c r="BH123" s="40"/>
      <c r="BI123" s="40"/>
      <c r="BJ123" s="40"/>
      <c r="BK123" s="162" t="s">
        <v>51</v>
      </c>
      <c r="BL123" s="162">
        <f t="shared" si="350"/>
        <v>1</v>
      </c>
      <c r="BM123" s="171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</row>
    <row r="124" spans="1:206" s="66" customFormat="1" ht="21.75" customHeight="1">
      <c r="A124" s="425" t="s">
        <v>161</v>
      </c>
      <c r="B124" s="423"/>
      <c r="C124" s="42"/>
      <c r="D124" s="138">
        <f t="shared" si="329"/>
        <v>0</v>
      </c>
      <c r="E124" s="30"/>
      <c r="F124" s="30"/>
      <c r="G124" s="30">
        <f t="shared" si="330"/>
        <v>0</v>
      </c>
      <c r="H124" s="30"/>
      <c r="I124" s="30">
        <f t="shared" si="331"/>
        <v>0</v>
      </c>
      <c r="J124" s="30"/>
      <c r="K124" s="30">
        <f t="shared" si="332"/>
        <v>0</v>
      </c>
      <c r="L124" s="30"/>
      <c r="M124" s="30">
        <f t="shared" si="333"/>
        <v>0</v>
      </c>
      <c r="N124" s="30"/>
      <c r="O124" s="30">
        <f t="shared" si="334"/>
        <v>0</v>
      </c>
      <c r="P124" s="30"/>
      <c r="Q124" s="30">
        <f t="shared" si="335"/>
        <v>0</v>
      </c>
      <c r="R124" s="30"/>
      <c r="S124" s="30">
        <f t="shared" si="336"/>
        <v>0</v>
      </c>
      <c r="T124" s="30"/>
      <c r="U124" s="30">
        <f t="shared" si="337"/>
        <v>0</v>
      </c>
      <c r="V124" s="30"/>
      <c r="W124" s="30">
        <f t="shared" si="338"/>
        <v>0</v>
      </c>
      <c r="X124" s="30"/>
      <c r="Y124" s="30">
        <f t="shared" si="339"/>
        <v>0</v>
      </c>
      <c r="Z124" s="40"/>
      <c r="AA124" s="42" t="s">
        <v>51</v>
      </c>
      <c r="AB124" s="162" t="s">
        <v>51</v>
      </c>
      <c r="AC124" s="30"/>
      <c r="AD124" s="30"/>
      <c r="AE124" s="30">
        <f t="shared" si="340"/>
        <v>0</v>
      </c>
      <c r="AF124" s="162" t="s">
        <v>51</v>
      </c>
      <c r="AG124" s="30"/>
      <c r="AH124" s="30">
        <f t="shared" si="341"/>
        <v>0</v>
      </c>
      <c r="AI124" s="162" t="s">
        <v>51</v>
      </c>
      <c r="AJ124" s="30"/>
      <c r="AK124" s="30">
        <f t="shared" si="342"/>
        <v>0</v>
      </c>
      <c r="AL124" s="162" t="s">
        <v>51</v>
      </c>
      <c r="AM124" s="30"/>
      <c r="AN124" s="30">
        <f t="shared" si="343"/>
        <v>0</v>
      </c>
      <c r="AO124" s="162" t="s">
        <v>51</v>
      </c>
      <c r="AP124" s="30"/>
      <c r="AQ124" s="30">
        <f t="shared" si="344"/>
        <v>0</v>
      </c>
      <c r="AR124" s="162" t="s">
        <v>51</v>
      </c>
      <c r="AS124" s="30"/>
      <c r="AT124" s="30">
        <f t="shared" si="345"/>
        <v>0</v>
      </c>
      <c r="AU124" s="162" t="s">
        <v>51</v>
      </c>
      <c r="AV124" s="30"/>
      <c r="AW124" s="30">
        <f t="shared" si="346"/>
        <v>0</v>
      </c>
      <c r="AX124" s="162" t="s">
        <v>51</v>
      </c>
      <c r="AY124" s="30"/>
      <c r="AZ124" s="30">
        <f t="shared" si="347"/>
        <v>0</v>
      </c>
      <c r="BA124" s="162" t="s">
        <v>51</v>
      </c>
      <c r="BB124" s="30"/>
      <c r="BC124" s="30">
        <f t="shared" si="348"/>
        <v>0</v>
      </c>
      <c r="BD124" s="162" t="s">
        <v>51</v>
      </c>
      <c r="BE124" s="30"/>
      <c r="BF124" s="30">
        <f t="shared" si="349"/>
        <v>0</v>
      </c>
      <c r="BG124" s="162" t="s">
        <v>51</v>
      </c>
      <c r="BH124" s="30"/>
      <c r="BI124" s="30"/>
      <c r="BJ124" s="30"/>
      <c r="BK124" s="162" t="s">
        <v>51</v>
      </c>
      <c r="BL124" s="162">
        <f t="shared" si="350"/>
        <v>1</v>
      </c>
      <c r="BM124" s="171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</row>
    <row r="125" spans="1:206" s="87" customFormat="1" ht="35.25" customHeight="1">
      <c r="A125" s="422" t="s">
        <v>135</v>
      </c>
      <c r="B125" s="422"/>
      <c r="C125" s="17"/>
      <c r="D125" s="130">
        <f t="shared" si="329"/>
        <v>0</v>
      </c>
      <c r="E125" s="17"/>
      <c r="F125" s="17"/>
      <c r="G125" s="17">
        <f t="shared" si="330"/>
        <v>0</v>
      </c>
      <c r="H125" s="17"/>
      <c r="I125" s="17">
        <f t="shared" si="331"/>
        <v>0</v>
      </c>
      <c r="J125" s="17"/>
      <c r="K125" s="17">
        <f t="shared" si="332"/>
        <v>0</v>
      </c>
      <c r="L125" s="17"/>
      <c r="M125" s="17">
        <f t="shared" si="333"/>
        <v>0</v>
      </c>
      <c r="N125" s="17"/>
      <c r="O125" s="17">
        <f t="shared" si="334"/>
        <v>0</v>
      </c>
      <c r="P125" s="17"/>
      <c r="Q125" s="17">
        <f t="shared" si="335"/>
        <v>0</v>
      </c>
      <c r="R125" s="17"/>
      <c r="S125" s="17">
        <f t="shared" si="336"/>
        <v>0</v>
      </c>
      <c r="T125" s="17"/>
      <c r="U125" s="17">
        <f t="shared" si="337"/>
        <v>0</v>
      </c>
      <c r="V125" s="17"/>
      <c r="W125" s="17">
        <f t="shared" si="338"/>
        <v>0</v>
      </c>
      <c r="X125" s="17"/>
      <c r="Y125" s="17">
        <f t="shared" si="339"/>
        <v>0</v>
      </c>
      <c r="Z125" s="17"/>
      <c r="AA125" s="17" t="s">
        <v>51</v>
      </c>
      <c r="AB125" s="143" t="s">
        <v>51</v>
      </c>
      <c r="AC125" s="17"/>
      <c r="AD125" s="17"/>
      <c r="AE125" s="17">
        <f t="shared" si="340"/>
        <v>0</v>
      </c>
      <c r="AF125" s="143" t="s">
        <v>51</v>
      </c>
      <c r="AG125" s="17"/>
      <c r="AH125" s="17">
        <f t="shared" si="341"/>
        <v>0</v>
      </c>
      <c r="AI125" s="143" t="s">
        <v>51</v>
      </c>
      <c r="AJ125" s="17"/>
      <c r="AK125" s="17">
        <f t="shared" si="342"/>
        <v>0</v>
      </c>
      <c r="AL125" s="143" t="s">
        <v>51</v>
      </c>
      <c r="AM125" s="17"/>
      <c r="AN125" s="17">
        <f t="shared" si="343"/>
        <v>0</v>
      </c>
      <c r="AO125" s="143" t="s">
        <v>51</v>
      </c>
      <c r="AP125" s="17"/>
      <c r="AQ125" s="17">
        <f t="shared" si="344"/>
        <v>0</v>
      </c>
      <c r="AR125" s="143" t="s">
        <v>51</v>
      </c>
      <c r="AS125" s="17"/>
      <c r="AT125" s="17">
        <f t="shared" si="345"/>
        <v>0</v>
      </c>
      <c r="AU125" s="143" t="s">
        <v>51</v>
      </c>
      <c r="AV125" s="17"/>
      <c r="AW125" s="17">
        <f t="shared" si="346"/>
        <v>0</v>
      </c>
      <c r="AX125" s="143" t="s">
        <v>51</v>
      </c>
      <c r="AY125" s="17"/>
      <c r="AZ125" s="17">
        <f t="shared" si="347"/>
        <v>0</v>
      </c>
      <c r="BA125" s="143" t="s">
        <v>51</v>
      </c>
      <c r="BB125" s="17"/>
      <c r="BC125" s="17">
        <f t="shared" si="348"/>
        <v>0</v>
      </c>
      <c r="BD125" s="143" t="s">
        <v>51</v>
      </c>
      <c r="BE125" s="17"/>
      <c r="BF125" s="17">
        <f t="shared" si="349"/>
        <v>0</v>
      </c>
      <c r="BG125" s="143" t="s">
        <v>51</v>
      </c>
      <c r="BH125" s="17"/>
      <c r="BI125" s="17"/>
      <c r="BJ125" s="17"/>
      <c r="BK125" s="143" t="s">
        <v>51</v>
      </c>
      <c r="BL125" s="143">
        <f t="shared" si="350"/>
        <v>1</v>
      </c>
      <c r="BM125" s="172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8"/>
      <c r="DC125" s="88"/>
      <c r="DD125" s="88"/>
      <c r="DE125" s="88"/>
      <c r="DF125" s="88"/>
      <c r="DG125" s="88"/>
      <c r="DH125" s="88"/>
      <c r="DI125" s="88"/>
      <c r="DJ125" s="88"/>
      <c r="DK125" s="88"/>
      <c r="DL125" s="88"/>
      <c r="DM125" s="88"/>
      <c r="DN125" s="88"/>
      <c r="DO125" s="88"/>
      <c r="DP125" s="88"/>
      <c r="DQ125" s="88"/>
      <c r="DR125" s="88"/>
      <c r="DS125" s="88"/>
      <c r="DT125" s="88"/>
      <c r="DU125" s="88"/>
      <c r="DV125" s="88"/>
      <c r="DW125" s="88"/>
      <c r="DX125" s="88"/>
      <c r="DY125" s="88"/>
      <c r="DZ125" s="88"/>
      <c r="EA125" s="88"/>
      <c r="EB125" s="88"/>
      <c r="EC125" s="88"/>
      <c r="ED125" s="88"/>
      <c r="EE125" s="88"/>
      <c r="EF125" s="88"/>
      <c r="EG125" s="88"/>
      <c r="EH125" s="88"/>
      <c r="EI125" s="88"/>
      <c r="EJ125" s="88"/>
      <c r="EK125" s="88"/>
      <c r="EL125" s="88"/>
      <c r="EM125" s="88"/>
      <c r="EN125" s="88"/>
      <c r="EO125" s="88"/>
      <c r="EP125" s="88"/>
      <c r="EQ125" s="88"/>
      <c r="ER125" s="88"/>
      <c r="ES125" s="88"/>
      <c r="ET125" s="88"/>
      <c r="EU125" s="88"/>
      <c r="EV125" s="88"/>
      <c r="EW125" s="88"/>
      <c r="EX125" s="88"/>
      <c r="EY125" s="88"/>
      <c r="EZ125" s="88"/>
      <c r="FA125" s="88"/>
      <c r="FB125" s="88"/>
      <c r="FC125" s="88"/>
      <c r="FD125" s="88"/>
      <c r="FE125" s="88"/>
      <c r="FF125" s="88"/>
      <c r="FG125" s="88"/>
      <c r="FH125" s="88"/>
      <c r="FI125" s="88"/>
      <c r="FJ125" s="88"/>
      <c r="FK125" s="88"/>
      <c r="FL125" s="88"/>
      <c r="FM125" s="88"/>
      <c r="FN125" s="88"/>
      <c r="FO125" s="88"/>
      <c r="FP125" s="88"/>
      <c r="FQ125" s="88"/>
      <c r="FR125" s="88"/>
      <c r="FS125" s="88"/>
      <c r="FT125" s="88"/>
      <c r="FU125" s="88"/>
      <c r="FV125" s="88"/>
      <c r="FW125" s="88"/>
      <c r="FX125" s="88"/>
      <c r="FY125" s="88"/>
      <c r="FZ125" s="88"/>
      <c r="GA125" s="88"/>
      <c r="GB125" s="88"/>
      <c r="GC125" s="88"/>
      <c r="GD125" s="88"/>
      <c r="GE125" s="88"/>
      <c r="GF125" s="88"/>
      <c r="GG125" s="88"/>
      <c r="GH125" s="88"/>
      <c r="GI125" s="88"/>
      <c r="GJ125" s="88"/>
      <c r="GK125" s="88"/>
      <c r="GL125" s="88"/>
      <c r="GM125" s="88"/>
      <c r="GN125" s="88"/>
      <c r="GO125" s="88"/>
      <c r="GP125" s="88"/>
      <c r="GQ125" s="88"/>
      <c r="GR125" s="88"/>
      <c r="GS125" s="88"/>
      <c r="GT125" s="88"/>
      <c r="GU125" s="88"/>
      <c r="GV125" s="88"/>
      <c r="GW125" s="88"/>
      <c r="GX125" s="88"/>
    </row>
    <row r="126" spans="1:206" s="66" customFormat="1" ht="16.5">
      <c r="A126" s="424" t="s">
        <v>78</v>
      </c>
      <c r="B126" s="424"/>
      <c r="C126" s="30"/>
      <c r="D126" s="137">
        <f t="shared" si="329"/>
        <v>0</v>
      </c>
      <c r="E126" s="29"/>
      <c r="F126" s="29"/>
      <c r="G126" s="29">
        <f t="shared" si="330"/>
        <v>0</v>
      </c>
      <c r="H126" s="29"/>
      <c r="I126" s="29">
        <f t="shared" si="331"/>
        <v>0</v>
      </c>
      <c r="J126" s="29"/>
      <c r="K126" s="29">
        <f t="shared" si="332"/>
        <v>0</v>
      </c>
      <c r="L126" s="29"/>
      <c r="M126" s="29">
        <f t="shared" si="333"/>
        <v>0</v>
      </c>
      <c r="N126" s="29"/>
      <c r="O126" s="29">
        <f t="shared" si="334"/>
        <v>0</v>
      </c>
      <c r="P126" s="29"/>
      <c r="Q126" s="29">
        <f t="shared" si="335"/>
        <v>0</v>
      </c>
      <c r="R126" s="29"/>
      <c r="S126" s="29">
        <f t="shared" si="336"/>
        <v>0</v>
      </c>
      <c r="T126" s="29"/>
      <c r="U126" s="29">
        <f t="shared" si="337"/>
        <v>0</v>
      </c>
      <c r="V126" s="29"/>
      <c r="W126" s="29">
        <f t="shared" si="338"/>
        <v>0</v>
      </c>
      <c r="X126" s="29"/>
      <c r="Y126" s="29">
        <f t="shared" si="339"/>
        <v>0</v>
      </c>
      <c r="Z126" s="30"/>
      <c r="AA126" s="42" t="s">
        <v>51</v>
      </c>
      <c r="AB126" s="162" t="s">
        <v>51</v>
      </c>
      <c r="AC126" s="30"/>
      <c r="AD126" s="29"/>
      <c r="AE126" s="29">
        <f t="shared" si="340"/>
        <v>0</v>
      </c>
      <c r="AF126" s="162" t="s">
        <v>51</v>
      </c>
      <c r="AG126" s="29"/>
      <c r="AH126" s="29">
        <f t="shared" si="341"/>
        <v>0</v>
      </c>
      <c r="AI126" s="162" t="s">
        <v>51</v>
      </c>
      <c r="AJ126" s="29"/>
      <c r="AK126" s="29">
        <f t="shared" si="342"/>
        <v>0</v>
      </c>
      <c r="AL126" s="162" t="s">
        <v>51</v>
      </c>
      <c r="AM126" s="29"/>
      <c r="AN126" s="29">
        <f t="shared" si="343"/>
        <v>0</v>
      </c>
      <c r="AO126" s="162" t="s">
        <v>51</v>
      </c>
      <c r="AP126" s="29"/>
      <c r="AQ126" s="29">
        <f t="shared" si="344"/>
        <v>0</v>
      </c>
      <c r="AR126" s="162" t="s">
        <v>51</v>
      </c>
      <c r="AS126" s="29"/>
      <c r="AT126" s="29">
        <f t="shared" si="345"/>
        <v>0</v>
      </c>
      <c r="AU126" s="162" t="s">
        <v>51</v>
      </c>
      <c r="AV126" s="29"/>
      <c r="AW126" s="29">
        <f t="shared" si="346"/>
        <v>0</v>
      </c>
      <c r="AX126" s="162" t="s">
        <v>51</v>
      </c>
      <c r="AY126" s="29"/>
      <c r="AZ126" s="29">
        <f t="shared" si="347"/>
        <v>0</v>
      </c>
      <c r="BA126" s="162" t="s">
        <v>51</v>
      </c>
      <c r="BB126" s="29"/>
      <c r="BC126" s="29">
        <f t="shared" si="348"/>
        <v>0</v>
      </c>
      <c r="BD126" s="162" t="s">
        <v>51</v>
      </c>
      <c r="BE126" s="29"/>
      <c r="BF126" s="29">
        <f t="shared" si="349"/>
        <v>0</v>
      </c>
      <c r="BG126" s="162" t="s">
        <v>51</v>
      </c>
      <c r="BH126" s="29"/>
      <c r="BI126" s="29"/>
      <c r="BJ126" s="29"/>
      <c r="BK126" s="162" t="s">
        <v>51</v>
      </c>
      <c r="BL126" s="162">
        <f t="shared" si="350"/>
        <v>1</v>
      </c>
      <c r="BM126" s="171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</row>
    <row r="127" spans="1:206" s="87" customFormat="1" ht="15.75" customHeight="1">
      <c r="A127" s="438" t="s">
        <v>79</v>
      </c>
      <c r="B127" s="438"/>
      <c r="C127" s="17"/>
      <c r="D127" s="130">
        <f t="shared" si="329"/>
        <v>0</v>
      </c>
      <c r="E127" s="17"/>
      <c r="F127" s="17"/>
      <c r="G127" s="17">
        <f t="shared" si="330"/>
        <v>0</v>
      </c>
      <c r="H127" s="17"/>
      <c r="I127" s="17">
        <f t="shared" si="331"/>
        <v>0</v>
      </c>
      <c r="J127" s="17"/>
      <c r="K127" s="17">
        <f t="shared" si="332"/>
        <v>0</v>
      </c>
      <c r="L127" s="17"/>
      <c r="M127" s="17">
        <f t="shared" si="333"/>
        <v>0</v>
      </c>
      <c r="N127" s="17"/>
      <c r="O127" s="17">
        <f t="shared" si="334"/>
        <v>0</v>
      </c>
      <c r="P127" s="17"/>
      <c r="Q127" s="17">
        <f t="shared" si="335"/>
        <v>0</v>
      </c>
      <c r="R127" s="17"/>
      <c r="S127" s="17">
        <f t="shared" si="336"/>
        <v>0</v>
      </c>
      <c r="T127" s="17"/>
      <c r="U127" s="17">
        <f t="shared" si="337"/>
        <v>0</v>
      </c>
      <c r="V127" s="17"/>
      <c r="W127" s="17">
        <f t="shared" si="338"/>
        <v>0</v>
      </c>
      <c r="X127" s="17"/>
      <c r="Y127" s="17">
        <f t="shared" si="339"/>
        <v>0</v>
      </c>
      <c r="Z127" s="17"/>
      <c r="AA127" s="17" t="s">
        <v>51</v>
      </c>
      <c r="AB127" s="143" t="s">
        <v>51</v>
      </c>
      <c r="AC127" s="17"/>
      <c r="AD127" s="17"/>
      <c r="AE127" s="17">
        <f t="shared" si="340"/>
        <v>0</v>
      </c>
      <c r="AF127" s="143" t="s">
        <v>51</v>
      </c>
      <c r="AG127" s="17"/>
      <c r="AH127" s="17">
        <f t="shared" si="341"/>
        <v>0</v>
      </c>
      <c r="AI127" s="143" t="s">
        <v>51</v>
      </c>
      <c r="AJ127" s="17"/>
      <c r="AK127" s="17">
        <f t="shared" si="342"/>
        <v>0</v>
      </c>
      <c r="AL127" s="143" t="s">
        <v>51</v>
      </c>
      <c r="AM127" s="17"/>
      <c r="AN127" s="17">
        <f t="shared" si="343"/>
        <v>0</v>
      </c>
      <c r="AO127" s="143" t="s">
        <v>51</v>
      </c>
      <c r="AP127" s="17"/>
      <c r="AQ127" s="17">
        <f t="shared" si="344"/>
        <v>0</v>
      </c>
      <c r="AR127" s="143" t="s">
        <v>51</v>
      </c>
      <c r="AS127" s="17"/>
      <c r="AT127" s="17">
        <f t="shared" si="345"/>
        <v>0</v>
      </c>
      <c r="AU127" s="143" t="s">
        <v>51</v>
      </c>
      <c r="AV127" s="17"/>
      <c r="AW127" s="17">
        <f t="shared" si="346"/>
        <v>0</v>
      </c>
      <c r="AX127" s="143" t="s">
        <v>51</v>
      </c>
      <c r="AY127" s="17"/>
      <c r="AZ127" s="17">
        <f t="shared" si="347"/>
        <v>0</v>
      </c>
      <c r="BA127" s="143" t="s">
        <v>51</v>
      </c>
      <c r="BB127" s="17"/>
      <c r="BC127" s="17">
        <f t="shared" si="348"/>
        <v>0</v>
      </c>
      <c r="BD127" s="143" t="s">
        <v>51</v>
      </c>
      <c r="BE127" s="17"/>
      <c r="BF127" s="17">
        <f t="shared" si="349"/>
        <v>0</v>
      </c>
      <c r="BG127" s="143" t="s">
        <v>51</v>
      </c>
      <c r="BH127" s="17"/>
      <c r="BI127" s="17"/>
      <c r="BJ127" s="17"/>
      <c r="BK127" s="143" t="s">
        <v>51</v>
      </c>
      <c r="BL127" s="143">
        <f t="shared" si="350"/>
        <v>1</v>
      </c>
      <c r="BM127" s="172"/>
      <c r="BN127" s="88"/>
      <c r="BO127" s="88"/>
      <c r="BP127" s="88"/>
      <c r="BQ127" s="88"/>
      <c r="BR127" s="88"/>
      <c r="BS127" s="88"/>
      <c r="BT127" s="88"/>
      <c r="BU127" s="88"/>
      <c r="BV127" s="88"/>
      <c r="BW127" s="88"/>
      <c r="BX127" s="88"/>
      <c r="BY127" s="88"/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  <c r="DB127" s="88"/>
      <c r="DC127" s="88"/>
      <c r="DD127" s="88"/>
      <c r="DE127" s="88"/>
      <c r="DF127" s="88"/>
      <c r="DG127" s="88"/>
      <c r="DH127" s="88"/>
      <c r="DI127" s="88"/>
      <c r="DJ127" s="88"/>
      <c r="DK127" s="88"/>
      <c r="DL127" s="88"/>
      <c r="DM127" s="88"/>
      <c r="DN127" s="88"/>
      <c r="DO127" s="88"/>
      <c r="DP127" s="88"/>
      <c r="DQ127" s="88"/>
      <c r="DR127" s="88"/>
      <c r="DS127" s="88"/>
      <c r="DT127" s="88"/>
      <c r="DU127" s="88"/>
      <c r="DV127" s="88"/>
      <c r="DW127" s="88"/>
      <c r="DX127" s="88"/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88"/>
      <c r="EK127" s="88"/>
      <c r="EL127" s="88"/>
      <c r="EM127" s="88"/>
      <c r="EN127" s="88"/>
      <c r="EO127" s="88"/>
      <c r="EP127" s="88"/>
      <c r="EQ127" s="88"/>
      <c r="ER127" s="88"/>
      <c r="ES127" s="88"/>
      <c r="ET127" s="88"/>
      <c r="EU127" s="88"/>
      <c r="EV127" s="88"/>
      <c r="EW127" s="88"/>
      <c r="EX127" s="88"/>
      <c r="EY127" s="88"/>
      <c r="EZ127" s="88"/>
      <c r="FA127" s="88"/>
      <c r="FB127" s="88"/>
      <c r="FC127" s="88"/>
      <c r="FD127" s="88"/>
      <c r="FE127" s="88"/>
      <c r="FF127" s="88"/>
      <c r="FG127" s="88"/>
      <c r="FH127" s="88"/>
      <c r="FI127" s="88"/>
      <c r="FJ127" s="88"/>
      <c r="FK127" s="88"/>
      <c r="FL127" s="88"/>
      <c r="FM127" s="88"/>
      <c r="FN127" s="88"/>
      <c r="FO127" s="88"/>
      <c r="FP127" s="88"/>
      <c r="FQ127" s="88"/>
      <c r="FR127" s="88"/>
      <c r="FS127" s="88"/>
      <c r="FT127" s="88"/>
      <c r="FU127" s="88"/>
      <c r="FV127" s="88"/>
      <c r="FW127" s="88"/>
      <c r="FX127" s="88"/>
      <c r="FY127" s="88"/>
      <c r="FZ127" s="88"/>
      <c r="GA127" s="88"/>
      <c r="GB127" s="88"/>
      <c r="GC127" s="88"/>
      <c r="GD127" s="88"/>
      <c r="GE127" s="88"/>
      <c r="GF127" s="88"/>
      <c r="GG127" s="88"/>
      <c r="GH127" s="88"/>
      <c r="GI127" s="88"/>
      <c r="GJ127" s="88"/>
      <c r="GK127" s="88"/>
      <c r="GL127" s="88"/>
      <c r="GM127" s="88"/>
      <c r="GN127" s="88"/>
      <c r="GO127" s="88"/>
      <c r="GP127" s="88"/>
      <c r="GQ127" s="88"/>
      <c r="GR127" s="88"/>
      <c r="GS127" s="88"/>
      <c r="GT127" s="88"/>
      <c r="GU127" s="88"/>
      <c r="GV127" s="88"/>
      <c r="GW127" s="88"/>
      <c r="GX127" s="88"/>
    </row>
    <row r="128" spans="1:206" s="82" customFormat="1" ht="16.5">
      <c r="A128" s="422" t="s">
        <v>162</v>
      </c>
      <c r="B128" s="422"/>
      <c r="C128" s="17"/>
      <c r="D128" s="130">
        <f t="shared" si="329"/>
        <v>0</v>
      </c>
      <c r="E128" s="17"/>
      <c r="F128" s="17"/>
      <c r="G128" s="17">
        <f t="shared" si="330"/>
        <v>0</v>
      </c>
      <c r="H128" s="17"/>
      <c r="I128" s="17">
        <f t="shared" si="331"/>
        <v>0</v>
      </c>
      <c r="J128" s="17"/>
      <c r="K128" s="17">
        <f t="shared" si="332"/>
        <v>0</v>
      </c>
      <c r="L128" s="17"/>
      <c r="M128" s="17">
        <f t="shared" si="333"/>
        <v>0</v>
      </c>
      <c r="N128" s="17"/>
      <c r="O128" s="17">
        <f t="shared" si="334"/>
        <v>0</v>
      </c>
      <c r="P128" s="17"/>
      <c r="Q128" s="17">
        <f t="shared" si="335"/>
        <v>0</v>
      </c>
      <c r="R128" s="17"/>
      <c r="S128" s="17">
        <f t="shared" si="336"/>
        <v>0</v>
      </c>
      <c r="T128" s="17"/>
      <c r="U128" s="17">
        <f t="shared" si="337"/>
        <v>0</v>
      </c>
      <c r="V128" s="17"/>
      <c r="W128" s="17">
        <f t="shared" si="338"/>
        <v>0</v>
      </c>
      <c r="X128" s="17"/>
      <c r="Y128" s="17">
        <f t="shared" si="339"/>
        <v>0</v>
      </c>
      <c r="Z128" s="17"/>
      <c r="AA128" s="17" t="s">
        <v>51</v>
      </c>
      <c r="AB128" s="143" t="s">
        <v>51</v>
      </c>
      <c r="AC128" s="17"/>
      <c r="AD128" s="17"/>
      <c r="AE128" s="17">
        <f t="shared" si="340"/>
        <v>0</v>
      </c>
      <c r="AF128" s="143">
        <f>IF(G128=0,1,AE128/G128-1)</f>
        <v>1</v>
      </c>
      <c r="AG128" s="17"/>
      <c r="AH128" s="17">
        <f t="shared" si="341"/>
        <v>0</v>
      </c>
      <c r="AI128" s="143">
        <f>IF(I128=0,1,AH128/I128-1)</f>
        <v>1</v>
      </c>
      <c r="AJ128" s="17"/>
      <c r="AK128" s="17">
        <f t="shared" si="342"/>
        <v>0</v>
      </c>
      <c r="AL128" s="143">
        <f>IF(K128=0,1,AK128/K128-1)</f>
        <v>1</v>
      </c>
      <c r="AM128" s="17"/>
      <c r="AN128" s="17">
        <f t="shared" si="343"/>
        <v>0</v>
      </c>
      <c r="AO128" s="143">
        <f>IF(M128=0,1,AN128/M128-1)</f>
        <v>1</v>
      </c>
      <c r="AP128" s="17"/>
      <c r="AQ128" s="17">
        <f t="shared" si="344"/>
        <v>0</v>
      </c>
      <c r="AR128" s="143">
        <f>IF(O128=0,1,AQ128/O128-1)</f>
        <v>1</v>
      </c>
      <c r="AS128" s="17"/>
      <c r="AT128" s="17">
        <f t="shared" si="345"/>
        <v>0</v>
      </c>
      <c r="AU128" s="143">
        <f>IF(Q128=0,1,AT128/Q128-1)</f>
        <v>1</v>
      </c>
      <c r="AV128" s="17"/>
      <c r="AW128" s="17">
        <f t="shared" si="346"/>
        <v>0</v>
      </c>
      <c r="AX128" s="143">
        <f>IF(S128=0,1,AW128/S128-1)</f>
        <v>1</v>
      </c>
      <c r="AY128" s="17"/>
      <c r="AZ128" s="17">
        <f t="shared" si="347"/>
        <v>0</v>
      </c>
      <c r="BA128" s="143">
        <f>IF(U128=0,1,AZ128/U128-1)</f>
        <v>1</v>
      </c>
      <c r="BB128" s="17"/>
      <c r="BC128" s="17">
        <f t="shared" si="348"/>
        <v>0</v>
      </c>
      <c r="BD128" s="143">
        <f>IF(W128=0,1,BC128/W128-1)</f>
        <v>1</v>
      </c>
      <c r="BE128" s="17"/>
      <c r="BF128" s="17">
        <f t="shared" si="349"/>
        <v>0</v>
      </c>
      <c r="BG128" s="143">
        <f>IF(Y128=0,1,BF128/Y128-1)</f>
        <v>1</v>
      </c>
      <c r="BH128" s="17"/>
      <c r="BI128" s="17"/>
      <c r="BJ128" s="17"/>
      <c r="BK128" s="143">
        <f>IF($AA$24=0,1,BJ128/$AA$24-1)</f>
        <v>1</v>
      </c>
      <c r="BL128" s="143">
        <f t="shared" si="350"/>
        <v>1</v>
      </c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  <c r="GT128" s="83"/>
      <c r="GU128" s="83"/>
      <c r="GV128" s="83"/>
      <c r="GW128" s="83"/>
      <c r="GX128" s="83"/>
    </row>
    <row r="129" spans="1:206" s="66" customFormat="1">
      <c r="A129" s="89"/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91"/>
      <c r="BN129" s="91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</row>
    <row r="130" spans="1:206" s="66" customFormat="1" ht="33">
      <c r="A130" s="191" t="s">
        <v>163</v>
      </c>
      <c r="B130" s="192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91"/>
      <c r="BN130" s="91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</row>
    <row r="131" spans="1:206" s="66" customFormat="1" ht="16.5">
      <c r="A131" s="191" t="s">
        <v>164</v>
      </c>
      <c r="B131" s="192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91"/>
      <c r="BN131" s="91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</row>
    <row r="132" spans="1:206" s="66" customFormat="1">
      <c r="A132" s="89"/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91"/>
      <c r="BN132" s="91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</row>
    <row r="133" spans="1:206" s="66" customFormat="1">
      <c r="A133" s="89"/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91"/>
      <c r="BN133" s="91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</row>
    <row r="134" spans="1:206" s="66" customFormat="1">
      <c r="A134" s="89"/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91"/>
      <c r="BN134" s="91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</row>
    <row r="135" spans="1:206" s="66" customFormat="1">
      <c r="A135" s="89"/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91"/>
      <c r="BN135" s="91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</row>
    <row r="136" spans="1:206" s="66" customFormat="1">
      <c r="A136" s="89"/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91"/>
      <c r="BN136" s="91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</row>
    <row r="137" spans="1:206" s="66" customFormat="1">
      <c r="A137" s="89"/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91"/>
      <c r="BN137" s="91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</row>
    <row r="138" spans="1:206" s="66" customFormat="1">
      <c r="A138" s="89"/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91"/>
      <c r="BN138" s="91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</row>
    <row r="139" spans="1:206" s="66" customFormat="1">
      <c r="A139" s="89"/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91"/>
      <c r="BN139" s="91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</row>
    <row r="140" spans="1:206" s="66" customFormat="1">
      <c r="A140" s="89"/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91"/>
      <c r="BN140" s="91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</row>
    <row r="141" spans="1:206" s="66" customFormat="1">
      <c r="A141" s="89"/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91"/>
      <c r="BN141" s="91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</row>
    <row r="142" spans="1:206" s="66" customFormat="1">
      <c r="A142" s="89"/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91"/>
      <c r="BN142" s="91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</row>
    <row r="143" spans="1:206" s="66" customFormat="1">
      <c r="A143" s="89"/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91"/>
      <c r="BN143" s="91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</row>
    <row r="144" spans="1:206" s="66" customFormat="1">
      <c r="A144" s="89"/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91"/>
      <c r="BN144" s="91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</row>
    <row r="145" spans="1:206" s="66" customFormat="1">
      <c r="A145" s="89"/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91"/>
      <c r="BN145" s="91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</row>
    <row r="146" spans="1:206" s="66" customFormat="1">
      <c r="A146" s="89"/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91"/>
      <c r="BN146" s="91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</row>
    <row r="147" spans="1:206" s="66" customFormat="1">
      <c r="A147" s="89"/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91"/>
      <c r="BN147" s="91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</row>
    <row r="148" spans="1:206" s="66" customFormat="1">
      <c r="A148" s="89"/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91"/>
      <c r="BN148" s="91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</row>
    <row r="149" spans="1:206" s="66" customFormat="1">
      <c r="A149" s="89"/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91"/>
      <c r="BN149" s="91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</row>
    <row r="150" spans="1:206" s="66" customFormat="1">
      <c r="A150" s="89"/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91"/>
      <c r="BN150" s="91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</row>
    <row r="151" spans="1:206" s="66" customFormat="1">
      <c r="A151" s="89"/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91"/>
      <c r="BN151" s="91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</row>
    <row r="152" spans="1:206" s="66" customFormat="1">
      <c r="A152" s="89"/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91"/>
      <c r="BN152" s="91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</row>
    <row r="153" spans="1:206" s="66" customFormat="1">
      <c r="A153" s="89"/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91"/>
      <c r="BN153" s="91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</row>
    <row r="154" spans="1:206" s="66" customFormat="1">
      <c r="A154" s="89"/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91"/>
      <c r="BN154" s="91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</row>
    <row r="155" spans="1:206" s="66" customFormat="1">
      <c r="A155" s="89"/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91"/>
      <c r="BN155" s="91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</row>
    <row r="156" spans="1:206" s="66" customFormat="1">
      <c r="A156" s="89"/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91"/>
      <c r="BN156" s="91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</row>
    <row r="157" spans="1:206" s="66" customFormat="1">
      <c r="A157" s="89"/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91"/>
      <c r="BN157" s="91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</row>
    <row r="158" spans="1:206" s="66" customFormat="1">
      <c r="A158" s="89"/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91"/>
      <c r="BN158" s="91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</row>
    <row r="159" spans="1:206" s="66" customFormat="1">
      <c r="A159" s="89"/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91"/>
      <c r="BN159" s="91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</row>
    <row r="160" spans="1:206" s="66" customFormat="1">
      <c r="A160" s="89"/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91"/>
      <c r="BN160" s="91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</row>
    <row r="161" spans="1:206" s="66" customFormat="1">
      <c r="A161" s="89"/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91"/>
      <c r="BN161" s="91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</row>
    <row r="162" spans="1:206" s="66" customFormat="1">
      <c r="A162" s="89"/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91"/>
      <c r="BN162" s="91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</row>
    <row r="163" spans="1:206" s="66" customFormat="1">
      <c r="A163" s="89"/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91"/>
      <c r="BN163" s="91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</row>
    <row r="164" spans="1:206" s="66" customFormat="1">
      <c r="A164" s="89"/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91"/>
      <c r="BN164" s="91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</row>
    <row r="165" spans="1:206" s="66" customFormat="1">
      <c r="A165" s="89"/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91"/>
      <c r="BN165" s="91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</row>
    <row r="166" spans="1:206" s="66" customFormat="1">
      <c r="A166" s="89"/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91"/>
      <c r="BN166" s="91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</row>
    <row r="167" spans="1:206" s="66" customFormat="1">
      <c r="A167" s="89"/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91"/>
      <c r="BN167" s="91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</row>
    <row r="168" spans="1:206" s="66" customFormat="1">
      <c r="A168" s="89"/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91"/>
      <c r="BN168" s="91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</row>
    <row r="169" spans="1:206" s="66" customFormat="1">
      <c r="A169" s="89"/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91"/>
      <c r="BN169" s="91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</row>
    <row r="170" spans="1:206" s="66" customFormat="1">
      <c r="A170" s="89"/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91"/>
      <c r="BN170" s="91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</row>
    <row r="171" spans="1:206" s="66" customFormat="1">
      <c r="A171" s="89"/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91"/>
      <c r="BN171" s="91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</row>
    <row r="172" spans="1:206" s="66" customFormat="1">
      <c r="A172" s="89"/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91"/>
      <c r="BN172" s="91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</row>
    <row r="173" spans="1:206" s="34" customFormat="1">
      <c r="A173" s="45"/>
      <c r="B173" s="45"/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47"/>
      <c r="BN173" s="47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</row>
    <row r="174" spans="1:206" s="34" customFormat="1">
      <c r="A174" s="45"/>
      <c r="B174" s="45"/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47"/>
      <c r="BN174" s="47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</row>
    <row r="175" spans="1:206" s="34" customFormat="1">
      <c r="A175" s="45"/>
      <c r="B175" s="45"/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47"/>
      <c r="BN175" s="47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</row>
    <row r="176" spans="1:206" s="34" customFormat="1">
      <c r="A176" s="45"/>
      <c r="B176" s="45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</row>
    <row r="177" spans="1:206" s="34" customFormat="1">
      <c r="A177" s="45"/>
      <c r="B177" s="45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</row>
    <row r="178" spans="1:206" s="34" customFormat="1">
      <c r="A178" s="45"/>
      <c r="B178" s="45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47"/>
      <c r="BN178" s="47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</row>
    <row r="179" spans="1:206" s="34" customFormat="1">
      <c r="A179" s="45"/>
      <c r="B179" s="45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47"/>
      <c r="BN179" s="47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</row>
    <row r="180" spans="1:206" s="34" customFormat="1">
      <c r="A180" s="45"/>
      <c r="B180" s="45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47"/>
      <c r="BN180" s="47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</row>
    <row r="181" spans="1:206" s="34" customFormat="1">
      <c r="A181" s="45"/>
      <c r="B181" s="45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47"/>
      <c r="BN181" s="47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</row>
    <row r="182" spans="1:206" s="34" customFormat="1">
      <c r="A182" s="45"/>
      <c r="B182" s="45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47"/>
      <c r="BN182" s="47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</row>
    <row r="183" spans="1:206" s="34" customFormat="1">
      <c r="A183" s="45"/>
      <c r="B183" s="45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47"/>
      <c r="BN183" s="47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</row>
    <row r="184" spans="1:206" s="34" customFormat="1">
      <c r="A184" s="45"/>
      <c r="B184" s="45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47"/>
      <c r="BN184" s="47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</row>
    <row r="185" spans="1:206" s="34" customFormat="1">
      <c r="A185" s="45"/>
      <c r="B185" s="45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47"/>
      <c r="BN185" s="47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</row>
    <row r="186" spans="1:206" s="34" customFormat="1">
      <c r="A186" s="45"/>
      <c r="B186" s="45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47"/>
      <c r="BN186" s="47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</row>
    <row r="187" spans="1:206" s="34" customFormat="1">
      <c r="A187" s="45"/>
      <c r="B187" s="45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47"/>
      <c r="BN187" s="47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</row>
    <row r="188" spans="1:206" s="34" customFormat="1">
      <c r="A188" s="45"/>
      <c r="B188" s="45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47"/>
      <c r="BN188" s="47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</row>
    <row r="189" spans="1:206" s="34" customFormat="1">
      <c r="A189" s="45"/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47"/>
      <c r="BN189" s="47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</row>
    <row r="190" spans="1:206" s="34" customFormat="1">
      <c r="A190" s="45"/>
      <c r="B190" s="45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47"/>
      <c r="BN190" s="47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</row>
    <row r="191" spans="1:206" s="34" customFormat="1">
      <c r="A191" s="45"/>
      <c r="B191" s="45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47"/>
      <c r="BN191" s="47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</row>
    <row r="192" spans="1:206" s="34" customFormat="1">
      <c r="A192" s="45"/>
      <c r="B192" s="45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47"/>
      <c r="BN192" s="47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</row>
    <row r="193" spans="1:206" s="34" customFormat="1">
      <c r="A193" s="45"/>
      <c r="B193" s="45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47"/>
      <c r="BN193" s="47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</row>
    <row r="194" spans="1:206" s="34" customFormat="1">
      <c r="A194" s="45"/>
      <c r="B194" s="45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47"/>
      <c r="BN194" s="47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</row>
    <row r="195" spans="1:206" s="34" customFormat="1">
      <c r="A195" s="45"/>
      <c r="B195" s="45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47"/>
      <c r="BN195" s="47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</row>
    <row r="196" spans="1:206" s="34" customFormat="1">
      <c r="A196" s="45"/>
      <c r="B196" s="45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47"/>
      <c r="BN196" s="47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</row>
    <row r="197" spans="1:206" s="34" customFormat="1">
      <c r="A197" s="45"/>
      <c r="B197" s="45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47"/>
      <c r="BN197" s="47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</row>
    <row r="198" spans="1:206" s="34" customFormat="1">
      <c r="A198" s="45"/>
      <c r="B198" s="45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</row>
    <row r="199" spans="1:206" s="34" customFormat="1">
      <c r="A199" s="45"/>
      <c r="B199" s="45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</row>
    <row r="200" spans="1:206" s="34" customFormat="1">
      <c r="A200" s="45"/>
      <c r="B200" s="45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</row>
    <row r="201" spans="1:206" s="34" customFormat="1">
      <c r="A201" s="45"/>
      <c r="B201" s="45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</row>
    <row r="202" spans="1:206" s="34" customFormat="1">
      <c r="A202" s="45"/>
      <c r="B202" s="45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47"/>
      <c r="BN202" s="47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</row>
    <row r="203" spans="1:206" s="34" customFormat="1">
      <c r="A203" s="45"/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47"/>
      <c r="BN203" s="47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</row>
    <row r="204" spans="1:206" s="34" customFormat="1">
      <c r="A204" s="45"/>
      <c r="B204" s="45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47"/>
      <c r="BN204" s="47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</row>
    <row r="205" spans="1:206" s="34" customFormat="1">
      <c r="A205" s="45"/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47"/>
      <c r="BN205" s="47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</row>
    <row r="206" spans="1:206" s="34" customFormat="1">
      <c r="A206" s="45"/>
      <c r="B206" s="45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47"/>
      <c r="BN206" s="47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</row>
    <row r="207" spans="1:206" s="34" customFormat="1">
      <c r="A207" s="45"/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47"/>
      <c r="BN207" s="47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</row>
    <row r="208" spans="1:206" s="34" customFormat="1">
      <c r="A208" s="45"/>
      <c r="B208" s="45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47"/>
      <c r="BN208" s="47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</row>
    <row r="209" spans="1:206" s="34" customFormat="1">
      <c r="A209" s="45"/>
      <c r="B209" s="45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47"/>
      <c r="BN209" s="47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</row>
    <row r="210" spans="1:206" s="34" customFormat="1">
      <c r="A210" s="45"/>
      <c r="B210" s="45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47"/>
      <c r="BN210" s="47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</row>
    <row r="211" spans="1:206" s="34" customFormat="1">
      <c r="A211" s="45"/>
      <c r="B211" s="45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47"/>
      <c r="BN211" s="47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</row>
    <row r="212" spans="1:206" s="34" customFormat="1">
      <c r="A212" s="45"/>
      <c r="B212" s="45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47"/>
      <c r="BN212" s="47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</row>
    <row r="213" spans="1:206" s="34" customFormat="1">
      <c r="A213" s="45"/>
      <c r="B213" s="45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47"/>
      <c r="BN213" s="47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</row>
    <row r="214" spans="1:206" s="34" customFormat="1">
      <c r="A214" s="45"/>
      <c r="B214" s="45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47"/>
      <c r="BN214" s="47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</row>
    <row r="215" spans="1:206" s="34" customFormat="1">
      <c r="A215" s="45"/>
      <c r="B215" s="45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47"/>
      <c r="BN215" s="47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</row>
    <row r="216" spans="1:206" s="34" customFormat="1">
      <c r="A216" s="45"/>
      <c r="B216" s="45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47"/>
      <c r="BN216" s="47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</row>
    <row r="217" spans="1:206" s="34" customFormat="1">
      <c r="A217" s="45"/>
      <c r="B217" s="45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47"/>
      <c r="BN217" s="47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</row>
    <row r="218" spans="1:206" s="34" customFormat="1">
      <c r="A218" s="45"/>
      <c r="B218" s="45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47"/>
      <c r="BN218" s="47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</row>
    <row r="219" spans="1:206" s="34" customFormat="1">
      <c r="A219" s="45"/>
      <c r="B219" s="45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47"/>
      <c r="BN219" s="47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</row>
    <row r="220" spans="1:206" s="34" customFormat="1">
      <c r="A220" s="45"/>
      <c r="B220" s="45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47"/>
      <c r="BN220" s="47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</row>
    <row r="221" spans="1:206" s="34" customFormat="1">
      <c r="A221" s="45"/>
      <c r="B221" s="45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47"/>
      <c r="BN221" s="47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</row>
    <row r="222" spans="1:206" s="34" customFormat="1">
      <c r="A222" s="45"/>
      <c r="B222" s="45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</row>
    <row r="223" spans="1:206" s="34" customFormat="1">
      <c r="A223" s="45"/>
      <c r="B223" s="45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</row>
    <row r="224" spans="1:206" s="34" customFormat="1">
      <c r="A224" s="45"/>
      <c r="B224" s="45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</row>
    <row r="225" spans="1:206" s="34" customFormat="1">
      <c r="A225" s="45"/>
      <c r="B225" s="45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47"/>
      <c r="BN225" s="47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</row>
    <row r="226" spans="1:206" s="34" customFormat="1">
      <c r="A226" s="45"/>
      <c r="B226" s="45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47"/>
      <c r="BN226" s="47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</row>
    <row r="227" spans="1:206" s="34" customFormat="1">
      <c r="A227" s="45"/>
      <c r="B227" s="45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47"/>
      <c r="BN227" s="47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</row>
    <row r="228" spans="1:206" s="34" customFormat="1">
      <c r="A228" s="45"/>
      <c r="B228" s="45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47"/>
      <c r="BN228" s="47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</row>
    <row r="229" spans="1:206" s="34" customFormat="1">
      <c r="A229" s="45"/>
      <c r="B229" s="45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47"/>
      <c r="BN229" s="47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</row>
    <row r="230" spans="1:206" s="34" customFormat="1">
      <c r="A230" s="45"/>
      <c r="B230" s="45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47"/>
      <c r="BN230" s="47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</row>
    <row r="231" spans="1:206" s="34" customFormat="1">
      <c r="A231" s="45"/>
      <c r="B231" s="45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47"/>
      <c r="BN231" s="47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</row>
    <row r="232" spans="1:206" s="34" customFormat="1">
      <c r="A232" s="45"/>
      <c r="B232" s="45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47"/>
      <c r="BN232" s="47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</row>
    <row r="233" spans="1:206" s="34" customFormat="1">
      <c r="A233" s="45"/>
      <c r="B233" s="45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47"/>
      <c r="BN233" s="47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</row>
    <row r="234" spans="1:206" s="34" customFormat="1">
      <c r="A234" s="45"/>
      <c r="B234" s="45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47"/>
      <c r="BN234" s="47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</row>
    <row r="235" spans="1:206" s="34" customFormat="1">
      <c r="A235" s="45"/>
      <c r="B235" s="45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47"/>
      <c r="BN235" s="47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</row>
    <row r="236" spans="1:206" s="34" customFormat="1">
      <c r="A236" s="45"/>
      <c r="B236" s="45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47"/>
      <c r="BN236" s="47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</row>
    <row r="237" spans="1:206" s="34" customFormat="1">
      <c r="A237" s="45"/>
      <c r="B237" s="45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47"/>
      <c r="BN237" s="47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</row>
    <row r="238" spans="1:206" s="34" customFormat="1">
      <c r="A238" s="45"/>
      <c r="B238" s="45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47"/>
      <c r="BN238" s="47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</row>
    <row r="239" spans="1:206" s="34" customFormat="1">
      <c r="A239" s="45"/>
      <c r="B239" s="45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47"/>
      <c r="BN239" s="47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</row>
    <row r="240" spans="1:206" s="34" customFormat="1">
      <c r="A240" s="45"/>
      <c r="B240" s="45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47"/>
      <c r="BN240" s="47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</row>
    <row r="241" spans="1:206" s="34" customFormat="1">
      <c r="A241" s="45"/>
      <c r="B241" s="45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47"/>
      <c r="BN241" s="47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</row>
    <row r="242" spans="1:206" s="34" customFormat="1">
      <c r="A242" s="45"/>
      <c r="B242" s="45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47"/>
      <c r="BN242" s="47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</row>
    <row r="243" spans="1:206" s="34" customFormat="1">
      <c r="A243" s="45"/>
      <c r="B243" s="45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47"/>
      <c r="BN243" s="47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</row>
    <row r="244" spans="1:206" s="34" customFormat="1">
      <c r="A244" s="45"/>
      <c r="B244" s="45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47"/>
      <c r="BN244" s="47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</row>
    <row r="245" spans="1:206" s="34" customFormat="1">
      <c r="A245" s="45"/>
      <c r="B245" s="45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47"/>
      <c r="BN245" s="47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</row>
    <row r="246" spans="1:206" s="34" customFormat="1">
      <c r="A246" s="45"/>
      <c r="B246" s="45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47"/>
      <c r="BN246" s="47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</row>
    <row r="247" spans="1:206" s="34" customFormat="1">
      <c r="A247" s="45"/>
      <c r="B247" s="45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47"/>
      <c r="BN247" s="47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</row>
    <row r="248" spans="1:206" s="34" customFormat="1">
      <c r="A248" s="45"/>
      <c r="B248" s="45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47"/>
      <c r="BN248" s="47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</row>
    <row r="249" spans="1:206" s="34" customFormat="1">
      <c r="A249" s="45"/>
      <c r="B249" s="45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47"/>
      <c r="BN249" s="47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</row>
    <row r="250" spans="1:206" s="34" customFormat="1">
      <c r="A250" s="45"/>
      <c r="B250" s="45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47"/>
      <c r="BN250" s="47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</row>
    <row r="251" spans="1:206" s="34" customFormat="1">
      <c r="A251" s="45"/>
      <c r="B251" s="45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47"/>
      <c r="BN251" s="47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</row>
    <row r="252" spans="1:206" s="34" customFormat="1">
      <c r="A252" s="45"/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47"/>
      <c r="BN252" s="47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</row>
    <row r="253" spans="1:206" s="34" customFormat="1">
      <c r="A253" s="45"/>
      <c r="B253" s="45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47"/>
      <c r="BN253" s="47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</row>
    <row r="254" spans="1:206" s="34" customFormat="1">
      <c r="A254" s="45"/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47"/>
      <c r="BN254" s="47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</row>
    <row r="255" spans="1:206" s="34" customFormat="1">
      <c r="A255" s="45"/>
      <c r="B255" s="45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47"/>
      <c r="BN255" s="47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</row>
    <row r="256" spans="1:206" s="34" customFormat="1">
      <c r="A256" s="45"/>
      <c r="B256" s="45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47"/>
      <c r="BN256" s="47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</row>
    <row r="257" spans="1:206" s="34" customFormat="1">
      <c r="A257" s="45"/>
      <c r="B257" s="45"/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47"/>
      <c r="BN257" s="47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</row>
    <row r="258" spans="1:206" s="34" customFormat="1">
      <c r="A258" s="45"/>
      <c r="B258" s="45"/>
      <c r="C258" s="45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47"/>
      <c r="BN258" s="47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</row>
    <row r="259" spans="1:206" s="34" customFormat="1">
      <c r="A259" s="45"/>
      <c r="B259" s="45"/>
      <c r="C259" s="45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47"/>
      <c r="BN259" s="47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</row>
    <row r="260" spans="1:206" s="34" customFormat="1">
      <c r="A260" s="45"/>
      <c r="B260" s="45"/>
      <c r="C260" s="45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47"/>
      <c r="BN260" s="47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</row>
    <row r="261" spans="1:206" s="34" customFormat="1">
      <c r="A261" s="45"/>
      <c r="B261" s="45"/>
      <c r="C261" s="45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47"/>
      <c r="BN261" s="47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</row>
    <row r="262" spans="1:206" s="34" customFormat="1">
      <c r="A262" s="45"/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47"/>
      <c r="BN262" s="47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</row>
    <row r="263" spans="1:206" s="34" customFormat="1">
      <c r="A263" s="45"/>
      <c r="B263" s="45"/>
      <c r="C263" s="45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47"/>
      <c r="BN263" s="47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</row>
    <row r="264" spans="1:206" s="34" customFormat="1">
      <c r="A264" s="45"/>
      <c r="B264" s="45"/>
      <c r="C264" s="45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47"/>
      <c r="BN264" s="47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</row>
    <row r="265" spans="1:206" s="34" customFormat="1">
      <c r="A265" s="45"/>
      <c r="B265" s="45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47"/>
      <c r="BN265" s="47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</row>
    <row r="266" spans="1:206" s="34" customFormat="1">
      <c r="A266" s="45"/>
      <c r="B266" s="45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47"/>
      <c r="BN266" s="47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</row>
    <row r="267" spans="1:206" s="34" customFormat="1">
      <c r="A267" s="45"/>
      <c r="B267" s="45"/>
      <c r="C267" s="45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47"/>
      <c r="BN267" s="47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</row>
    <row r="268" spans="1:206" s="34" customFormat="1">
      <c r="A268" s="45"/>
      <c r="B268" s="45"/>
      <c r="C268" s="45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47"/>
      <c r="BN268" s="47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</row>
    <row r="269" spans="1:206" s="34" customFormat="1">
      <c r="A269" s="45"/>
      <c r="B269" s="45"/>
      <c r="C269" s="45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47"/>
      <c r="BN269" s="47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</row>
    <row r="270" spans="1:206" s="34" customFormat="1">
      <c r="A270" s="45"/>
      <c r="B270" s="45"/>
      <c r="C270" s="45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47"/>
      <c r="BN270" s="47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</row>
    <row r="271" spans="1:206" s="34" customFormat="1">
      <c r="A271" s="45"/>
      <c r="B271" s="45"/>
      <c r="C271" s="45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47"/>
      <c r="BN271" s="47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</row>
    <row r="272" spans="1:206" s="34" customFormat="1">
      <c r="A272" s="45"/>
      <c r="B272" s="45"/>
      <c r="C272" s="45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47"/>
      <c r="BN272" s="47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</row>
    <row r="273" spans="1:206" s="34" customFormat="1">
      <c r="A273" s="45"/>
      <c r="B273" s="45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47"/>
      <c r="BN273" s="47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</row>
    <row r="274" spans="1:206" s="34" customFormat="1">
      <c r="A274" s="45"/>
      <c r="B274" s="45"/>
      <c r="C274" s="45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47"/>
      <c r="BN274" s="47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</row>
    <row r="275" spans="1:206" s="34" customFormat="1">
      <c r="A275" s="45"/>
      <c r="B275" s="45"/>
      <c r="C275" s="45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47"/>
      <c r="BN275" s="47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</row>
    <row r="276" spans="1:206" s="34" customFormat="1">
      <c r="A276" s="45"/>
      <c r="B276" s="45"/>
      <c r="C276" s="45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47"/>
      <c r="BN276" s="47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</row>
    <row r="277" spans="1:206" s="34" customFormat="1">
      <c r="A277" s="45"/>
      <c r="B277" s="45"/>
      <c r="C277" s="45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47"/>
      <c r="BN277" s="47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</row>
    <row r="278" spans="1:206" s="34" customFormat="1">
      <c r="A278" s="45"/>
      <c r="B278" s="45"/>
      <c r="C278" s="45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47"/>
      <c r="BN278" s="47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</row>
    <row r="279" spans="1:206" s="34" customFormat="1">
      <c r="A279" s="45"/>
      <c r="B279" s="45"/>
      <c r="C279" s="45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47"/>
      <c r="BN279" s="47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</row>
    <row r="280" spans="1:206" s="34" customFormat="1">
      <c r="A280" s="45"/>
      <c r="B280" s="45"/>
      <c r="C280" s="45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47"/>
      <c r="BN280" s="47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</row>
    <row r="281" spans="1:206" s="34" customFormat="1">
      <c r="A281" s="45"/>
      <c r="B281" s="45"/>
      <c r="C281" s="45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47"/>
      <c r="BN281" s="47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</row>
    <row r="282" spans="1:206" s="2" customFormat="1">
      <c r="A282" s="48"/>
      <c r="B282" s="48"/>
      <c r="C282" s="48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BM282" s="1"/>
      <c r="BN282" s="1"/>
    </row>
    <row r="283" spans="1:206" s="2" customFormat="1">
      <c r="A283" s="48"/>
      <c r="B283" s="48"/>
      <c r="C283" s="48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BM283" s="1"/>
      <c r="BN283" s="1"/>
    </row>
    <row r="284" spans="1:206" s="2" customFormat="1">
      <c r="A284" s="48"/>
      <c r="B284" s="48"/>
      <c r="C284" s="48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BM284" s="1"/>
      <c r="BN284" s="1"/>
    </row>
    <row r="285" spans="1:206" s="2" customFormat="1">
      <c r="A285" s="48"/>
      <c r="B285" s="48"/>
      <c r="C285" s="48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BM285" s="1"/>
      <c r="BN285" s="1"/>
    </row>
    <row r="286" spans="1:206" s="2" customFormat="1">
      <c r="A286" s="48"/>
      <c r="B286" s="48"/>
      <c r="C286" s="48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BM286" s="1"/>
      <c r="BN286" s="1"/>
    </row>
    <row r="287" spans="1:206" s="2" customFormat="1">
      <c r="A287" s="48"/>
      <c r="B287" s="48"/>
      <c r="C287" s="48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BM287" s="1"/>
      <c r="BN287" s="1"/>
    </row>
    <row r="288" spans="1:206" s="2" customFormat="1">
      <c r="A288" s="48"/>
      <c r="B288" s="48"/>
      <c r="C288" s="48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BM288" s="1"/>
      <c r="BN288" s="1"/>
    </row>
    <row r="289" spans="1:66" s="2" customFormat="1">
      <c r="A289" s="48"/>
      <c r="B289" s="48"/>
      <c r="C289" s="48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BM289" s="1"/>
      <c r="BN289" s="1"/>
    </row>
    <row r="290" spans="1:66" s="2" customFormat="1">
      <c r="A290" s="48"/>
      <c r="B290" s="48"/>
      <c r="C290" s="48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BM290" s="1"/>
      <c r="BN290" s="1"/>
    </row>
    <row r="291" spans="1:66" s="2" customFormat="1">
      <c r="A291" s="48"/>
      <c r="B291" s="48"/>
      <c r="C291" s="48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BM291" s="1"/>
      <c r="BN291" s="1"/>
    </row>
    <row r="292" spans="1:66" s="2" customFormat="1">
      <c r="A292" s="48"/>
      <c r="B292" s="48"/>
      <c r="C292" s="48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BM292" s="1"/>
      <c r="BN292" s="1"/>
    </row>
    <row r="293" spans="1:66" s="2" customFormat="1">
      <c r="A293" s="48"/>
      <c r="B293" s="48"/>
      <c r="C293" s="48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BM293" s="1"/>
      <c r="BN293" s="1"/>
    </row>
    <row r="294" spans="1:66" s="2" customFormat="1">
      <c r="A294" s="48"/>
      <c r="B294" s="48"/>
      <c r="C294" s="48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BM294" s="1"/>
      <c r="BN294" s="1"/>
    </row>
    <row r="295" spans="1:66" s="2" customFormat="1">
      <c r="A295" s="48"/>
      <c r="B295" s="48"/>
      <c r="C295" s="48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BM295" s="1"/>
      <c r="BN295" s="1"/>
    </row>
    <row r="296" spans="1:66" s="2" customFormat="1">
      <c r="A296" s="48"/>
      <c r="B296" s="48"/>
      <c r="C296" s="48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BM296" s="1"/>
      <c r="BN296" s="1"/>
    </row>
    <row r="297" spans="1:66" s="2" customFormat="1">
      <c r="A297" s="48"/>
      <c r="B297" s="48"/>
      <c r="C297" s="48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BM297" s="1"/>
      <c r="BN297" s="1"/>
    </row>
    <row r="298" spans="1:66" s="2" customFormat="1">
      <c r="A298" s="48"/>
      <c r="B298" s="48"/>
      <c r="C298" s="48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BM298" s="1"/>
      <c r="BN298" s="1"/>
    </row>
    <row r="299" spans="1:66" s="2" customFormat="1">
      <c r="A299" s="48"/>
      <c r="B299" s="48"/>
      <c r="C299" s="48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BM299" s="1"/>
      <c r="BN299" s="1"/>
    </row>
    <row r="300" spans="1:66" s="2" customFormat="1">
      <c r="A300" s="48"/>
      <c r="B300" s="48"/>
      <c r="C300" s="48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BM300" s="1"/>
      <c r="BN300" s="1"/>
    </row>
    <row r="301" spans="1:66" s="2" customFormat="1">
      <c r="A301" s="48"/>
      <c r="B301" s="48"/>
      <c r="C301" s="48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BM301" s="1"/>
      <c r="BN301" s="1"/>
    </row>
    <row r="302" spans="1:66" s="2" customFormat="1">
      <c r="A302" s="48"/>
      <c r="B302" s="48"/>
      <c r="C302" s="48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BM302" s="1"/>
      <c r="BN302" s="1"/>
    </row>
    <row r="303" spans="1:66" s="2" customFormat="1">
      <c r="A303" s="48"/>
      <c r="B303" s="48"/>
      <c r="C303" s="48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BM303" s="1"/>
      <c r="BN303" s="1"/>
    </row>
    <row r="304" spans="1:66" s="2" customFormat="1">
      <c r="A304" s="48"/>
      <c r="B304" s="48"/>
      <c r="C304" s="48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BM304" s="1"/>
      <c r="BN304" s="1"/>
    </row>
    <row r="305" spans="1:66" s="2" customFormat="1">
      <c r="A305" s="48"/>
      <c r="B305" s="48"/>
      <c r="C305" s="48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BM305" s="1"/>
      <c r="BN305" s="1"/>
    </row>
    <row r="306" spans="1:66" s="2" customFormat="1">
      <c r="A306" s="48"/>
      <c r="B306" s="48"/>
      <c r="C306" s="48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BM306" s="1"/>
      <c r="BN306" s="1"/>
    </row>
    <row r="307" spans="1:66" s="2" customFormat="1">
      <c r="A307" s="48"/>
      <c r="B307" s="48"/>
      <c r="C307" s="48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BM307" s="1"/>
      <c r="BN307" s="1"/>
    </row>
    <row r="308" spans="1:66" s="2" customFormat="1">
      <c r="A308" s="48"/>
      <c r="B308" s="48"/>
      <c r="C308" s="48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BM308" s="1"/>
      <c r="BN308" s="1"/>
    </row>
    <row r="309" spans="1:66" s="2" customFormat="1">
      <c r="A309" s="48"/>
      <c r="B309" s="48"/>
      <c r="C309" s="48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BM309" s="1"/>
      <c r="BN309" s="1"/>
    </row>
    <row r="310" spans="1:66" s="2" customFormat="1">
      <c r="A310" s="48"/>
      <c r="B310" s="48"/>
      <c r="C310" s="48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BM310" s="1"/>
      <c r="BN310" s="1"/>
    </row>
    <row r="311" spans="1:66" s="2" customFormat="1">
      <c r="A311" s="48"/>
      <c r="B311" s="48"/>
      <c r="C311" s="48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BM311" s="1"/>
      <c r="BN311" s="1"/>
    </row>
    <row r="312" spans="1:66" s="2" customFormat="1">
      <c r="A312" s="48"/>
      <c r="B312" s="48"/>
      <c r="C312" s="48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BM312" s="1"/>
      <c r="BN312" s="1"/>
    </row>
    <row r="313" spans="1:66" s="2" customFormat="1">
      <c r="A313" s="48"/>
      <c r="B313" s="48"/>
      <c r="C313" s="48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BM313" s="1"/>
      <c r="BN313" s="1"/>
    </row>
    <row r="314" spans="1:66" s="2" customFormat="1">
      <c r="A314" s="48"/>
      <c r="B314" s="48"/>
      <c r="C314" s="48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BM314" s="1"/>
      <c r="BN314" s="1"/>
    </row>
    <row r="315" spans="1:66" s="2" customFormat="1">
      <c r="A315" s="48"/>
      <c r="B315" s="48"/>
      <c r="C315" s="48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BM315" s="1"/>
      <c r="BN315" s="1"/>
    </row>
    <row r="316" spans="1:66" s="2" customFormat="1">
      <c r="A316" s="48"/>
      <c r="B316" s="48"/>
      <c r="C316" s="48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BM316" s="1"/>
      <c r="BN316" s="1"/>
    </row>
    <row r="317" spans="1:66" s="2" customFormat="1">
      <c r="A317" s="48"/>
      <c r="B317" s="48"/>
      <c r="C317" s="48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BM317" s="1"/>
      <c r="BN317" s="1"/>
    </row>
    <row r="318" spans="1:66" s="2" customFormat="1">
      <c r="A318" s="48"/>
      <c r="B318" s="48"/>
      <c r="C318" s="48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BM318" s="1"/>
      <c r="BN318" s="1"/>
    </row>
    <row r="319" spans="1:66" s="2" customFormat="1">
      <c r="A319" s="48"/>
      <c r="B319" s="48"/>
      <c r="C319" s="48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BM319" s="1"/>
      <c r="BN319" s="1"/>
    </row>
    <row r="320" spans="1:66" s="2" customFormat="1">
      <c r="A320" s="48"/>
      <c r="B320" s="48"/>
      <c r="C320" s="48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BM320" s="1"/>
      <c r="BN320" s="1"/>
    </row>
    <row r="321" spans="1:66" s="2" customFormat="1">
      <c r="A321" s="48"/>
      <c r="B321" s="48"/>
      <c r="C321" s="48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BM321" s="1"/>
      <c r="BN321" s="1"/>
    </row>
    <row r="322" spans="1:66" s="2" customFormat="1">
      <c r="A322" s="48"/>
      <c r="B322" s="48"/>
      <c r="C322" s="48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BM322" s="1"/>
      <c r="BN322" s="1"/>
    </row>
  </sheetData>
  <sheetProtection password="CF36" sheet="1" objects="1" scenarios="1" formatColumns="0" formatRows="0"/>
  <mergeCells count="124">
    <mergeCell ref="A5:B8"/>
    <mergeCell ref="D5:Z5"/>
    <mergeCell ref="AA5:BL5"/>
    <mergeCell ref="C6:C7"/>
    <mergeCell ref="D6:D7"/>
    <mergeCell ref="E6:Z6"/>
    <mergeCell ref="AA6:AA7"/>
    <mergeCell ref="A1:O1"/>
    <mergeCell ref="BJ6:BJ7"/>
    <mergeCell ref="BK6:BK7"/>
    <mergeCell ref="BL6:BL7"/>
    <mergeCell ref="C2:BL2"/>
    <mergeCell ref="C3:BL3"/>
    <mergeCell ref="AB6:AB7"/>
    <mergeCell ref="AC6:BI6"/>
    <mergeCell ref="A14:B14"/>
    <mergeCell ref="A15:B15"/>
    <mergeCell ref="A16:B16"/>
    <mergeCell ref="A17:B17"/>
    <mergeCell ref="A18:B18"/>
    <mergeCell ref="A19:B19"/>
    <mergeCell ref="A9:B9"/>
    <mergeCell ref="A10:B10"/>
    <mergeCell ref="A11:B11"/>
    <mergeCell ref="A13:B13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8:B108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9:B109"/>
    <mergeCell ref="A110:B110"/>
    <mergeCell ref="A111:B111"/>
    <mergeCell ref="A114:B114"/>
    <mergeCell ref="A128:B128"/>
    <mergeCell ref="A122:B122"/>
    <mergeCell ref="A123:B123"/>
    <mergeCell ref="A124:B124"/>
    <mergeCell ref="A125:B125"/>
    <mergeCell ref="A126:B126"/>
    <mergeCell ref="A127:B127"/>
    <mergeCell ref="A115:B115"/>
    <mergeCell ref="A116:B116"/>
    <mergeCell ref="A117:B117"/>
    <mergeCell ref="A118:B118"/>
    <mergeCell ref="A120:B120"/>
    <mergeCell ref="A121:B121"/>
    <mergeCell ref="A119:B119"/>
  </mergeCells>
  <printOptions horizontalCentered="1"/>
  <pageMargins left="0.15748031496062992" right="0.15748031496062992" top="0.27559055118110237" bottom="0.15748031496062992" header="0.15748031496062992" footer="0.15748031496062992"/>
  <pageSetup paperSize="8" scale="65" fitToWidth="3" fitToHeight="5" orientation="landscape" r:id="rId1"/>
  <headerFooter alignWithMargins="0"/>
  <rowBreaks count="1" manualBreakCount="1">
    <brk id="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консолидированный (короткая)</vt:lpstr>
      <vt:lpstr>конс.</vt:lpstr>
      <vt:lpstr>пояснения</vt:lpstr>
      <vt:lpstr>сортавала</vt:lpstr>
      <vt:lpstr>бюджет округа (района)</vt:lpstr>
      <vt:lpstr>бюджеты поселений</vt:lpstr>
      <vt:lpstr>КРЕДИТ ДЛЯ ПОСЕЛЕНИЯ</vt:lpstr>
      <vt:lpstr>Лист1</vt:lpstr>
      <vt:lpstr>'бюджет округа (района)'!Заголовки_для_печати</vt:lpstr>
      <vt:lpstr>'бюджеты поселений'!Заголовки_для_печати</vt:lpstr>
      <vt:lpstr>конс.!Заголовки_для_печати</vt:lpstr>
      <vt:lpstr>'консолидированный (короткая)'!Заголовки_для_печати</vt:lpstr>
      <vt:lpstr>'КРЕДИТ ДЛЯ ПОСЕЛЕНИЯ'!Заголовки_для_печати</vt:lpstr>
      <vt:lpstr>пояснения!Заголовки_для_печати</vt:lpstr>
      <vt:lpstr>сортавала!Заголовки_для_печати</vt:lpstr>
      <vt:lpstr>'бюджет округа (района)'!Область_печати</vt:lpstr>
      <vt:lpstr>'бюджеты поселений'!Область_печати</vt:lpstr>
      <vt:lpstr>'консолидированный (короткая)'!Область_печати</vt:lpstr>
      <vt:lpstr>'КРЕДИТ ДЛЯ ПОСЕЛЕНИЯ'!Область_печати</vt:lpstr>
      <vt:lpstr>пояснения!Область_печати</vt:lpstr>
      <vt:lpstr>сортавала!Область_печати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putilina</dc:creator>
  <cp:lastModifiedBy>Пользователь</cp:lastModifiedBy>
  <cp:lastPrinted>2023-04-18T08:43:45Z</cp:lastPrinted>
  <dcterms:created xsi:type="dcterms:W3CDTF">2016-04-18T07:00:51Z</dcterms:created>
  <dcterms:modified xsi:type="dcterms:W3CDTF">2023-04-19T11:22:45Z</dcterms:modified>
</cp:coreProperties>
</file>