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activeTab="1"/>
  </bookViews>
  <sheets>
    <sheet name="дох" sheetId="1" r:id="rId1"/>
    <sheet name="ведомст " sheetId="2" r:id="rId2"/>
    <sheet name="функц" sheetId="3" r:id="rId3"/>
    <sheet name="источники" sheetId="4" r:id="rId4"/>
  </sheets>
  <definedNames>
    <definedName name="_xlnm.Print_Area" localSheetId="1">'ведомст '!$A$1:$J$616</definedName>
    <definedName name="_xlnm.Print_Area" localSheetId="0">'дох'!$A$1:$U$154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<sst xmlns="http://schemas.openxmlformats.org/spreadsheetml/2006/main" count="5118" uniqueCount="916">
  <si>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</si>
  <si>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</si>
  <si>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</si>
  <si>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</si>
  <si>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</si>
  <si>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</si>
  <si>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</si>
  <si>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</si>
  <si>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</si>
  <si>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</si>
  <si>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</si>
  <si>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</si>
  <si>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</si>
  <si>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</si>
  <si>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</si>
  <si>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</si>
  <si>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</si>
  <si>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</si>
  <si>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</si>
  <si>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Программа</t>
  </si>
  <si>
    <t>Эк.кл.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</si>
  <si>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</si>
  <si>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</si>
  <si>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</si>
  <si>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</si>
  <si>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</si>
  <si>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</si>
  <si>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</si>
  <si>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</si>
  <si>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</si>
  <si>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</si>
  <si>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</si>
  <si>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</si>
  <si>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</si>
  <si>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</si>
  <si>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</si>
  <si>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</si>
  <si>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</si>
  <si>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</si>
  <si>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</si>
  <si>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</si>
  <si>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</si>
  <si>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050</t>
  </si>
  <si>
    <t>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</si>
  <si>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</si>
  <si>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</si>
  <si>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</si>
  <si>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</si>
  <si>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130</t>
  </si>
  <si>
    <t>ДОХОДЫ ОТ ПРОДАЖИ МАТЕРИАЛЬНЫХ И НЕМАТЕРИАЛЬНЫХ АКТИВОВ</t>
  </si>
  <si>
    <t>410</t>
  </si>
  <si>
    <t>053</t>
  </si>
  <si>
    <t>06</t>
  </si>
  <si>
    <t>430</t>
  </si>
  <si>
    <t>ШТРАФЫ, САНКЦИИ, ВОЗМЕЩЕНИЕ УЩЕРБА</t>
  </si>
  <si>
    <t>16</t>
  </si>
  <si>
    <t>140</t>
  </si>
  <si>
    <t>25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</si>
  <si>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</si>
  <si>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</si>
  <si>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</si>
  <si>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</si>
  <si>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</si>
  <si>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</si>
  <si>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</si>
  <si>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</si>
  <si>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001</t>
  </si>
  <si>
    <t>Прочие субсидии</t>
  </si>
  <si>
    <t>999</t>
  </si>
  <si>
    <t>Субвенции местным бюджетам на выполнение передаваемых полномочий субъектов Российской Федерации</t>
  </si>
  <si>
    <t>024</t>
  </si>
  <si>
    <t>119</t>
  </si>
  <si>
    <t xml:space="preserve">Прочие субвенции бюджетам </t>
  </si>
  <si>
    <t>19</t>
  </si>
  <si>
    <t>ВСЕГО ДОХОДОВ:</t>
  </si>
  <si>
    <t xml:space="preserve">Приложение № 1 </t>
  </si>
  <si>
    <t>в %</t>
  </si>
  <si>
    <t xml:space="preserve">Приложение № 2 </t>
  </si>
  <si>
    <t>Исполнено</t>
  </si>
  <si>
    <t>Наименование показателя</t>
  </si>
  <si>
    <t>Увеличение прочих остатков средств бюджетов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</si>
  <si>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</si>
  <si>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</si>
  <si>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</si>
  <si>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1 01 S3250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</si>
  <si>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</si>
  <si>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990</t>
  </si>
  <si>
    <t>Приобретение товаров, работ, услуг в пользу граждан в целях их социального обеспечения</t>
  </si>
  <si>
    <t>323</t>
  </si>
  <si>
    <t>Оказание платных услуг по ДДОУ</t>
  </si>
  <si>
    <t>Расходы на содержание и обеспечение деятельности дошкольных учреждений</t>
  </si>
  <si>
    <t>Исполнение судебных актов Российской Федерации и мировых соглашений по возмещению причиненного вреда</t>
  </si>
  <si>
    <t>Оказание платных услуг по школам</t>
  </si>
  <si>
    <t>Расходы на содержание и обеспечение деятельности школ</t>
  </si>
  <si>
    <t>60</t>
  </si>
  <si>
    <t>45</t>
  </si>
  <si>
    <t>49</t>
  </si>
  <si>
    <t>Расходы на обеспечение деятельности учреждений, обеспечивающих предоставление услуг в сфере образования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</si>
  <si>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</si>
  <si>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</si>
  <si>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811</t>
  </si>
  <si>
    <t>Другие вопросы в области социальной политики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</si>
  <si>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</si>
  <si>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</si>
  <si>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</si>
  <si>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Резервные средства</t>
  </si>
  <si>
    <t>30</t>
  </si>
  <si>
    <t>Дорожное хозяйство (дорожные фонды)</t>
  </si>
  <si>
    <t>Жилищное хозяйство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</si>
  <si>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</si>
  <si>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</si>
  <si>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</si>
  <si>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</si>
  <si>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</si>
  <si>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t>Кредиты кредитных организаций в валюте Российской 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</si>
  <si>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</si>
  <si>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</si>
  <si>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</si>
  <si>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</si>
  <si>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</si>
  <si>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</si>
  <si>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</si>
  <si>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</si>
  <si>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</si>
  <si>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</si>
  <si>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</si>
  <si>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</si>
  <si>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</si>
  <si>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</si>
  <si>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</si>
  <si>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</si>
  <si>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</si>
  <si>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</si>
  <si>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</si>
  <si>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</si>
  <si>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</si>
  <si>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</si>
  <si>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</si>
  <si>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</si>
  <si>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</si>
  <si>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</si>
  <si>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</si>
  <si>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</si>
  <si>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</si>
  <si>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</si>
  <si>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</si>
  <si>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</si>
  <si>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14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</si>
  <si>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</si>
  <si>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</si>
  <si>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</si>
  <si>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</si>
  <si>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</si>
  <si>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</si>
  <si>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</si>
  <si>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</si>
  <si>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</si>
  <si>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</si>
  <si>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</si>
  <si>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</si>
  <si>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</si>
  <si>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</si>
  <si>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</si>
  <si>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</si>
  <si>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</si>
  <si>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</si>
  <si>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</si>
  <si>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</si>
  <si>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244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</si>
  <si>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</si>
  <si>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</si>
  <si>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 xml:space="preserve">01 </t>
  </si>
  <si>
    <t>122</t>
  </si>
  <si>
    <t>870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</si>
  <si>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</si>
  <si>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</si>
  <si>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08 1 01 12020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</si>
  <si>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</si>
  <si>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</si>
  <si>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08 1 01 42140</t>
  </si>
  <si>
    <t xml:space="preserve"> </t>
  </si>
  <si>
    <t>Уплата иных платежей</t>
  </si>
  <si>
    <t>853</t>
  </si>
  <si>
    <t>08 1 01 22030</t>
  </si>
  <si>
    <t>Мероприятия в сфере жилищного хозяйства</t>
  </si>
  <si>
    <t>01 0 00 00000</t>
  </si>
  <si>
    <t>01 1 01 21110</t>
  </si>
  <si>
    <t>01 1 01 23400</t>
  </si>
  <si>
    <t>01 1 01 24200</t>
  </si>
  <si>
    <t>Пособия, компенсации и иные социальные выплаты гражданам, кроме публичных нормативных обязательств</t>
  </si>
  <si>
    <t>321</t>
  </si>
  <si>
    <t>01 1 01 42100</t>
  </si>
  <si>
    <t>01 1 02 21120</t>
  </si>
  <si>
    <t>01 1 02 24210</t>
  </si>
  <si>
    <t>01 1 02 24230</t>
  </si>
  <si>
    <t>01 1 02 42100</t>
  </si>
  <si>
    <t>03 0 00 00000</t>
  </si>
  <si>
    <t>03 1 00 00000</t>
  </si>
  <si>
    <t>03 1 01 24420</t>
  </si>
  <si>
    <t>06 1 01 70650</t>
  </si>
  <si>
    <t>I.</t>
  </si>
  <si>
    <t>1.</t>
  </si>
  <si>
    <t>1.1.</t>
  </si>
  <si>
    <t>2.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</si>
  <si>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</si>
  <si>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</si>
  <si>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</si>
  <si>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01 2 01 43210</t>
  </si>
  <si>
    <t>01 2 01 S3210</t>
  </si>
  <si>
    <t>01 1 02 43200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</si>
  <si>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</si>
  <si>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</si>
  <si>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</si>
  <si>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II.</t>
  </si>
  <si>
    <t>15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</si>
  <si>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</si>
  <si>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</si>
  <si>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39</t>
  </si>
  <si>
    <t>1.4.</t>
  </si>
  <si>
    <t>40</t>
  </si>
  <si>
    <t>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</si>
  <si>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</si>
  <si>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</si>
  <si>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</si>
  <si>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</si>
  <si>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</si>
  <si>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</si>
  <si>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</si>
  <si>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</si>
  <si>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</si>
  <si>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111</t>
  </si>
  <si>
    <t>112</t>
  </si>
  <si>
    <t>041</t>
  </si>
  <si>
    <t>042</t>
  </si>
  <si>
    <t>Плата за размещение отходов производства</t>
  </si>
  <si>
    <t>29</t>
  </si>
  <si>
    <t>08 1 01 51200</t>
  </si>
  <si>
    <t>Судебная система</t>
  </si>
  <si>
    <t>Резервные фонды</t>
  </si>
  <si>
    <t>03 1 01 43250</t>
  </si>
  <si>
    <t xml:space="preserve">Приложение № 3 </t>
  </si>
  <si>
    <t>150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</si>
  <si>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</si>
  <si>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</si>
  <si>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</si>
  <si>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Мероприятия в области коммунального хозяйства</t>
  </si>
  <si>
    <t>Прочие мероприятия по благоустройству</t>
  </si>
  <si>
    <t>Код источника финансирования по КИВФ,КИВнФ</t>
  </si>
  <si>
    <t>в % к плану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</si>
  <si>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</si>
  <si>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</si>
  <si>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</si>
  <si>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 xml:space="preserve">Увеличение прочих остатков денежных средств  бюджетов </t>
  </si>
  <si>
    <t>Уменьшение прочих остатков денежных средств  бюджетов</t>
  </si>
  <si>
    <t xml:space="preserve">Уменьшение прочих остатков денежных средств  бюджетов </t>
  </si>
  <si>
    <t>Иные источники внутреннего финансирования  дефицитов бюджетов</t>
  </si>
  <si>
    <t>019 01  06  00  00  00  0000  000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</si>
  <si>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</si>
  <si>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</si>
  <si>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</si>
  <si>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000 01  06  05  02  05  0000  640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</si>
  <si>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</si>
  <si>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</si>
  <si>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243</t>
  </si>
  <si>
    <t>621</t>
  </si>
  <si>
    <t>Закупка товаров, работ, услуг в целях капитального ремонта государственного (муниципального) имущества</t>
  </si>
  <si>
    <t>05 0 01 24820</t>
  </si>
  <si>
    <t>Физическая культура</t>
  </si>
  <si>
    <t>813</t>
  </si>
  <si>
    <t>182</t>
  </si>
  <si>
    <t>048</t>
  </si>
  <si>
    <t>299</t>
  </si>
  <si>
    <t>302</t>
  </si>
  <si>
    <t>Погашение кредитов, предоставленных кредитными организациями в валюте Российской Федерации</t>
  </si>
  <si>
    <t>12 0 00 70500</t>
  </si>
  <si>
    <t>05 0 Р5 43230</t>
  </si>
  <si>
    <t>Спорт высших достижений</t>
  </si>
  <si>
    <t>822</t>
  </si>
  <si>
    <t>073</t>
  </si>
  <si>
    <t>825</t>
  </si>
  <si>
    <t>083</t>
  </si>
  <si>
    <t>153</t>
  </si>
  <si>
    <t>203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</si>
  <si>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</si>
  <si>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</si>
  <si>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000 01  05  02  01  00  0000  610</t>
  </si>
  <si>
    <t>000 01  05  02  00  00  0000  600</t>
  </si>
  <si>
    <t>000 01  05  00  00  00  0000  600</t>
  </si>
  <si>
    <t>000 01  05  02  01  00  0000  510</t>
  </si>
  <si>
    <t>000 01  05  02  00  00  0000  500</t>
  </si>
  <si>
    <t>000 01  05  00  00  00  0000  500</t>
  </si>
  <si>
    <t>000 01  02  00  00  00  0000  800</t>
  </si>
  <si>
    <t>000 01  02  00  00  00  0000  700</t>
  </si>
  <si>
    <t>000 01  02  00  00  00  0000  000</t>
  </si>
  <si>
    <t>Массовый спорт</t>
  </si>
  <si>
    <t>Другие вопросы в области жилищно-коммунального хозяйства</t>
  </si>
  <si>
    <t>060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</si>
  <si>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</si>
  <si>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063</t>
  </si>
  <si>
    <t>173</t>
  </si>
  <si>
    <t>193</t>
  </si>
  <si>
    <t>204</t>
  </si>
  <si>
    <t>090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</si>
  <si>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</si>
  <si>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304</t>
  </si>
  <si>
    <t>36</t>
  </si>
  <si>
    <t>900</t>
  </si>
  <si>
    <t>Единая субвенция местным бюджетам из бюджета субъекта Российской Федерации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</si>
  <si>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</si>
  <si>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303</t>
  </si>
  <si>
    <t>01 1 02 53030</t>
  </si>
  <si>
    <t>01 1 02 L3040</t>
  </si>
  <si>
    <t>собственные</t>
  </si>
  <si>
    <t>прочие безвозмездные</t>
  </si>
  <si>
    <t>платные</t>
  </si>
  <si>
    <t>целевые</t>
  </si>
  <si>
    <t>ИТОГО</t>
  </si>
  <si>
    <t>08 1 01 42200</t>
  </si>
  <si>
    <t>Закупка энергетических ресурсов</t>
  </si>
  <si>
    <t>08 1 01 20223</t>
  </si>
  <si>
    <t>247</t>
  </si>
  <si>
    <t>Содержание МКУ "Служба по вопросам похоронного дела"</t>
  </si>
  <si>
    <t>01 1 01 20223</t>
  </si>
  <si>
    <t>01 1 02 20223</t>
  </si>
  <si>
    <t>414</t>
  </si>
  <si>
    <t>03 1 01 20223</t>
  </si>
  <si>
    <t>05 0 01 20223</t>
  </si>
  <si>
    <t>Прочие закупки товаров, работ и услуг</t>
  </si>
  <si>
    <t xml:space="preserve">Прочие закупки товаров, работ и услуг </t>
  </si>
  <si>
    <t xml:space="preserve">Прочая закупка товаров, работ и услуг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</si>
  <si>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</si>
  <si>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</si>
  <si>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</si>
  <si>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НАЛОГОВЫЕ И НЕНАЛОГОВЫЕ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</si>
  <si>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</si>
  <si>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</si>
  <si>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Налог на доходы физических лиц,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ч том числе фиксированной прибыли контролируемой иностранной компании) </t>
  </si>
  <si>
    <t>080</t>
  </si>
  <si>
    <t>1000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</si>
  <si>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</si>
  <si>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</si>
  <si>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</si>
  <si>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</si>
  <si>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</si>
  <si>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070</t>
  </si>
  <si>
    <t>Плата за размещение твердых коммунальных отходов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</si>
  <si>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</si>
  <si>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налогаемые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</si>
  <si>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</si>
  <si>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</si>
  <si>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</si>
  <si>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налогаемые мировыми судьями, комиссиями по делам несовершеннолетних и защите их прав</t>
  </si>
  <si>
    <t>163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</si>
  <si>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</si>
  <si>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</si>
  <si>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</si>
  <si>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</si>
  <si>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</si>
  <si>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</si>
  <si>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</si>
  <si>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</si>
  <si>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</si>
  <si>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от других бюджетов бюджетной системы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</si>
  <si>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</si>
  <si>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</si>
  <si>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по модернизации школьных систем образования</t>
  </si>
  <si>
    <t>750</t>
  </si>
  <si>
    <t>Субвенции бюджетам субъектов  Российской Федерации и муниципальных образований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</si>
  <si>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</si>
  <si>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Прочие межбюджетные трансферты, передаваемые бюджетам </t>
  </si>
  <si>
    <t>1.5.</t>
  </si>
  <si>
    <t>Прочие безвозмездные поступления</t>
  </si>
  <si>
    <t>1.6.</t>
  </si>
  <si>
    <t xml:space="preserve">Фонд оплаты труда муниципальных органов </t>
  </si>
  <si>
    <t>Расходы за счет единой субвенции бюджетам муниципальных районов</t>
  </si>
  <si>
    <t>Фонд оплаты труда муниципальных органов (несоверш)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</si>
  <si>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(несов)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</si>
  <si>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</si>
  <si>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</si>
  <si>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</si>
  <si>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</si>
  <si>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</si>
  <si>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содержание МКУ "Центр  информационно-хозяйственного обслуживания"</t>
  </si>
  <si>
    <t>Расходы на содержание МКУ "ЦУМИ И ЗР СУОЯРВСКОГО РАЙОНА"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</si>
  <si>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</si>
  <si>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09 0 01 S3240</t>
  </si>
  <si>
    <t>Жилищно-коммунальное хозяйство</t>
  </si>
  <si>
    <t>Мероприятия по переселению граждан из аварийного жилищного фонда за счет субсидии из бюджета РК (фонд реформирования ЖКХ )</t>
  </si>
  <si>
    <t xml:space="preserve">Мероприятия по переселению граждан из аварийного жилищного фонда за счет субсидии из бюджета РК </t>
  </si>
  <si>
    <t>Мероприятия по капитальному ремонту жилых домов</t>
  </si>
  <si>
    <t xml:space="preserve">Организация и содержание мест захоронения </t>
  </si>
  <si>
    <t>Фонд оплаты труда казенных учреждений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</si>
  <si>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</si>
  <si>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Реализация мероприятий по модернизации  школьных систем  образования</t>
  </si>
  <si>
    <t>01 1 02 L7500</t>
  </si>
  <si>
    <t>Субсидии бюджетным учреждениям на иные цели (свои)</t>
  </si>
  <si>
    <t xml:space="preserve">01 1 02 42100 </t>
  </si>
  <si>
    <t>Расходы за счет субсидии на реализацию мероприятий государственной программы РК " Развитие образования"</t>
  </si>
  <si>
    <t>Расходы за счет субсидии на организацию бесплатного горячего питания обучающихся</t>
  </si>
  <si>
    <t>Субсидии бюджетным учреждениям на иные цели (ФБ)</t>
  </si>
  <si>
    <t>Бюджетные инвестиции в объекты капитального строительства государственной (муниципальной) собственности</t>
  </si>
  <si>
    <t>Расходы на содержание и обеспечение деятельности учреждений дополнительного образования</t>
  </si>
  <si>
    <t>Расходы за счет субсидии на организацию отдыха детей в каникулярное время</t>
  </si>
  <si>
    <t>Софинансирование за счет собственных средств субсидии на организацию отдыха детей в каникулярное время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</si>
  <si>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</si>
  <si>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Cофинансирование программы РК "Развитие культуры",  связанное с поэтапным достижением  целевых значений средней заработной платы отдельных категорий работников бюджетной сферы</t>
  </si>
  <si>
    <t>03 3 00 00000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</si>
  <si>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</si>
  <si>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</si>
  <si>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</si>
  <si>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Бюджетные инвестиции на приобретение 
объектов недвижимого имущества в государственную
(муниципальную) собственность за счет ФБ</t>
  </si>
  <si>
    <t>Муниципальная программа "Развитие физической культуры и спорта в Суоярвском районе"</t>
  </si>
  <si>
    <t>05 0 00 00000</t>
  </si>
  <si>
    <t>Расходы на  обеспечение деятельности учреждения физической культуры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</si>
  <si>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</si>
  <si>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</si>
  <si>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 РАСХОДОВ</t>
  </si>
  <si>
    <t>Прочая закупка товаров, работ и услуг</t>
  </si>
  <si>
    <t>Бюджетные инвестиции на приобретение объектов недвижимого имущества в государственную (муниципальную) собственность</t>
  </si>
  <si>
    <t>опека и попечительство</t>
  </si>
  <si>
    <t>регул.цен и тарифов</t>
  </si>
  <si>
    <t>жилье дети-сироты</t>
  </si>
  <si>
    <t>субвенция 30024</t>
  </si>
  <si>
    <t>каникулы</t>
  </si>
  <si>
    <t>развитие физ.и спорта</t>
  </si>
  <si>
    <t>развитие образования</t>
  </si>
  <si>
    <t>АСП</t>
  </si>
  <si>
    <t>прочие субсидии</t>
  </si>
  <si>
    <t>едина субвенция</t>
  </si>
  <si>
    <t>комиссия несовершен</t>
  </si>
  <si>
    <t>ЗП культура</t>
  </si>
  <si>
    <t>ЗП доп.образов</t>
  </si>
  <si>
    <t>прочие субвенции</t>
  </si>
  <si>
    <t>инвалиды в образовании</t>
  </si>
  <si>
    <t>компенс.род.платы</t>
  </si>
  <si>
    <t>админстр.комиссии</t>
  </si>
  <si>
    <t>безнадз.животн</t>
  </si>
  <si>
    <t>субвенция образование</t>
  </si>
  <si>
    <t>Прочая закупка товаров, работ и услуг (от города)</t>
  </si>
  <si>
    <t>Прочая закупка товаров, работ и услуг (свои)</t>
  </si>
  <si>
    <t>Прочая закупка товаров, работ и услуг (транспортные услуги)</t>
  </si>
  <si>
    <t>05 0 01 S3230</t>
  </si>
  <si>
    <t>Утверждено на 2023 год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</si>
  <si>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</si>
  <si>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</si>
  <si>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</si>
  <si>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</si>
  <si>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</si>
  <si>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</si>
  <si>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АКЦИЗЫ НА  БЕНЗИН, ТОПЛИВО, МАСЛА</t>
  </si>
  <si>
    <t>231</t>
  </si>
  <si>
    <t>241</t>
  </si>
  <si>
    <t>251</t>
  </si>
  <si>
    <t>261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</si>
  <si>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</si>
  <si>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</si>
  <si>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</si>
  <si>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</si>
  <si>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</si>
  <si>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</si>
  <si>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</si>
  <si>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</si>
  <si>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012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</si>
  <si>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</si>
  <si>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</si>
  <si>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</si>
  <si>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034</t>
  </si>
  <si>
    <t>Доходы от сдачи в аренду имущества, составляющего казну муниципальных округов (за исключением земельных участков)</t>
  </si>
  <si>
    <t>074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</si>
  <si>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</si>
  <si>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</si>
  <si>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044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</si>
  <si>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</si>
  <si>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</si>
  <si>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</si>
  <si>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округов</t>
  </si>
  <si>
    <t>994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</si>
  <si>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</si>
  <si>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округов</t>
  </si>
  <si>
    <t>064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</si>
  <si>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</si>
  <si>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043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</si>
  <si>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</si>
  <si>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</si>
  <si>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</si>
  <si>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</si>
  <si>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Платежи в целях возмещения причиненного ущерба (убытков)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</si>
  <si>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</si>
  <si>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Платежи, уплачиваемые в целях возмещения вреда</t>
  </si>
  <si>
    <t>Невыясненные поступления, зачисляемые в бюджеты муниципальных округов</t>
  </si>
  <si>
    <t>Прочие неналоговые доходы бюджетов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</si>
  <si>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</si>
  <si>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</si>
  <si>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</si>
  <si>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</si>
  <si>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проведение мероприятий по обеспечению деятельности советников директора по воспитанию  и взаимодействию с детскими общественными объединениями в общеобразовательных организациях</t>
  </si>
  <si>
    <t>179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</si>
  <si>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</si>
  <si>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программ формирования современной городской среды</t>
  </si>
  <si>
    <t>555</t>
  </si>
  <si>
    <t>Субсидии бюджетам муниципальных округов на реализацию программ формирования современной городской среды</t>
  </si>
  <si>
    <t xml:space="preserve">2 </t>
  </si>
  <si>
    <t>Субсидии бюджетам муниципальных округов на реализацию мероприятий по модернизации школьных систем образования</t>
  </si>
  <si>
    <t>Субсидия на реализацию мероприятий по обеспечению комплексного  развития сельских территорий (благоустройство сельских территорий)</t>
  </si>
  <si>
    <t>576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</si>
  <si>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</si>
  <si>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</si>
  <si>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</si>
  <si>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</si>
  <si>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</si>
  <si>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</si>
  <si>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округов</t>
  </si>
  <si>
    <t>Прочие безвозмездные поступления в бюджеты муниципальных округов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</si>
  <si>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</si>
  <si>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 из бюджетов внутригородских муниципальных образований, городов федерального значения</t>
  </si>
  <si>
    <t>Возврат прочих остатков субсидий, субвенций и иных межбюджетных трансфертов, имеющих целевое назначение прошлых лет из бюджетов  муниципальных округов</t>
  </si>
  <si>
    <t xml:space="preserve">Утверждено на 2023 год </t>
  </si>
  <si>
    <t>Администрация Суоярвского муниципального округа</t>
  </si>
  <si>
    <t>Функционирование  высшего должностного  лица  субъекта РФ  и  органа  местного  самоуправления</t>
  </si>
  <si>
    <t>Глава  муниципального  образования</t>
  </si>
  <si>
    <t>Иные выплаты персоналу  государственных (муниципальных) органов,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</si>
  <si>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</si>
  <si>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Возмещение расходов, связанных  с  осуществлением  депутатской  деятельности  депутатам  представительного  органа</t>
  </si>
  <si>
    <t>Уплата прочих налогов, сборов</t>
  </si>
  <si>
    <t>Реализация мероприятий по ликвидации муниципальных образований</t>
  </si>
  <si>
    <t>Реализация государственных функций, связанных с общегосударственным управлением (представительские расходы)</t>
  </si>
  <si>
    <t>Расходы на обеспечение деятельности учреждений в части оплаты коммунальных услуг</t>
  </si>
  <si>
    <t>Расходы на обеспечение мероприятий, направленных на профилактику правонарушений, обеспечение правопорядка и общественной безопасности граждан</t>
  </si>
  <si>
    <t>Реализация прочих мероприятий, направленных на повышение безопасности населения, объектов экономики</t>
  </si>
  <si>
    <t>Прочие мероприятия в рамках муниципальной программы "Профилактика терроризма и экстремизма на территории Суоярвского муниципального округа"</t>
  </si>
  <si>
    <t>Расходы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 за счет субсидии из бюджета РК</t>
  </si>
  <si>
    <t>Содержание автомобильных дорог и инженерных сооружений на них в границах округа</t>
  </si>
  <si>
    <t>Софинансирование  за счет средств местного бюджета  субсидии  на  развитие  и  поддержку  малого  и  среднего  предпринимательства</t>
  </si>
  <si>
    <t>Субсидии на софинансирование капитальных вложений в объекты государственной (муниципальной) собственности(…368)</t>
  </si>
  <si>
    <t>Субсидии на софинансирование капитальных вложений в объекты государственной (муниципальной) собственности(…391)</t>
  </si>
  <si>
    <t>Субсидии на софинансирование капитальных вложений в объекты государственной (муниципальной) собственности(…394)</t>
  </si>
  <si>
    <t>Бюджетные инвестиции на приобретение объектов недвижимого имущества в государственную (муниципальную) собственность(…367)</t>
  </si>
  <si>
    <t>Бюджетные инвестиции на приобретение объектов недвижимого имущества в государственную (муниципальную) собственность(…390)</t>
  </si>
  <si>
    <t>Бюджетные инвестиции на приобретение объектов недвижимого имущества в государственную (муниципальную) собственность(…393)</t>
  </si>
  <si>
    <t>Реализация мероприятий по строительству (реконструкции) объектов (сетей)  водоснабжения и водоотведения в целях подключения жилых домов в гор.Суоярви за счет субсидии из резервного фонда Правительства РК</t>
  </si>
  <si>
    <t>Софинансирование иных межбюджетных трансфертов на реализацию проекта "Народный бюджет" за счет средств местного бюджета</t>
  </si>
  <si>
    <t>Софинансирование cубсидии на поддержку местных инициатив граждан, проживающих в городских и сельских поселениях РК за счет местного бюджета</t>
  </si>
  <si>
    <t>Уличное освещение на территории округа</t>
  </si>
  <si>
    <t>Реализация программ формирования современной городской среды  в рамках нацпроекта (за счет средств бюджета  РК)</t>
  </si>
  <si>
    <t>Реализация программ формирования современной городской среды в рамках нацпроекта (за счет средств местного бюджета)</t>
  </si>
  <si>
    <t>Реализация программ формирования современной городской среды за счет своих средств, превышающих сумму софинансирования по Соглашениям</t>
  </si>
  <si>
    <t>Софинансирование иных межбюджетных трансфертов на поддержку развития территориального самоуправления  за счет средств местного бюджета</t>
  </si>
  <si>
    <t>Реализация мероприятий по обеспечению комплексного развития сельских территорий(благоустройство сельских территорий) за счет субсидии из бюджета Республики Карелия</t>
  </si>
  <si>
    <t>Софинансирование  мероприятий по обеспечению комплексного развития сельских  территорий (благоустройство сельских  территорий) за счет средств юридических и физических лиц</t>
  </si>
  <si>
    <t>Финансирование МУП "Суоярвская КУМИ"</t>
  </si>
  <si>
    <t>Муниципальная программа "Развитие образования в Суоярвском муниципальном  округе"</t>
  </si>
  <si>
    <t>Расходы на обеспечение деятельности дошкольных учреждений в части оплаты коммунальных услуг</t>
  </si>
  <si>
    <t>Расходы на льготное питание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</si>
  <si>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организациях,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</si>
  <si>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работ, услуг в целях капитального ремонта государственного (муниципального) имущества (53040)</t>
  </si>
  <si>
    <t>Закупка товаров, работ, услуг в целях капитального ремонта государственного (муниципального) имущества (свои 53040)</t>
  </si>
  <si>
    <t>Субсидии бюджетным учреждениям на иные цели (57500)</t>
  </si>
  <si>
    <t>Субсидии бюджетным учреждениям на иные цели (свои 57500)</t>
  </si>
  <si>
    <t>Реализация мероприятий по ежемесячному денежному вознаграждению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</si>
  <si>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Прочая закупка товаров, работ и услуг  (ФБ)</t>
  </si>
  <si>
    <t>Субсидии местным бюджетам на реализацию мероприятий по модернизации школьных систем образования (средства сверх объемов, установленных соглашением о предоставлении субсидии из федерального бюджета)</t>
  </si>
  <si>
    <t>Реализация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</si>
  <si>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Фонд оплаты труда казенных учреждений за счет субсидии из бюджета РК</t>
  </si>
  <si>
    <t>Фонд оплаты труда казенных учреждений за счет средств местного бюджета</t>
  </si>
  <si>
    <t>Взносы по обязательному социальному страхованию на выплаты по оплате труда работников и иные выплаты работникам казенных учреждений за счет РК</t>
  </si>
  <si>
    <t>Взносы по обязательному социальному страхованию на выплаты по оплате труда работников и иные выплаты работникам казенных учреждений за счет своих</t>
  </si>
  <si>
    <t>Субсидии бюджетным учреждениям на иные цели за счет средств бюджета РК</t>
  </si>
  <si>
    <t>Субсидии бюджетным учреждениям на иные цели за счет средств местного бюджета</t>
  </si>
  <si>
    <t>Реализация мероприятий по финансированию трудоустройства подростков в каникулярное время</t>
  </si>
  <si>
    <t>Признание и поддержка талантливой молодежи в рамках муниципальной программы "Молодежь Суоярвского муниципального округа"</t>
  </si>
  <si>
    <t>Обеспечение реализации программы и прочие мероприятия в области образования</t>
  </si>
  <si>
    <t xml:space="preserve">Прочая закупка товаров, работ и услуг  </t>
  </si>
  <si>
    <t>Приведение в нормативное состояние образовательные учреждения в рамках подпрограммы "Комплексная безопасность муниципальных образовательных организаций"</t>
  </si>
  <si>
    <t>Расходы на энергосберегающие мероприятия и снижение энергоемкости в рамках подпрограммы "Энергосбережение и повышение энергетической эффективности"</t>
  </si>
  <si>
    <t>Муниципальная программа "Развитие культуры Суоярвского муниципального  округа"</t>
  </si>
  <si>
    <t>Расходы на  обеспечение деятельности учреждения МУК "Суоярвская ЦБС"</t>
  </si>
  <si>
    <t>Расходы на обеспечение мероприятий по подписке  периодических изданий</t>
  </si>
  <si>
    <t>Подпрограмма "Комплектование фонда МУК "Суоярвская ЦБС"</t>
  </si>
  <si>
    <t>Реализация прочих мероприятий в рамках подпрограммы "Организация работы по увековечивание памяти погибших"</t>
  </si>
  <si>
    <t>Подпрограмма "Организация культурно-досуговой деятельности в Суоярвском муниципальном округе"</t>
  </si>
  <si>
    <t>Расходы на обеспечение деятельности учреждений  культуры в части оплаты коммунальных услуг</t>
  </si>
  <si>
    <t>Обеспечение деятельности дворцов и домов культуры, других учреждений культуры.</t>
  </si>
  <si>
    <t>Мероприятий  в рамках подпрограммы "Социальная поддержка"</t>
  </si>
  <si>
    <t>Муниципальная программа "Развитие физической культуры и спорта в Суоярвском муниципальном  округе"</t>
  </si>
  <si>
    <t>Реализация мероприятий госпрограммы РК "Развитие физической культуры,спорта,и совершенствование молодежной политики" (в целях развития системы спортивной подготовки) за счет субсидии из бюджета РК</t>
  </si>
  <si>
    <t>Субсидии бюджетным учреждениям на иные цели (РК)</t>
  </si>
  <si>
    <t>Субсидии бюджетным учреждениям на иные цели(свои)</t>
  </si>
  <si>
    <t>Обеспечение реализации программы и прочие мероприятия в области развития физкультуры и спорта</t>
  </si>
  <si>
    <t>08 1 01 10100</t>
  </si>
  <si>
    <t>08 1 01 12010</t>
  </si>
  <si>
    <t>07 1 01 22040</t>
  </si>
  <si>
    <t>07 1 01 75010</t>
  </si>
  <si>
    <t>08 1 01 70001</t>
  </si>
  <si>
    <t>11 0 01 77900</t>
  </si>
  <si>
    <t>08 1 01 51180</t>
  </si>
  <si>
    <t>12 0 01 77960</t>
  </si>
  <si>
    <t>14 0 01 77970</t>
  </si>
  <si>
    <t>07 3 01 42180</t>
  </si>
  <si>
    <t>04 0 01 43180</t>
  </si>
  <si>
    <t>04 0 01 70610</t>
  </si>
  <si>
    <t>13 0 F2 55550</t>
  </si>
  <si>
    <t>07 1 F3 67483</t>
  </si>
  <si>
    <t>07 1 F3 67484</t>
  </si>
  <si>
    <t>07 1 01 73500</t>
  </si>
  <si>
    <t>07 1 01 73600</t>
  </si>
  <si>
    <t>07 2 01 73510</t>
  </si>
  <si>
    <t>07 2 01 43450</t>
  </si>
  <si>
    <t>07 3 01 S4200</t>
  </si>
  <si>
    <t>07 3 01 S3140</t>
  </si>
  <si>
    <t>07 3 01 76010</t>
  </si>
  <si>
    <t>07 3 01 76040</t>
  </si>
  <si>
    <t>07 3 01 76050</t>
  </si>
  <si>
    <t>13 0 01 75550</t>
  </si>
  <si>
    <t>07 3 01 S4070</t>
  </si>
  <si>
    <t>07 3 01 L5763</t>
  </si>
  <si>
    <t>07 3 01 S5763</t>
  </si>
  <si>
    <t>07 3 01 26040</t>
  </si>
  <si>
    <t>07 3 01 70200</t>
  </si>
  <si>
    <t>01 1 02 К7500</t>
  </si>
  <si>
    <t>01 1 ЕВ 51790</t>
  </si>
  <si>
    <t>01 2 01 70795</t>
  </si>
  <si>
    <t>02 0 01 77920</t>
  </si>
  <si>
    <t>01 1 03 24350</t>
  </si>
  <si>
    <t>01 1 03 42190</t>
  </si>
  <si>
    <t>01 1 03 77950</t>
  </si>
  <si>
    <t>01 3 01 77940</t>
  </si>
  <si>
    <t>01 4 01 77930</t>
  </si>
  <si>
    <t>03 1 01 70226</t>
  </si>
  <si>
    <t>03 2 00 00000</t>
  </si>
  <si>
    <t>03 2 01 77952</t>
  </si>
  <si>
    <t>03 3 01 20223</t>
  </si>
  <si>
    <t>03 3 01 24400</t>
  </si>
  <si>
    <t>03 3 01 43250</t>
  </si>
  <si>
    <t>03 3 01 S3250</t>
  </si>
  <si>
    <t>08 2 01 84910</t>
  </si>
  <si>
    <t>01 1 04 42100</t>
  </si>
  <si>
    <t>01 1 04 43210</t>
  </si>
  <si>
    <t>01 1 04 S3210</t>
  </si>
  <si>
    <t>01 1 04 42030</t>
  </si>
  <si>
    <t>08 2 01 R0820</t>
  </si>
  <si>
    <t>08 2 01 42200</t>
  </si>
  <si>
    <t>08 2 01 77910</t>
  </si>
  <si>
    <t>05 0 01 77980</t>
  </si>
  <si>
    <t>08 1 01 74570</t>
  </si>
  <si>
    <t>Реализация мероприятий по программе формирования современной городской среды за счет средств бюджета РК</t>
  </si>
  <si>
    <t>в % к исполнено за 2022 год</t>
  </si>
  <si>
    <t>ИСТОЧНИКИ ВНУТРЕННЕГО ФИНАНСИРОВАНИЯ ДЕФИЦИТОВ  БЮДЖЕТОВ</t>
  </si>
  <si>
    <t>000 01  00  00  00  00  0000  000</t>
  </si>
  <si>
    <t>Привлечение кредитов от кредитных организаций в валюте Российской Федерации</t>
  </si>
  <si>
    <t>Привлечение муниципальными округами кредитов от кредитных организаций в валюте Российской Федерации</t>
  </si>
  <si>
    <t>020 01  02  00  00  14  0000  710</t>
  </si>
  <si>
    <t>Погашение муниципальными округами кредитов от кредитных организаций в валюте Российской Федерации</t>
  </si>
  <si>
    <t>020 01  02  00  00  14  0000  810</t>
  </si>
  <si>
    <t>Бюджетные кредиты из других бюджетов бюджетной системы Российской Федерации в валюте Российской Федерации</t>
  </si>
  <si>
    <t>000 01  03  00  00  00  0000  000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</si>
  <si>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</si>
  <si>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000 01  03  00  00  00  0000  700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</si>
  <si>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</si>
  <si>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000 01  03  01  00  14  0000  710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</si>
  <si>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</si>
  <si>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</si>
  <si>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020 01  03  01  00  14  0000  810</t>
  </si>
  <si>
    <t>Увеличение прочих остатков денежных средств бюджетов муниципальных округов</t>
  </si>
  <si>
    <t>020 01  05  02  01  14  0000  510</t>
  </si>
  <si>
    <t>Уменьшение прочих остатков денежных средств  бюджетов муниципальных округов</t>
  </si>
  <si>
    <t>020 01  05  02  01  14  0000  610</t>
  </si>
  <si>
    <t>модернизация шк.систем</t>
  </si>
  <si>
    <t>сторительство ком.сетей</t>
  </si>
  <si>
    <t>ремонт моста</t>
  </si>
  <si>
    <t>Утвержденные бюджетные назначения</t>
  </si>
  <si>
    <t>000 01  03  01  00  00  0000  800</t>
  </si>
  <si>
    <t>Налог, взимаемый в связи с применением патентной системы налогообложения, зачисляемый в бюджеты муниципальных округов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</si>
  <si>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</si>
  <si>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</si>
  <si>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</si>
  <si>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</si>
  <si>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</si>
  <si>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Транспорт</t>
  </si>
  <si>
    <t>04 0 01 70200</t>
  </si>
  <si>
    <t>04 0 01 44620</t>
  </si>
  <si>
    <t>Расходы на стимулирование объединения поселений, входящих в состав муниципального района, и наделения вновь образованного муниципального образования статусом муниципального округа за счет ИМБТ из бюджета РК</t>
  </si>
  <si>
    <t>04 0 01 74070</t>
  </si>
  <si>
    <t>04 0 01 75040</t>
  </si>
  <si>
    <t>На поддержку развития территориального общественного самоуправления за счет ИМБТ из бюджета РК</t>
  </si>
  <si>
    <t>04 0 01 S4070</t>
  </si>
  <si>
    <t>07 1 01 09502</t>
  </si>
  <si>
    <t>Субсидии на обеспечение мероприятий по переселению граждан из аварийного жилищного фонда, в том числе с учетом необходимости развития малоэтажного жилищного строительства на 2023 год за счет субсидии из Фонда содействия реформированию ЖКХ</t>
  </si>
  <si>
    <t>05 0 01 S4070</t>
  </si>
  <si>
    <t>05 0 01 75040</t>
  </si>
  <si>
    <t>05 0 01 74070</t>
  </si>
  <si>
    <t>05 0 01 44620</t>
  </si>
  <si>
    <t>03 1 01 44310</t>
  </si>
  <si>
    <t>Реализация мероприятий по ремонту муниципальных учреждений в сфере культуры за счет иных межбюджетных трансфертов из бюджета РК</t>
  </si>
  <si>
    <t>03 1 01 74070</t>
  </si>
  <si>
    <t>03 1 01 75040</t>
  </si>
  <si>
    <t>03 1 01 S4070</t>
  </si>
  <si>
    <t>01 1 02 S7500</t>
  </si>
  <si>
    <t>Закупка товаров, работ и услуг в целях капитального ремонта государственного (муниципального) имущества</t>
  </si>
  <si>
    <t>07 1 01 74070</t>
  </si>
  <si>
    <t>07 1 01 75040</t>
  </si>
  <si>
    <t>07 1 01 S4070</t>
  </si>
  <si>
    <t>07 2 01 44620</t>
  </si>
  <si>
    <t>07 2 01 74070</t>
  </si>
  <si>
    <t>07 2 01 75040</t>
  </si>
  <si>
    <t>07 2 01 S4070</t>
  </si>
  <si>
    <t>07 3 01 43140</t>
  </si>
  <si>
    <t>07 3 01 44620</t>
  </si>
  <si>
    <t>07 3 01 73140</t>
  </si>
  <si>
    <t>07 3 01 73400</t>
  </si>
  <si>
    <t>07 3 01 74070</t>
  </si>
  <si>
    <t>07 3 01 75040</t>
  </si>
  <si>
    <t>Реализация мероприятий по программе формирования современной городской среды за счет средств местного бюджета</t>
  </si>
  <si>
    <t>Софинансирование за счет собственных средств на реализацию мероприятий по модернизации школьных систем образования (средства сверх объемов, установленных соглашением о предоставлении субсидии из федерального бюджета)</t>
  </si>
  <si>
    <t>ТОСы</t>
  </si>
  <si>
    <t>прочие межбюджетные трансферты</t>
  </si>
  <si>
    <t>ПСД рем.учр.культуры</t>
  </si>
  <si>
    <t>стимулир.объедин.поселений</t>
  </si>
  <si>
    <t>ППМИ</t>
  </si>
  <si>
    <t xml:space="preserve">Исполнено за 9 месяцев 2023 г. 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</si>
  <si>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</si>
  <si>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</si>
  <si>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1.2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</si>
  <si>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</si>
  <si>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</si>
  <si>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 автомобильный бензин</t>
  </si>
  <si>
    <t>Доходы от уплаты акцизов на прямогонный бензин</t>
  </si>
  <si>
    <t>1.3</t>
  </si>
  <si>
    <t>1.3.1</t>
  </si>
  <si>
    <t>1.3.2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</si>
  <si>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</si>
  <si>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1.3.3</t>
  </si>
  <si>
    <t>1.3.4</t>
  </si>
  <si>
    <t>1.4.1</t>
  </si>
  <si>
    <t>1.4.2</t>
  </si>
  <si>
    <t>1.5.1.</t>
  </si>
  <si>
    <t>1.6.1</t>
  </si>
  <si>
    <t>1.6.2</t>
  </si>
  <si>
    <t>1.6.3</t>
  </si>
  <si>
    <t>1.7.</t>
  </si>
  <si>
    <t>1.7.1.</t>
  </si>
  <si>
    <t>1.8.</t>
  </si>
  <si>
    <t>1.8.1.</t>
  </si>
  <si>
    <t>1.8.2.</t>
  </si>
  <si>
    <t>1.9.</t>
  </si>
  <si>
    <t>1.9.1.</t>
  </si>
  <si>
    <t>1.9.2.</t>
  </si>
  <si>
    <t>1.10.</t>
  </si>
  <si>
    <t>1.10.1</t>
  </si>
  <si>
    <t>1.10.2</t>
  </si>
  <si>
    <t>1.10.3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</si>
  <si>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</si>
  <si>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1.10.4</t>
  </si>
  <si>
    <t>1.10.4.1</t>
  </si>
  <si>
    <t>1.10.5</t>
  </si>
  <si>
    <t>1.10.6</t>
  </si>
  <si>
    <t>1.10.7</t>
  </si>
  <si>
    <t>1.10.7.1</t>
  </si>
  <si>
    <t>1.11.</t>
  </si>
  <si>
    <t>1.11.1</t>
  </si>
  <si>
    <t>Невыясненные поступления в бюджеты муниципальных округов</t>
  </si>
  <si>
    <t>1.11.2</t>
  </si>
  <si>
    <t>2.1</t>
  </si>
  <si>
    <t>Дотации бюджетам муниципальных округов на поддержку мер по обеспечению сбалансированности бюджетов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</si>
  <si>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</si>
  <si>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</si>
  <si>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</si>
  <si>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</si>
  <si>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</si>
  <si>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</si>
  <si>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</si>
  <si>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</si>
  <si>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</si>
  <si>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</si>
  <si>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</si>
  <si>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</si>
  <si>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2.3.3</t>
  </si>
  <si>
    <t>2.3.4</t>
  </si>
  <si>
    <t>2.3.5</t>
  </si>
  <si>
    <t>2.4</t>
  </si>
  <si>
    <t>2.4.1</t>
  </si>
  <si>
    <t>2.4.2</t>
  </si>
  <si>
    <t>2.5</t>
  </si>
  <si>
    <t>2.6</t>
  </si>
  <si>
    <t>0051</t>
  </si>
  <si>
    <t>002</t>
  </si>
  <si>
    <t>Налог на доходы физических лиц, в отношении доходов от долевого участия в организации, полученные 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</si>
  <si>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РФ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</si>
  <si>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</si>
  <si>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Доб\тациибюджетам на поддержку мер по обеспечению сбалансированности бюджетов</t>
  </si>
  <si>
    <t>Доб\тациибюджетам на поддержку мер по обеспечению сбалансированности бюджетов муниципальных округов</t>
  </si>
  <si>
    <t>Исполнено за 9 месяцев 2023 г.</t>
  </si>
  <si>
    <t xml:space="preserve">Уплата прочих налогов, сборов </t>
  </si>
  <si>
    <t xml:space="preserve">Софинансирование иных межбюджетных трансфертов на поддержку развития территориального самоуправления  за счет средств юридических и физических лиц </t>
  </si>
  <si>
    <t>Уплата иных платежей  (….368)</t>
  </si>
  <si>
    <t>Уплата иных платежей  (….391)</t>
  </si>
  <si>
    <t>Уплата иных платежей  (….394)</t>
  </si>
  <si>
    <t>Уплата иных платежей  (….390)</t>
  </si>
  <si>
    <t>Уплата иных платежей  (….367)</t>
  </si>
  <si>
    <t>Уплата иных платежей  (….393)</t>
  </si>
  <si>
    <t xml:space="preserve">Уплата иных платежей  </t>
  </si>
  <si>
    <t>Расходы на поддержку местных инициатив граждан, проживающих в муниципальных образованиях, за счет субсидии из бюджета РК</t>
  </si>
  <si>
    <t>Софинансирование реализации мероприятий по ликвидации мест несанкционированного размещения отходов производства и потребления</t>
  </si>
  <si>
    <t>Софинансирование cубсидии на поддержку местных инициатив граждан, проживающих в городских и сельских поселениях РК за счет средств юр и физ лиц</t>
  </si>
  <si>
    <t>Реализация мероприятий по обеспечению комплексного развития сельских территорий(благоустройство сельских территорий) за счет средств местного бюджета</t>
  </si>
  <si>
    <t>Прочая закупка товаров, работ и услуг (за счет пожертвований)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</si>
  <si>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(за счет безвозм.пожерт)</t>
  </si>
  <si>
    <t>Прочие закупки товаров, работ и услуг (за счет безвозмездных)</t>
  </si>
  <si>
    <t>08 1 01 55490</t>
  </si>
  <si>
    <t>Иной межбюджетный трансферт из бюджета РК на поощрение региональных и муниципальных управленческих команд за достижение показателей деятельности органов исполнительной власти субъектов РФ</t>
  </si>
  <si>
    <t>330</t>
  </si>
  <si>
    <t>Публичные нормативные выплаты гражданам несоциального характера</t>
  </si>
  <si>
    <t>08 2 01 44480</t>
  </si>
  <si>
    <t>На мероприятия по активной политике занятости населения и социальной поддержке безработных граждан за счет ИМБТ из бюджета РК</t>
  </si>
  <si>
    <t>Общеэкономические вопросы</t>
  </si>
  <si>
    <t>08 1 02 44330</t>
  </si>
  <si>
    <t>ИМБТ на мероприятия по внесению изменений в документытерриториального планирования и градостроительного зонирования муниципальных образований</t>
  </si>
  <si>
    <t>07 1 01 44620</t>
  </si>
  <si>
    <t>Закупка товаров, работ, услуг для обеспечения государственных (муниципальных) нужд</t>
  </si>
  <si>
    <t>03 1 01 44530</t>
  </si>
  <si>
    <t>На обеспечение доступав органов местного самоуправления и муниципальных учреждений к сети Интернет за счет ИМБТ из бюджета РК</t>
  </si>
  <si>
    <t>03 3 01 44620</t>
  </si>
  <si>
    <t>01 1 04 75040</t>
  </si>
  <si>
    <t>Компенсация в 2023 году затрат, связанных с освобождением членов семей граждан, призванных на военную службу по мобилизации, от платы, взимаемой с родителей (законных представителей) за присмотр и уход за детьми (в том числе находящимися под опекой), за счет ИМБТ из бюджета РК</t>
  </si>
  <si>
    <t>03 3 01 44530</t>
  </si>
  <si>
    <t>Исполнение  бюджета  Суоярвского  муниципального  округа  по  разделам  и  подразделам  классификации   бюджетов                                                 за 9 месяцев  2023 год</t>
  </si>
  <si>
    <t>Исполнено за 9 месяцев 2022 г.</t>
  </si>
  <si>
    <t>Источники финансирования дефицита бюджета за 9 месяцев 2023 год</t>
  </si>
  <si>
    <t>08 1 01 62190</t>
  </si>
  <si>
    <t>Мероприятия по гражданской обороне , защите населения и террит.поселения от ЧС от Суоярвского городского поселения</t>
  </si>
  <si>
    <t>08 1 01 62210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</si>
  <si>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</si>
  <si>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08 1 01 44540</t>
  </si>
  <si>
    <t>Реализация мероприятий по обеспечению доступа органов местного самоуправления к государственным информационным системам, размещенным в Центре обработки Правительства РК за счет иного межбюджетного трансферта из бюджета РК</t>
  </si>
  <si>
    <t>08 1 01 75011</t>
  </si>
  <si>
    <t>Реализация государственных функций, связанных с общегосударственным управлением (резервные средства)</t>
  </si>
  <si>
    <t>08 1 01 76050</t>
  </si>
  <si>
    <t>Расходы на прочие мероприятия по благоустройству в рамках муниципального контракта</t>
  </si>
  <si>
    <t>Резервные фонды местных администраций(резервные средства)</t>
  </si>
  <si>
    <t>12 0 00 72180</t>
  </si>
  <si>
    <t>Мероприятия по программе "Обеспечение безопасности жизнедеятельности населения МО "Суоярвский район"</t>
  </si>
  <si>
    <t>08 1 02 44560</t>
  </si>
  <si>
    <t>Реализация мероприятий по разработке проектно-сметной документации по сносу ветхих и аварийных объектов за счет иных межбюджетных трансфертов из бюджета РК</t>
  </si>
  <si>
    <t>08 1 02 44570</t>
  </si>
  <si>
    <t>Реализация мероприятий по сносу аварийных объектов, объектов незавершенного строительства за счет иных межбюджетных трансфертов из бюджета Республики Карелия</t>
  </si>
  <si>
    <t>08 1 02 43240</t>
  </si>
  <si>
    <t>Муниципальная программа развития и поддержки малого и среднего предпринимательства в Суоярвском районе</t>
  </si>
  <si>
    <t>08 3 01 43220</t>
  </si>
  <si>
    <t>Реализация мероприятий гос. программы РК "Обеспечение доступным и комфортным жильем и жилищно-коммунальными услугами" (в целях реализации мероприятий по сносу аварийных многоквартирныз домов) за счет средств бюджета РК</t>
  </si>
  <si>
    <t>08 3 01 S3220</t>
  </si>
  <si>
    <t>Софинансирование субсидии в целях реализации мероприятий по сносу аварийных многоквартирных домов</t>
  </si>
  <si>
    <t>08 3 01 44550</t>
  </si>
  <si>
    <t>Иные межбюджетные трансферты бюджетам муниципальных образований на содействие решению вопросов, направленных в государственной информационной системе "Активный гражданин Республики Карелия"</t>
  </si>
  <si>
    <t>07 3 01 43400</t>
  </si>
  <si>
    <t>Субсидия на реализацию мероприятий по ликвидации  мест несанкционированного размещения отходов производства и потребления за счет субсидии из бюджета РК</t>
  </si>
  <si>
    <t>08 3 01 44080</t>
  </si>
  <si>
    <t>Расходы за счет иных межбюджетных трансфертов на стимулирование органов местного самоуправления за достижение прироста поступления отдельных налоговых доходов, собираемых на территории муниципальных районов и зачисляемых в консолидированный бюджет РК</t>
  </si>
  <si>
    <t>08 3 01 44230</t>
  </si>
  <si>
    <t>Иные межбюджетные трансферты победителям регионального этапа Всероссийского конкурса "Лучшая муниципальная практика"</t>
  </si>
  <si>
    <t>08 3 01 S3400</t>
  </si>
  <si>
    <t>01 1 01 43200</t>
  </si>
  <si>
    <t>Реализация мероприятий государственной программы РК "Развитие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субсидии</t>
  </si>
  <si>
    <t>01 1 01 44580</t>
  </si>
  <si>
    <t>Иные выплаты персоналу учреждений, за исключением фонда оплаты труда</t>
  </si>
  <si>
    <t>Компенсация расходов на оплату жилых помещений, отопления и освещения проживающим и работающим в сельских населенных пунктах, рабочих поселках руководителям муниципальных образовательных организаций, их заместителям, руководителям структурных подразделений указанных орган., их заместителям, педагогическим работникам указанных орган. (окончательный расчет) (Закон РК № 2649-ЗРК от 09.10.2021) за счетиных межбюджетных трансфертов</t>
  </si>
  <si>
    <t>01 1 01 S3200</t>
  </si>
  <si>
    <t>Софинансирование субсидии на реализацию мероприятий государственной программы РК " Развитие образования"</t>
  </si>
  <si>
    <t>01 1 02 44580</t>
  </si>
  <si>
    <t>01 1 ЕВ 57860</t>
  </si>
  <si>
    <t xml:space="preserve">Субсидии бюджетным учреждениям на иные цели </t>
  </si>
  <si>
    <t>Субсидии местным бюджетам на реализацию мероприятий по оснащению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(геральдика)</t>
  </si>
  <si>
    <t>01 1 02 44310</t>
  </si>
  <si>
    <t>Иные межбюджетные трансферты на мероприятия по ремонту муниципальных учреждений в сфере культуры (в части разработки проектной документации)</t>
  </si>
  <si>
    <t>02 0 01 77950</t>
  </si>
  <si>
    <t>Подпрограмма "Организация отдыха и оздоровление детей" трудоустройство детей  в каникул.время</t>
  </si>
  <si>
    <t>01 2 01 77950</t>
  </si>
  <si>
    <t>Муниципальная программа "Молодежь Суоярвского района"</t>
  </si>
  <si>
    <t>03 1 01 64420</t>
  </si>
  <si>
    <t>Расходы на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</t>
  </si>
  <si>
    <t>03 1 А2 55195</t>
  </si>
  <si>
    <t>Реализация мероприятий по государственной поддержке отрасли культуры (в целях оказания государственной поддержки лучшим сельским учреждениям культуры) за счет субсидии из бюджета РК</t>
  </si>
  <si>
    <t>03 3 01 72260</t>
  </si>
  <si>
    <t>Реализация мероприятий в рамках Подпрограммы "Подписка"</t>
  </si>
  <si>
    <t>04 0 01 87950</t>
  </si>
  <si>
    <t>Муниципальная программа "Ветеран"</t>
  </si>
  <si>
    <t>05 0 01 43230</t>
  </si>
  <si>
    <t>Субсидии на реализацию мероприятий государственной программы РК "Развитие физической культуры и спорта" (в целях создания условий для занятий физической культурой и спортом)</t>
  </si>
  <si>
    <t>05 0 Р5 43410</t>
  </si>
  <si>
    <t>Реализация мероприятий регионального проекта "Умею плавать" за счет субсидии из бюджета РК</t>
  </si>
  <si>
    <t>05 0 01 43430</t>
  </si>
  <si>
    <t>Реализация мероприятий по приведению материально-технической базы муниципальных учреждений физкультурно-спортивной направленности в нормативное состояние</t>
  </si>
  <si>
    <t>05 0 01 S3430</t>
  </si>
  <si>
    <t>Софининсирование за счет местного бюджета субсидии на реализацию мероприятий по приведению материально-технической базы муниципальных учреждений физкультурно-спортивной направленности в нормативное состояние</t>
  </si>
  <si>
    <t>Иные выплаты персоналу государственных (муниципальных) органов, за исключением фонда оплаты труда</t>
  </si>
  <si>
    <t>08 3 01 44070</t>
  </si>
  <si>
    <t>Поддержка развития территориального самоуправления за счет ИМБТ из бюджета РК</t>
  </si>
  <si>
    <t>05 0 01 70100</t>
  </si>
  <si>
    <t>Физкультурно-оздоровительная работа и спортивные мероприятия в сельских поселениях</t>
  </si>
  <si>
    <t>На обеспечение доступа органов местного самоуправления и муниципальных учреждений к сети Интернет из бюджета РК за счет иных межбюджетных трансфертов</t>
  </si>
  <si>
    <t>99 0 00 44530</t>
  </si>
  <si>
    <t>03 3 01 44310</t>
  </si>
  <si>
    <t>03 3 01 L4670</t>
  </si>
  <si>
    <t>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тыс.человек за счет субсидии</t>
  </si>
  <si>
    <t>04 0 01 44550</t>
  </si>
  <si>
    <t>Иные межбюджетные трансферты на поддержку развития практик инициативного бюджетирования в муниципальных образованиях</t>
  </si>
  <si>
    <t>08 3 01 44200</t>
  </si>
  <si>
    <t>07 2 01 S3340</t>
  </si>
  <si>
    <t>Софинансирование субсидии на реализацию мероприятий по обеспечению бесперебойной работы объектов водоснабжения и водоотведения (город)</t>
  </si>
  <si>
    <t>Субсидия на реализацию мероприятий в рамках федеральной целевой программы "Увековечивание памяти погибших при защите Отечества на 2019-2024 годы"</t>
  </si>
  <si>
    <t>07 0 01 L2990</t>
  </si>
  <si>
    <t xml:space="preserve"> Приложение № 4                                                                к постановлению администрации Суоярвского муниципального округа от 26.10.2023 г.  №  1194</t>
  </si>
  <si>
    <t>к постановлению администрации Суоярвского муниципального округа от 26.10.2023 г. № 1194</t>
  </si>
  <si>
    <t xml:space="preserve">                                                      Приложение № 3 </t>
  </si>
  <si>
    <t xml:space="preserve">                                                    Исполнение бюджета Суоярвского муниципального округа по кодам классификации доходов бюджета за 9 месяцев 2023 год</t>
  </si>
  <si>
    <t>к постановлению администрации Суоярвского муниципального округа от 26.10.2023 г.  №  1194</t>
  </si>
  <si>
    <t>к постановлению администрации Суоярвского муниципального округа от  26.10.2023 г. № 1194</t>
  </si>
  <si>
    <r>
      <t xml:space="preserve">Ведомственная структура расходов бюджета Суоярвского муниципального округа за 9 месяцев 2023 год по  разделам и подразделам,                                      целевым статьям и видам расхов классификации расходов бюджетов                           </t>
    </r>
    <r>
      <rPr>
        <sz val="12"/>
        <rFont val="Times New Roman"/>
        <family val="1"/>
      </rPr>
      <t xml:space="preserve">                                                             тыс.руб.                 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</si>
</sst>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</numFmts>
  <fonts count="1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sz val="9"/>
      <color indexed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b/>
      <i/>
      <sz val="10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62"/>
      <name val="Times New Roman"/>
      <family val="1"/>
    </font>
    <font>
      <sz val="12"/>
      <color indexed="60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sz val="10"/>
      <color indexed="25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2"/>
      <color indexed="60"/>
      <name val="Times New Roman"/>
      <family val="1"/>
    </font>
    <font>
      <sz val="12"/>
      <color indexed="20"/>
      <name val="Times New Roman"/>
      <family val="1"/>
    </font>
    <font>
      <sz val="10"/>
      <color indexed="14"/>
      <name val="Times New Roman"/>
      <family val="1"/>
    </font>
    <font>
      <b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800080"/>
      <name val="Times New Roman"/>
      <family val="1"/>
    </font>
    <font>
      <sz val="10"/>
      <color rgb="FF9F31A2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b/>
      <sz val="10"/>
      <color rgb="FF008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800080"/>
      <name val="Times New Roman"/>
      <family val="1"/>
    </font>
    <font>
      <sz val="9"/>
      <color rgb="FF008000"/>
      <name val="Times New Roman"/>
      <family val="1"/>
    </font>
    <font>
      <b/>
      <sz val="12"/>
      <color theme="3"/>
      <name val="Times New Roman"/>
      <family val="1"/>
    </font>
    <font>
      <sz val="12"/>
      <color rgb="FF3333FF"/>
      <name val="Times New Roman"/>
      <family val="1"/>
    </font>
    <font>
      <sz val="12"/>
      <color theme="3"/>
      <name val="Times New Roman"/>
      <family val="1"/>
    </font>
    <font>
      <b/>
      <sz val="12"/>
      <color rgb="FF002060"/>
      <name val="Times New Roman"/>
      <family val="1"/>
    </font>
    <font>
      <sz val="12"/>
      <color theme="9" tint="-0.4999699890613556"/>
      <name val="Times New Roman"/>
      <family val="1"/>
    </font>
    <font>
      <b/>
      <sz val="12"/>
      <color theme="9" tint="-0.4999699890613556"/>
      <name val="Times New Roman"/>
      <family val="1"/>
    </font>
    <font>
      <sz val="12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CC0099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672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3" fontId="14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wrapText="1"/>
    </xf>
    <xf numFmtId="206" fontId="16" fillId="0" borderId="10" xfId="0" applyNumberFormat="1" applyFont="1" applyBorder="1" applyAlignment="1">
      <alignment horizontal="right" wrapText="1"/>
    </xf>
    <xf numFmtId="206" fontId="16" fillId="0" borderId="11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left" vertical="top" wrapText="1"/>
    </xf>
    <xf numFmtId="1" fontId="16" fillId="0" borderId="10" xfId="0" applyNumberFormat="1" applyFont="1" applyBorder="1" applyAlignment="1">
      <alignment horizontal="center" wrapText="1"/>
    </xf>
    <xf numFmtId="206" fontId="18" fillId="0" borderId="10" xfId="0" applyNumberFormat="1" applyFont="1" applyBorder="1" applyAlignment="1">
      <alignment horizontal="right" wrapText="1"/>
    </xf>
    <xf numFmtId="0" fontId="2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14" fillId="0" borderId="12" xfId="0" applyNumberFormat="1" applyFont="1" applyBorder="1" applyAlignment="1">
      <alignment/>
    </xf>
    <xf numFmtId="4" fontId="14" fillId="32" borderId="12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28" fillId="0" borderId="0" xfId="0" applyFont="1" applyFill="1" applyBorder="1" applyAlignment="1" applyProtection="1">
      <alignment horizontal="righ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91" fillId="32" borderId="0" xfId="0" applyFont="1" applyFill="1" applyAlignment="1">
      <alignment/>
    </xf>
    <xf numFmtId="0" fontId="91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7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7" fillId="0" borderId="12" xfId="134" applyNumberFormat="1" applyFont="1" applyFill="1" applyBorder="1" applyAlignment="1" applyProtection="1">
      <alignment horizontal="left" vertical="top" wrapText="1"/>
      <protection hidden="1"/>
    </xf>
    <xf numFmtId="0" fontId="7" fillId="0" borderId="12" xfId="514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/>
    </xf>
    <xf numFmtId="0" fontId="7" fillId="0" borderId="12" xfId="0" applyFont="1" applyBorder="1" applyAlignment="1">
      <alignment wrapText="1"/>
    </xf>
    <xf numFmtId="0" fontId="92" fillId="0" borderId="12" xfId="0" applyFont="1" applyBorder="1" applyAlignment="1">
      <alignment wrapText="1"/>
    </xf>
    <xf numFmtId="0" fontId="93" fillId="0" borderId="12" xfId="0" applyFont="1" applyBorder="1" applyAlignment="1">
      <alignment wrapText="1"/>
    </xf>
    <xf numFmtId="0" fontId="93" fillId="0" borderId="12" xfId="0" applyFont="1" applyBorder="1" applyAlignment="1">
      <alignment horizontal="justify" vertical="top" wrapText="1"/>
    </xf>
    <xf numFmtId="0" fontId="92" fillId="0" borderId="12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0" fillId="32" borderId="0" xfId="0" applyFont="1" applyFill="1" applyAlignment="1">
      <alignment/>
    </xf>
    <xf numFmtId="0" fontId="20" fillId="0" borderId="18" xfId="0" applyFont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0" fillId="0" borderId="18" xfId="0" applyFont="1" applyBorder="1" applyAlignment="1">
      <alignment/>
    </xf>
    <xf numFmtId="0" fontId="25" fillId="0" borderId="18" xfId="0" applyFont="1" applyBorder="1" applyAlignment="1">
      <alignment wrapText="1"/>
    </xf>
    <xf numFmtId="0" fontId="21" fillId="0" borderId="18" xfId="0" applyFont="1" applyBorder="1" applyAlignment="1">
      <alignment/>
    </xf>
    <xf numFmtId="0" fontId="16" fillId="0" borderId="18" xfId="0" applyFont="1" applyBorder="1" applyAlignment="1">
      <alignment/>
    </xf>
    <xf numFmtId="49" fontId="94" fillId="0" borderId="18" xfId="0" applyNumberFormat="1" applyFont="1" applyFill="1" applyBorder="1" applyAlignment="1">
      <alignment horizontal="left" vertical="center" wrapText="1"/>
    </xf>
    <xf numFmtId="188" fontId="14" fillId="0" borderId="18" xfId="0" applyNumberFormat="1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top" wrapText="1"/>
    </xf>
    <xf numFmtId="0" fontId="20" fillId="33" borderId="18" xfId="0" applyFont="1" applyFill="1" applyBorder="1" applyAlignment="1">
      <alignment wrapText="1"/>
    </xf>
    <xf numFmtId="49" fontId="20" fillId="0" borderId="18" xfId="0" applyNumberFormat="1" applyFont="1" applyFill="1" applyBorder="1" applyAlignment="1">
      <alignment horizontal="left" vertical="center" wrapText="1"/>
    </xf>
    <xf numFmtId="0" fontId="9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95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21" fillId="0" borderId="18" xfId="0" applyNumberFormat="1" applyFont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96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wrapText="1"/>
    </xf>
    <xf numFmtId="49" fontId="18" fillId="0" borderId="19" xfId="0" applyNumberFormat="1" applyFont="1" applyFill="1" applyBorder="1" applyAlignment="1" applyProtection="1">
      <alignment horizontal="right" textRotation="90" wrapText="1"/>
      <protection/>
    </xf>
    <xf numFmtId="0" fontId="13" fillId="0" borderId="19" xfId="0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 horizontal="right" wrapText="1"/>
    </xf>
    <xf numFmtId="49" fontId="20" fillId="0" borderId="12" xfId="0" applyNumberFormat="1" applyFont="1" applyFill="1" applyBorder="1" applyAlignment="1" applyProtection="1">
      <alignment horizontal="right"/>
      <protection/>
    </xf>
    <xf numFmtId="49" fontId="20" fillId="0" borderId="12" xfId="0" applyNumberFormat="1" applyFont="1" applyBorder="1" applyAlignment="1" applyProtection="1">
      <alignment horizontal="right"/>
      <protection locked="0"/>
    </xf>
    <xf numFmtId="49" fontId="21" fillId="0" borderId="12" xfId="0" applyNumberFormat="1" applyFont="1" applyFill="1" applyBorder="1" applyAlignment="1" applyProtection="1">
      <alignment horizontal="right"/>
      <protection/>
    </xf>
    <xf numFmtId="49" fontId="21" fillId="0" borderId="12" xfId="0" applyNumberFormat="1" applyFont="1" applyBorder="1" applyAlignment="1" applyProtection="1">
      <alignment horizontal="right"/>
      <protection locked="0"/>
    </xf>
    <xf numFmtId="49" fontId="14" fillId="0" borderId="12" xfId="0" applyNumberFormat="1" applyFont="1" applyFill="1" applyBorder="1" applyAlignment="1" applyProtection="1">
      <alignment horizontal="right"/>
      <protection/>
    </xf>
    <xf numFmtId="49" fontId="14" fillId="0" borderId="12" xfId="0" applyNumberFormat="1" applyFont="1" applyBorder="1" applyAlignment="1" applyProtection="1">
      <alignment horizontal="right"/>
      <protection locked="0"/>
    </xf>
    <xf numFmtId="49" fontId="22" fillId="0" borderId="12" xfId="0" applyNumberFormat="1" applyFont="1" applyFill="1" applyBorder="1" applyAlignment="1" applyProtection="1">
      <alignment horizontal="right"/>
      <protection/>
    </xf>
    <xf numFmtId="49" fontId="22" fillId="0" borderId="12" xfId="0" applyNumberFormat="1" applyFont="1" applyBorder="1" applyAlignment="1" applyProtection="1">
      <alignment horizontal="right"/>
      <protection locked="0"/>
    </xf>
    <xf numFmtId="49" fontId="94" fillId="0" borderId="12" xfId="0" applyNumberFormat="1" applyFont="1" applyBorder="1" applyAlignment="1" applyProtection="1">
      <alignment horizontal="right"/>
      <protection locked="0"/>
    </xf>
    <xf numFmtId="49" fontId="14" fillId="0" borderId="12" xfId="0" applyNumberFormat="1" applyFont="1" applyBorder="1" applyAlignment="1">
      <alignment horizontal="right"/>
    </xf>
    <xf numFmtId="49" fontId="21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 horizontal="right"/>
    </xf>
    <xf numFmtId="49" fontId="21" fillId="35" borderId="12" xfId="0" applyNumberFormat="1" applyFont="1" applyFill="1" applyBorder="1" applyAlignment="1" applyProtection="1">
      <alignment horizontal="right"/>
      <protection locked="0"/>
    </xf>
    <xf numFmtId="49" fontId="19" fillId="34" borderId="12" xfId="0" applyNumberFormat="1" applyFont="1" applyFill="1" applyBorder="1" applyAlignment="1" applyProtection="1">
      <alignment horizontal="right"/>
      <protection/>
    </xf>
    <xf numFmtId="49" fontId="19" fillId="34" borderId="12" xfId="0" applyNumberFormat="1" applyFont="1" applyFill="1" applyBorder="1" applyAlignment="1" applyProtection="1">
      <alignment horizontal="right"/>
      <protection locked="0"/>
    </xf>
    <xf numFmtId="49" fontId="21" fillId="0" borderId="12" xfId="0" applyNumberFormat="1" applyFont="1" applyBorder="1" applyAlignment="1">
      <alignment horizontal="right"/>
    </xf>
    <xf numFmtId="49" fontId="94" fillId="0" borderId="12" xfId="0" applyNumberFormat="1" applyFont="1" applyBorder="1" applyAlignment="1">
      <alignment horizontal="right"/>
    </xf>
    <xf numFmtId="49" fontId="20" fillId="0" borderId="12" xfId="0" applyNumberFormat="1" applyFont="1" applyFill="1" applyBorder="1" applyAlignment="1" applyProtection="1">
      <alignment horizontal="right"/>
      <protection locked="0"/>
    </xf>
    <xf numFmtId="49" fontId="21" fillId="0" borderId="12" xfId="0" applyNumberFormat="1" applyFont="1" applyFill="1" applyBorder="1" applyAlignment="1" applyProtection="1">
      <alignment horizontal="right"/>
      <protection locked="0"/>
    </xf>
    <xf numFmtId="49" fontId="14" fillId="0" borderId="12" xfId="0" applyNumberFormat="1" applyFont="1" applyFill="1" applyBorder="1" applyAlignment="1" applyProtection="1">
      <alignment horizontal="right"/>
      <protection locked="0"/>
    </xf>
    <xf numFmtId="49" fontId="94" fillId="0" borderId="12" xfId="0" applyNumberFormat="1" applyFont="1" applyFill="1" applyBorder="1" applyAlignment="1" applyProtection="1">
      <alignment horizontal="right"/>
      <protection locked="0"/>
    </xf>
    <xf numFmtId="49" fontId="94" fillId="0" borderId="12" xfId="0" applyNumberFormat="1" applyFont="1" applyFill="1" applyBorder="1" applyAlignment="1">
      <alignment horizontal="right"/>
    </xf>
    <xf numFmtId="49" fontId="97" fillId="0" borderId="12" xfId="0" applyNumberFormat="1" applyFont="1" applyFill="1" applyBorder="1" applyAlignment="1" applyProtection="1">
      <alignment horizontal="right"/>
      <protection locked="0"/>
    </xf>
    <xf numFmtId="49" fontId="97" fillId="0" borderId="12" xfId="0" applyNumberFormat="1" applyFont="1" applyBorder="1" applyAlignment="1" applyProtection="1">
      <alignment horizontal="right"/>
      <protection locked="0"/>
    </xf>
    <xf numFmtId="49" fontId="98" fillId="0" borderId="12" xfId="0" applyNumberFormat="1" applyFont="1" applyBorder="1" applyAlignment="1" applyProtection="1">
      <alignment horizontal="right"/>
      <protection locked="0"/>
    </xf>
    <xf numFmtId="49" fontId="95" fillId="0" borderId="12" xfId="0" applyNumberFormat="1" applyFont="1" applyFill="1" applyBorder="1" applyAlignment="1">
      <alignment horizontal="right"/>
    </xf>
    <xf numFmtId="49" fontId="95" fillId="0" borderId="12" xfId="0" applyNumberFormat="1" applyFont="1" applyBorder="1" applyAlignment="1">
      <alignment horizontal="right"/>
    </xf>
    <xf numFmtId="49" fontId="95" fillId="0" borderId="12" xfId="0" applyNumberFormat="1" applyFont="1" applyBorder="1" applyAlignment="1" applyProtection="1">
      <alignment horizontal="right"/>
      <protection locked="0"/>
    </xf>
    <xf numFmtId="49" fontId="17" fillId="0" borderId="12" xfId="0" applyNumberFormat="1" applyFont="1" applyBorder="1" applyAlignment="1">
      <alignment horizontal="right"/>
    </xf>
    <xf numFmtId="49" fontId="17" fillId="0" borderId="12" xfId="0" applyNumberFormat="1" applyFont="1" applyFill="1" applyBorder="1" applyAlignment="1">
      <alignment horizontal="right"/>
    </xf>
    <xf numFmtId="49" fontId="17" fillId="0" borderId="12" xfId="0" applyNumberFormat="1" applyFont="1" applyBorder="1" applyAlignment="1" applyProtection="1">
      <alignment horizontal="right"/>
      <protection locked="0"/>
    </xf>
    <xf numFmtId="49" fontId="96" fillId="0" borderId="12" xfId="0" applyNumberFormat="1" applyFont="1" applyFill="1" applyBorder="1" applyAlignment="1" applyProtection="1">
      <alignment horizontal="right"/>
      <protection locked="0"/>
    </xf>
    <xf numFmtId="49" fontId="17" fillId="0" borderId="12" xfId="0" applyNumberFormat="1" applyFont="1" applyFill="1" applyBorder="1" applyAlignment="1" applyProtection="1">
      <alignment horizontal="right"/>
      <protection locked="0"/>
    </xf>
    <xf numFmtId="49" fontId="16" fillId="0" borderId="12" xfId="0" applyNumberFormat="1" applyFont="1" applyFill="1" applyBorder="1" applyAlignment="1" applyProtection="1">
      <alignment horizontal="right"/>
      <protection/>
    </xf>
    <xf numFmtId="49" fontId="17" fillId="0" borderId="12" xfId="0" applyNumberFormat="1" applyFont="1" applyFill="1" applyBorder="1" applyAlignment="1" applyProtection="1">
      <alignment horizontal="right"/>
      <protection/>
    </xf>
    <xf numFmtId="49" fontId="96" fillId="0" borderId="12" xfId="0" applyNumberFormat="1" applyFont="1" applyBorder="1" applyAlignment="1" applyProtection="1">
      <alignment horizontal="right"/>
      <protection locked="0"/>
    </xf>
    <xf numFmtId="49" fontId="23" fillId="0" borderId="12" xfId="0" applyNumberFormat="1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 applyProtection="1">
      <alignment horizontal="right"/>
      <protection locked="0"/>
    </xf>
    <xf numFmtId="49" fontId="21" fillId="35" borderId="19" xfId="0" applyNumberFormat="1" applyFont="1" applyFill="1" applyBorder="1" applyAlignment="1" applyProtection="1">
      <alignment horizontal="right"/>
      <protection locked="0"/>
    </xf>
    <xf numFmtId="171" fontId="14" fillId="0" borderId="0" xfId="524" applyFont="1" applyFill="1" applyAlignment="1">
      <alignment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top"/>
    </xf>
    <xf numFmtId="0" fontId="9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 quotePrefix="1">
      <alignment horizontal="center" wrapText="1"/>
    </xf>
    <xf numFmtId="0" fontId="8" fillId="0" borderId="12" xfId="0" applyFont="1" applyBorder="1" applyAlignment="1">
      <alignment vertical="justify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 quotePrefix="1">
      <alignment horizontal="center" wrapText="1"/>
    </xf>
    <xf numFmtId="49" fontId="34" fillId="0" borderId="12" xfId="0" applyNumberFormat="1" applyFont="1" applyBorder="1" applyAlignment="1">
      <alignment horizontal="left" vertical="center" wrapText="1"/>
    </xf>
    <xf numFmtId="49" fontId="34" fillId="0" borderId="12" xfId="0" applyNumberFormat="1" applyFont="1" applyBorder="1" applyAlignment="1">
      <alignment horizontal="center" wrapText="1"/>
    </xf>
    <xf numFmtId="0" fontId="8" fillId="0" borderId="12" xfId="134" applyNumberFormat="1" applyFont="1" applyFill="1" applyBorder="1" applyAlignment="1" applyProtection="1">
      <alignment horizontal="left" vertical="top" wrapText="1"/>
      <protection hidden="1"/>
    </xf>
    <xf numFmtId="49" fontId="8" fillId="0" borderId="12" xfId="0" applyNumberFormat="1" applyFont="1" applyBorder="1" applyAlignment="1">
      <alignment horizontal="center" wrapText="1"/>
    </xf>
    <xf numFmtId="0" fontId="92" fillId="0" borderId="12" xfId="0" applyNumberFormat="1" applyFont="1" applyBorder="1" applyAlignment="1">
      <alignment wrapText="1"/>
    </xf>
    <xf numFmtId="0" fontId="99" fillId="32" borderId="12" xfId="0" applyNumberFormat="1" applyFont="1" applyFill="1" applyBorder="1" applyAlignment="1">
      <alignment wrapText="1"/>
    </xf>
    <xf numFmtId="0" fontId="92" fillId="32" borderId="12" xfId="0" applyNumberFormat="1" applyFont="1" applyFill="1" applyBorder="1" applyAlignment="1">
      <alignment wrapText="1"/>
    </xf>
    <xf numFmtId="0" fontId="99" fillId="0" borderId="12" xfId="0" applyNumberFormat="1" applyFont="1" applyBorder="1" applyAlignment="1">
      <alignment wrapText="1"/>
    </xf>
    <xf numFmtId="49" fontId="7" fillId="0" borderId="22" xfId="0" applyNumberFormat="1" applyFont="1" applyBorder="1" applyAlignment="1">
      <alignment horizontal="center" wrapText="1"/>
    </xf>
    <xf numFmtId="0" fontId="92" fillId="0" borderId="21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horizontal="center" wrapText="1"/>
    </xf>
    <xf numFmtId="49" fontId="7" fillId="32" borderId="23" xfId="0" applyNumberFormat="1" applyFont="1" applyFill="1" applyBorder="1" applyAlignment="1">
      <alignment horizontal="center" wrapText="1"/>
    </xf>
    <xf numFmtId="49" fontId="31" fillId="0" borderId="12" xfId="0" applyNumberFormat="1" applyFont="1" applyBorder="1" applyAlignment="1">
      <alignment horizontal="center" wrapText="1"/>
    </xf>
    <xf numFmtId="49" fontId="32" fillId="0" borderId="12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0" fontId="92" fillId="0" borderId="23" xfId="0" applyFont="1" applyBorder="1" applyAlignment="1">
      <alignment wrapText="1"/>
    </xf>
    <xf numFmtId="0" fontId="99" fillId="0" borderId="23" xfId="0" applyFont="1" applyBorder="1" applyAlignment="1">
      <alignment wrapText="1"/>
    </xf>
    <xf numFmtId="0" fontId="8" fillId="0" borderId="21" xfId="0" applyFont="1" applyBorder="1" applyAlignment="1">
      <alignment horizontal="justify" vertic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justify"/>
    </xf>
    <xf numFmtId="0" fontId="7" fillId="0" borderId="24" xfId="0" applyFont="1" applyBorder="1" applyAlignment="1">
      <alignment horizontal="justify"/>
    </xf>
    <xf numFmtId="0" fontId="8" fillId="0" borderId="25" xfId="0" applyFont="1" applyBorder="1" applyAlignment="1">
      <alignment horizontal="justify"/>
    </xf>
    <xf numFmtId="0" fontId="8" fillId="0" borderId="25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8" fillId="0" borderId="25" xfId="0" applyFont="1" applyBorder="1" applyAlignment="1">
      <alignment wrapText="1"/>
    </xf>
    <xf numFmtId="0" fontId="8" fillId="0" borderId="23" xfId="0" applyNumberFormat="1" applyFont="1" applyBorder="1" applyAlignment="1">
      <alignment horizontal="justify" vertical="center" wrapText="1"/>
    </xf>
    <xf numFmtId="4" fontId="100" fillId="0" borderId="0" xfId="0" applyNumberFormat="1" applyFont="1" applyAlignment="1">
      <alignment/>
    </xf>
    <xf numFmtId="4" fontId="101" fillId="0" borderId="0" xfId="0" applyNumberFormat="1" applyFont="1" applyAlignment="1">
      <alignment/>
    </xf>
    <xf numFmtId="0" fontId="101" fillId="0" borderId="0" xfId="0" applyFont="1" applyFill="1" applyBorder="1" applyAlignment="1">
      <alignment horizontal="left" wrapText="1"/>
    </xf>
    <xf numFmtId="49" fontId="101" fillId="0" borderId="0" xfId="0" applyNumberFormat="1" applyFont="1" applyAlignment="1">
      <alignment horizontal="center" vertical="top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20" fillId="0" borderId="18" xfId="0" applyFont="1" applyBorder="1" applyAlignment="1">
      <alignment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102" fillId="0" borderId="18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wrapText="1"/>
    </xf>
    <xf numFmtId="0" fontId="36" fillId="0" borderId="18" xfId="0" applyFont="1" applyFill="1" applyBorder="1" applyAlignment="1">
      <alignment horizontal="left" vertical="top" wrapText="1"/>
    </xf>
    <xf numFmtId="0" fontId="103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49" fontId="97" fillId="0" borderId="18" xfId="0" applyNumberFormat="1" applyFont="1" applyFill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5" fillId="35" borderId="27" xfId="0" applyFont="1" applyFill="1" applyBorder="1" applyAlignment="1">
      <alignment horizontal="left" vertical="top" wrapText="1"/>
    </xf>
    <xf numFmtId="49" fontId="20" fillId="0" borderId="12" xfId="0" applyNumberFormat="1" applyFont="1" applyBorder="1" applyAlignment="1" applyProtection="1">
      <alignment horizontal="center"/>
      <protection locked="0"/>
    </xf>
    <xf numFmtId="49" fontId="21" fillId="0" borderId="12" xfId="0" applyNumberFormat="1" applyFont="1" applyBorder="1" applyAlignment="1" applyProtection="1">
      <alignment horizontal="center"/>
      <protection locked="0"/>
    </xf>
    <xf numFmtId="49" fontId="19" fillId="0" borderId="12" xfId="0" applyNumberFormat="1" applyFont="1" applyFill="1" applyBorder="1" applyAlignment="1" applyProtection="1">
      <alignment horizontal="right"/>
      <protection locked="0"/>
    </xf>
    <xf numFmtId="49" fontId="14" fillId="32" borderId="12" xfId="0" applyNumberFormat="1" applyFont="1" applyFill="1" applyBorder="1" applyAlignment="1" applyProtection="1">
      <alignment horizontal="center"/>
      <protection locked="0"/>
    </xf>
    <xf numFmtId="49" fontId="29" fillId="0" borderId="12" xfId="0" applyNumberFormat="1" applyFont="1" applyFill="1" applyBorder="1" applyAlignment="1">
      <alignment horizontal="right"/>
    </xf>
    <xf numFmtId="49" fontId="14" fillId="32" borderId="12" xfId="0" applyNumberFormat="1" applyFont="1" applyFill="1" applyBorder="1" applyAlignment="1" applyProtection="1">
      <alignment horizontal="center" vertical="center"/>
      <protection locked="0"/>
    </xf>
    <xf numFmtId="49" fontId="97" fillId="0" borderId="12" xfId="0" applyNumberFormat="1" applyFont="1" applyFill="1" applyBorder="1" applyAlignment="1" applyProtection="1">
      <alignment horizontal="right"/>
      <protection/>
    </xf>
    <xf numFmtId="49" fontId="21" fillId="32" borderId="12" xfId="0" applyNumberFormat="1" applyFont="1" applyFill="1" applyBorder="1" applyAlignment="1" applyProtection="1">
      <alignment horizontal="right"/>
      <protection locked="0"/>
    </xf>
    <xf numFmtId="49" fontId="14" fillId="32" borderId="12" xfId="0" applyNumberFormat="1" applyFont="1" applyFill="1" applyBorder="1" applyAlignment="1" applyProtection="1">
      <alignment horizontal="right"/>
      <protection locked="0"/>
    </xf>
    <xf numFmtId="49" fontId="14" fillId="0" borderId="23" xfId="0" applyNumberFormat="1" applyFont="1" applyFill="1" applyBorder="1" applyAlignment="1" applyProtection="1">
      <alignment horizontal="right"/>
      <protection/>
    </xf>
    <xf numFmtId="49" fontId="14" fillId="0" borderId="23" xfId="0" applyNumberFormat="1" applyFont="1" applyBorder="1" applyAlignment="1" applyProtection="1">
      <alignment horizontal="right"/>
      <protection locked="0"/>
    </xf>
    <xf numFmtId="4" fontId="15" fillId="0" borderId="28" xfId="0" applyNumberFormat="1" applyFont="1" applyFill="1" applyBorder="1" applyAlignment="1">
      <alignment horizontal="right" wrapText="1"/>
    </xf>
    <xf numFmtId="187" fontId="14" fillId="0" borderId="12" xfId="0" applyNumberFormat="1" applyFont="1" applyFill="1" applyBorder="1" applyAlignment="1">
      <alignment horizontal="right" wrapText="1"/>
    </xf>
    <xf numFmtId="0" fontId="18" fillId="0" borderId="27" xfId="0" applyFont="1" applyFill="1" applyBorder="1" applyAlignment="1" applyProtection="1">
      <alignment horizontal="left" vertical="center" wrapText="1"/>
      <protection/>
    </xf>
    <xf numFmtId="0" fontId="14" fillId="0" borderId="18" xfId="0" applyFont="1" applyBorder="1" applyAlignment="1">
      <alignment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32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49" fontId="24" fillId="0" borderId="12" xfId="0" applyNumberFormat="1" applyFont="1" applyBorder="1" applyAlignment="1">
      <alignment horizontal="center" wrapText="1"/>
    </xf>
    <xf numFmtId="49" fontId="27" fillId="0" borderId="12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16" fontId="8" fillId="0" borderId="18" xfId="0" applyNumberFormat="1" applyFont="1" applyBorder="1" applyAlignment="1">
      <alignment horizontal="left" vertical="center"/>
    </xf>
    <xf numFmtId="0" fontId="92" fillId="0" borderId="0" xfId="0" applyNumberFormat="1" applyFont="1" applyBorder="1" applyAlignment="1">
      <alignment wrapText="1"/>
    </xf>
    <xf numFmtId="49" fontId="7" fillId="32" borderId="18" xfId="0" applyNumberFormat="1" applyFont="1" applyFill="1" applyBorder="1" applyAlignment="1">
      <alignment horizontal="left" vertical="center"/>
    </xf>
    <xf numFmtId="0" fontId="99" fillId="0" borderId="0" xfId="0" applyNumberFormat="1" applyFont="1" applyBorder="1" applyAlignment="1">
      <alignment wrapText="1"/>
    </xf>
    <xf numFmtId="0" fontId="8" fillId="0" borderId="29" xfId="0" applyFont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/>
    </xf>
    <xf numFmtId="16" fontId="7" fillId="0" borderId="18" xfId="0" applyNumberFormat="1" applyFont="1" applyBorder="1" applyAlignment="1">
      <alignment horizontal="left" vertical="center"/>
    </xf>
    <xf numFmtId="0" fontId="93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/>
    </xf>
    <xf numFmtId="4" fontId="7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204" fontId="31" fillId="32" borderId="12" xfId="514" applyNumberFormat="1" applyFont="1" applyFill="1" applyBorder="1" applyAlignment="1" applyProtection="1">
      <alignment horizontal="center"/>
      <protection hidden="1"/>
    </xf>
    <xf numFmtId="4" fontId="31" fillId="0" borderId="12" xfId="0" applyNumberFormat="1" applyFont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" fontId="7" fillId="32" borderId="12" xfId="0" applyNumberFormat="1" applyFont="1" applyFill="1" applyBorder="1" applyAlignment="1">
      <alignment horizontal="center"/>
    </xf>
    <xf numFmtId="3" fontId="40" fillId="32" borderId="12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 horizontal="center"/>
    </xf>
    <xf numFmtId="3" fontId="3" fillId="32" borderId="12" xfId="0" applyNumberFormat="1" applyFont="1" applyFill="1" applyBorder="1" applyAlignment="1">
      <alignment horizontal="center"/>
    </xf>
    <xf numFmtId="3" fontId="12" fillId="32" borderId="12" xfId="0" applyNumberFormat="1" applyFont="1" applyFill="1" applyBorder="1" applyAlignment="1">
      <alignment horizontal="center"/>
    </xf>
    <xf numFmtId="3" fontId="104" fillId="32" borderId="12" xfId="0" applyNumberFormat="1" applyFont="1" applyFill="1" applyBorder="1" applyAlignment="1">
      <alignment horizontal="center"/>
    </xf>
    <xf numFmtId="4" fontId="3" fillId="32" borderId="12" xfId="0" applyNumberFormat="1" applyFont="1" applyFill="1" applyBorder="1" applyAlignment="1">
      <alignment horizontal="center"/>
    </xf>
    <xf numFmtId="4" fontId="12" fillId="32" borderId="12" xfId="0" applyNumberFormat="1" applyFont="1" applyFill="1" applyBorder="1" applyAlignment="1">
      <alignment horizontal="center"/>
    </xf>
    <xf numFmtId="4" fontId="40" fillId="32" borderId="12" xfId="0" applyNumberFormat="1" applyFont="1" applyFill="1" applyBorder="1" applyAlignment="1">
      <alignment horizontal="center"/>
    </xf>
    <xf numFmtId="3" fontId="105" fillId="32" borderId="12" xfId="0" applyNumberFormat="1" applyFont="1" applyFill="1" applyBorder="1" applyAlignment="1">
      <alignment horizontal="center"/>
    </xf>
    <xf numFmtId="3" fontId="41" fillId="32" borderId="12" xfId="0" applyNumberFormat="1" applyFont="1" applyFill="1" applyBorder="1" applyAlignment="1">
      <alignment horizontal="center"/>
    </xf>
    <xf numFmtId="4" fontId="106" fillId="32" borderId="12" xfId="0" applyNumberFormat="1" applyFont="1" applyFill="1" applyBorder="1" applyAlignment="1">
      <alignment horizontal="center"/>
    </xf>
    <xf numFmtId="3" fontId="42" fillId="32" borderId="12" xfId="0" applyNumberFormat="1" applyFont="1" applyFill="1" applyBorder="1" applyAlignment="1">
      <alignment horizontal="center"/>
    </xf>
    <xf numFmtId="3" fontId="107" fillId="32" borderId="12" xfId="0" applyNumberFormat="1" applyFont="1" applyFill="1" applyBorder="1" applyAlignment="1">
      <alignment horizontal="center"/>
    </xf>
    <xf numFmtId="4" fontId="43" fillId="32" borderId="12" xfId="0" applyNumberFormat="1" applyFont="1" applyFill="1" applyBorder="1" applyAlignment="1">
      <alignment horizontal="center"/>
    </xf>
    <xf numFmtId="3" fontId="106" fillId="32" borderId="12" xfId="0" applyNumberFormat="1" applyFont="1" applyFill="1" applyBorder="1" applyAlignment="1">
      <alignment horizontal="center"/>
    </xf>
    <xf numFmtId="3" fontId="44" fillId="32" borderId="12" xfId="0" applyNumberFormat="1" applyFont="1" applyFill="1" applyBorder="1" applyAlignment="1">
      <alignment horizontal="center"/>
    </xf>
    <xf numFmtId="4" fontId="42" fillId="32" borderId="12" xfId="0" applyNumberFormat="1" applyFont="1" applyFill="1" applyBorder="1" applyAlignment="1">
      <alignment horizontal="center"/>
    </xf>
    <xf numFmtId="3" fontId="108" fillId="32" borderId="12" xfId="0" applyNumberFormat="1" applyFont="1" applyFill="1" applyBorder="1" applyAlignment="1">
      <alignment horizontal="center"/>
    </xf>
    <xf numFmtId="4" fontId="45" fillId="32" borderId="12" xfId="0" applyNumberFormat="1" applyFont="1" applyFill="1" applyBorder="1" applyAlignment="1">
      <alignment horizontal="center"/>
    </xf>
    <xf numFmtId="194" fontId="108" fillId="32" borderId="12" xfId="191" applyNumberFormat="1" applyFont="1" applyFill="1" applyBorder="1" applyAlignment="1" applyProtection="1">
      <alignment horizontal="center"/>
      <protection hidden="1"/>
    </xf>
    <xf numFmtId="4" fontId="109" fillId="32" borderId="12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49" fontId="27" fillId="0" borderId="31" xfId="0" applyNumberFormat="1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center" wrapText="1"/>
    </xf>
    <xf numFmtId="4" fontId="15" fillId="32" borderId="12" xfId="0" applyNumberFormat="1" applyFont="1" applyFill="1" applyBorder="1" applyAlignment="1">
      <alignment horizontal="center" wrapText="1"/>
    </xf>
    <xf numFmtId="4" fontId="14" fillId="32" borderId="12" xfId="0" applyNumberFormat="1" applyFont="1" applyFill="1" applyBorder="1" applyAlignment="1">
      <alignment horizontal="center" wrapText="1"/>
    </xf>
    <xf numFmtId="4" fontId="14" fillId="32" borderId="31" xfId="0" applyNumberFormat="1" applyFont="1" applyFill="1" applyBorder="1" applyAlignment="1">
      <alignment horizontal="center" wrapText="1"/>
    </xf>
    <xf numFmtId="206" fontId="18" fillId="0" borderId="17" xfId="0" applyNumberFormat="1" applyFont="1" applyBorder="1" applyAlignment="1">
      <alignment horizontal="center" wrapText="1"/>
    </xf>
    <xf numFmtId="206" fontId="16" fillId="0" borderId="17" xfId="0" applyNumberFormat="1" applyFont="1" applyBorder="1" applyAlignment="1">
      <alignment horizontal="center" wrapText="1"/>
    </xf>
    <xf numFmtId="206" fontId="16" fillId="0" borderId="32" xfId="0" applyNumberFormat="1" applyFont="1" applyBorder="1" applyAlignment="1">
      <alignment horizontal="center" wrapText="1"/>
    </xf>
    <xf numFmtId="0" fontId="14" fillId="32" borderId="18" xfId="0" applyFont="1" applyFill="1" applyBorder="1" applyAlignment="1">
      <alignment horizontal="left" vertical="top" wrapText="1"/>
    </xf>
    <xf numFmtId="0" fontId="14" fillId="32" borderId="26" xfId="0" applyFont="1" applyFill="1" applyBorder="1" applyAlignment="1">
      <alignment horizontal="left" vertical="top" wrapText="1"/>
    </xf>
    <xf numFmtId="49" fontId="15" fillId="32" borderId="27" xfId="0" applyNumberFormat="1" applyFont="1" applyFill="1" applyBorder="1" applyAlignment="1">
      <alignment horizontal="left" vertical="center" wrapText="1"/>
    </xf>
    <xf numFmtId="0" fontId="14" fillId="32" borderId="33" xfId="0" applyFont="1" applyFill="1" applyBorder="1" applyAlignment="1">
      <alignment horizontal="left" vertical="top" wrapText="1"/>
    </xf>
    <xf numFmtId="49" fontId="14" fillId="32" borderId="18" xfId="0" applyNumberFormat="1" applyFont="1" applyFill="1" applyBorder="1" applyAlignment="1">
      <alignment horizontal="left" vertical="center" wrapText="1"/>
    </xf>
    <xf numFmtId="49" fontId="14" fillId="32" borderId="26" xfId="0" applyNumberFormat="1" applyFont="1" applyFill="1" applyBorder="1" applyAlignment="1">
      <alignment horizontal="left" vertical="center" wrapText="1"/>
    </xf>
    <xf numFmtId="0" fontId="15" fillId="32" borderId="27" xfId="0" applyFont="1" applyFill="1" applyBorder="1" applyAlignment="1">
      <alignment horizontal="left" vertical="top" wrapText="1"/>
    </xf>
    <xf numFmtId="0" fontId="14" fillId="32" borderId="34" xfId="0" applyFont="1" applyFill="1" applyBorder="1" applyAlignment="1">
      <alignment horizontal="left" vertical="top" wrapText="1"/>
    </xf>
    <xf numFmtId="0" fontId="14" fillId="32" borderId="18" xfId="0" applyFont="1" applyFill="1" applyBorder="1" applyAlignment="1">
      <alignment horizontal="left" vertical="center" wrapText="1"/>
    </xf>
    <xf numFmtId="0" fontId="15" fillId="32" borderId="27" xfId="0" applyFont="1" applyFill="1" applyBorder="1" applyAlignment="1" applyProtection="1">
      <alignment horizontal="right" vertical="top" wrapText="1"/>
      <protection/>
    </xf>
    <xf numFmtId="49" fontId="15" fillId="0" borderId="19" xfId="0" applyNumberFormat="1" applyFont="1" applyFill="1" applyBorder="1" applyAlignment="1" applyProtection="1">
      <alignment horizontal="center" wrapText="1"/>
      <protection/>
    </xf>
    <xf numFmtId="0" fontId="0" fillId="36" borderId="0" xfId="0" applyFont="1" applyFill="1" applyAlignment="1">
      <alignment/>
    </xf>
    <xf numFmtId="4" fontId="14" fillId="37" borderId="21" xfId="0" applyNumberFormat="1" applyFont="1" applyFill="1" applyBorder="1" applyAlignment="1">
      <alignment/>
    </xf>
    <xf numFmtId="4" fontId="14" fillId="36" borderId="12" xfId="0" applyNumberFormat="1" applyFont="1" applyFill="1" applyBorder="1" applyAlignment="1">
      <alignment/>
    </xf>
    <xf numFmtId="4" fontId="110" fillId="0" borderId="12" xfId="0" applyNumberFormat="1" applyFont="1" applyFill="1" applyBorder="1" applyAlignment="1">
      <alignment vertical="top"/>
    </xf>
    <xf numFmtId="4" fontId="7" fillId="32" borderId="12" xfId="0" applyNumberFormat="1" applyFont="1" applyFill="1" applyBorder="1" applyAlignment="1">
      <alignment vertical="top"/>
    </xf>
    <xf numFmtId="4" fontId="7" fillId="0" borderId="12" xfId="0" applyNumberFormat="1" applyFont="1" applyFill="1" applyBorder="1" applyAlignment="1">
      <alignment/>
    </xf>
    <xf numFmtId="4" fontId="92" fillId="32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3" fontId="9" fillId="0" borderId="25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top" wrapText="1"/>
    </xf>
    <xf numFmtId="171" fontId="8" fillId="0" borderId="0" xfId="524" applyFont="1" applyBorder="1" applyAlignment="1">
      <alignment horizontal="right" wrapText="1"/>
    </xf>
    <xf numFmtId="49" fontId="7" fillId="0" borderId="0" xfId="0" applyNumberFormat="1" applyFont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21" xfId="0" applyFont="1" applyBorder="1" applyAlignment="1">
      <alignment vertical="justify" wrapText="1"/>
    </xf>
    <xf numFmtId="49" fontId="26" fillId="0" borderId="12" xfId="0" applyNumberFormat="1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92" fillId="0" borderId="0" xfId="0" applyFont="1" applyBorder="1" applyAlignment="1">
      <alignment wrapText="1"/>
    </xf>
    <xf numFmtId="0" fontId="99" fillId="0" borderId="12" xfId="0" applyFont="1" applyBorder="1" applyAlignment="1">
      <alignment/>
    </xf>
    <xf numFmtId="0" fontId="99" fillId="0" borderId="0" xfId="0" applyFont="1" applyBorder="1" applyAlignment="1">
      <alignment wrapText="1"/>
    </xf>
    <xf numFmtId="49" fontId="8" fillId="0" borderId="18" xfId="0" applyNumberFormat="1" applyFont="1" applyFill="1" applyBorder="1" applyAlignment="1">
      <alignment horizontal="left" vertical="center"/>
    </xf>
    <xf numFmtId="0" fontId="31" fillId="0" borderId="12" xfId="0" applyFont="1" applyBorder="1" applyAlignment="1">
      <alignment horizontal="justify"/>
    </xf>
    <xf numFmtId="0" fontId="92" fillId="0" borderId="0" xfId="0" applyFont="1" applyBorder="1" applyAlignment="1">
      <alignment horizontal="justify" vertical="top" wrapText="1"/>
    </xf>
    <xf numFmtId="0" fontId="93" fillId="0" borderId="12" xfId="0" applyFont="1" applyBorder="1" applyAlignment="1">
      <alignment horizontal="justify"/>
    </xf>
    <xf numFmtId="0" fontId="92" fillId="0" borderId="12" xfId="0" applyFont="1" applyBorder="1" applyAlignment="1">
      <alignment horizontal="justify"/>
    </xf>
    <xf numFmtId="0" fontId="9" fillId="0" borderId="18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7" fillId="0" borderId="23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49" fontId="8" fillId="0" borderId="21" xfId="0" applyNumberFormat="1" applyFont="1" applyBorder="1" applyAlignment="1" quotePrefix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32" borderId="12" xfId="0" applyNumberFormat="1" applyFont="1" applyFill="1" applyBorder="1" applyAlignment="1">
      <alignment horizontal="center" wrapText="1"/>
    </xf>
    <xf numFmtId="49" fontId="7" fillId="32" borderId="12" xfId="0" applyNumberFormat="1" applyFont="1" applyFill="1" applyBorder="1" applyAlignment="1">
      <alignment horizontal="center" wrapText="1"/>
    </xf>
    <xf numFmtId="4" fontId="8" fillId="32" borderId="35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justify" vertical="center" wrapText="1"/>
    </xf>
    <xf numFmtId="171" fontId="8" fillId="0" borderId="0" xfId="524" applyFont="1" applyFill="1" applyBorder="1" applyAlignment="1">
      <alignment horizontal="right" wrapText="1"/>
    </xf>
    <xf numFmtId="4" fontId="7" fillId="0" borderId="0" xfId="0" applyNumberFormat="1" applyFont="1" applyFill="1" applyAlignment="1">
      <alignment/>
    </xf>
    <xf numFmtId="4" fontId="101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00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vertical="top"/>
    </xf>
    <xf numFmtId="49" fontId="3" fillId="34" borderId="18" xfId="0" applyNumberFormat="1" applyFont="1" applyFill="1" applyBorder="1" applyAlignment="1">
      <alignment horizontal="left" vertical="center" wrapText="1"/>
    </xf>
    <xf numFmtId="49" fontId="46" fillId="34" borderId="36" xfId="0" applyNumberFormat="1" applyFont="1" applyFill="1" applyBorder="1" applyAlignment="1" applyProtection="1">
      <alignment horizontal="center" vertical="center" wrapText="1"/>
      <protection/>
    </xf>
    <xf numFmtId="49" fontId="46" fillId="34" borderId="12" xfId="0" applyNumberFormat="1" applyFont="1" applyFill="1" applyBorder="1" applyAlignment="1" applyProtection="1">
      <alignment horizontal="right" vertical="center"/>
      <protection locked="0"/>
    </xf>
    <xf numFmtId="49" fontId="3" fillId="34" borderId="12" xfId="0" applyNumberFormat="1" applyFont="1" applyFill="1" applyBorder="1" applyAlignment="1" applyProtection="1">
      <alignment horizontal="right" vertical="center"/>
      <protection locked="0"/>
    </xf>
    <xf numFmtId="49" fontId="21" fillId="35" borderId="12" xfId="0" applyNumberFormat="1" applyFont="1" applyFill="1" applyBorder="1" applyAlignment="1" applyProtection="1">
      <alignment horizontal="center" vertical="center"/>
      <protection locked="0"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 applyProtection="1">
      <alignment horizontal="right" vertical="center"/>
      <protection/>
    </xf>
    <xf numFmtId="49" fontId="20" fillId="0" borderId="12" xfId="0" applyNumberFormat="1" applyFont="1" applyBorder="1" applyAlignment="1" applyProtection="1">
      <alignment horizontal="right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49" fontId="21" fillId="0" borderId="12" xfId="0" applyNumberFormat="1" applyFont="1" applyBorder="1" applyAlignment="1" applyProtection="1">
      <alignment horizontal="right" vertical="center"/>
      <protection locked="0"/>
    </xf>
    <xf numFmtId="49" fontId="14" fillId="0" borderId="12" xfId="0" applyNumberFormat="1" applyFont="1" applyFill="1" applyBorder="1" applyAlignment="1" applyProtection="1">
      <alignment horizontal="right" vertical="center"/>
      <protection/>
    </xf>
    <xf numFmtId="49" fontId="14" fillId="0" borderId="12" xfId="0" applyNumberFormat="1" applyFont="1" applyBorder="1" applyAlignment="1" applyProtection="1">
      <alignment horizontal="right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9" fillId="34" borderId="18" xfId="0" applyFont="1" applyFill="1" applyBorder="1" applyAlignment="1">
      <alignment horizontal="left" wrapText="1"/>
    </xf>
    <xf numFmtId="49" fontId="19" fillId="34" borderId="36" xfId="0" applyNumberFormat="1" applyFont="1" applyFill="1" applyBorder="1" applyAlignment="1" applyProtection="1">
      <alignment horizontal="center" vertical="center" wrapText="1"/>
      <protection/>
    </xf>
    <xf numFmtId="49" fontId="19" fillId="34" borderId="18" xfId="0" applyNumberFormat="1" applyFont="1" applyFill="1" applyBorder="1" applyAlignment="1">
      <alignment horizontal="left" vertical="center" wrapText="1"/>
    </xf>
    <xf numFmtId="49" fontId="21" fillId="32" borderId="12" xfId="0" applyNumberFormat="1" applyFont="1" applyFill="1" applyBorder="1" applyAlignment="1" applyProtection="1">
      <alignment horizontal="center" vertical="center"/>
      <protection locked="0"/>
    </xf>
    <xf numFmtId="49" fontId="19" fillId="34" borderId="12" xfId="0" applyNumberFormat="1" applyFont="1" applyFill="1" applyBorder="1" applyAlignment="1">
      <alignment horizontal="right"/>
    </xf>
    <xf numFmtId="49" fontId="19" fillId="34" borderId="19" xfId="0" applyNumberFormat="1" applyFont="1" applyFill="1" applyBorder="1" applyAlignment="1" applyProtection="1">
      <alignment horizontal="center" vertical="center" wrapText="1"/>
      <protection/>
    </xf>
    <xf numFmtId="49" fontId="19" fillId="34" borderId="19" xfId="0" applyNumberFormat="1" applyFont="1" applyFill="1" applyBorder="1" applyAlignment="1">
      <alignment horizontal="right"/>
    </xf>
    <xf numFmtId="4" fontId="19" fillId="35" borderId="35" xfId="0" applyNumberFormat="1" applyFont="1" applyFill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/>
    </xf>
    <xf numFmtId="49" fontId="14" fillId="32" borderId="33" xfId="0" applyNumberFormat="1" applyFont="1" applyFill="1" applyBorder="1" applyAlignment="1">
      <alignment horizontal="left" vertical="center" wrapText="1"/>
    </xf>
    <xf numFmtId="49" fontId="15" fillId="32" borderId="37" xfId="0" applyNumberFormat="1" applyFont="1" applyFill="1" applyBorder="1" applyAlignment="1" applyProtection="1">
      <alignment horizontal="center" wrapText="1"/>
      <protection/>
    </xf>
    <xf numFmtId="49" fontId="15" fillId="32" borderId="12" xfId="0" applyNumberFormat="1" applyFont="1" applyFill="1" applyBorder="1" applyAlignment="1" applyProtection="1">
      <alignment horizontal="center" wrapText="1"/>
      <protection/>
    </xf>
    <xf numFmtId="49" fontId="14" fillId="32" borderId="12" xfId="0" applyNumberFormat="1" applyFont="1" applyFill="1" applyBorder="1" applyAlignment="1">
      <alignment horizontal="center"/>
    </xf>
    <xf numFmtId="49" fontId="15" fillId="32" borderId="12" xfId="0" applyNumberFormat="1" applyFont="1" applyFill="1" applyBorder="1" applyAlignment="1">
      <alignment horizontal="center"/>
    </xf>
    <xf numFmtId="4" fontId="14" fillId="32" borderId="12" xfId="0" applyNumberFormat="1" applyFont="1" applyFill="1" applyBorder="1" applyAlignment="1">
      <alignment horizontal="center"/>
    </xf>
    <xf numFmtId="187" fontId="14" fillId="32" borderId="12" xfId="0" applyNumberFormat="1" applyFont="1" applyFill="1" applyBorder="1" applyAlignment="1">
      <alignment horizontal="center" wrapText="1"/>
    </xf>
    <xf numFmtId="187" fontId="14" fillId="32" borderId="38" xfId="0" applyNumberFormat="1" applyFont="1" applyFill="1" applyBorder="1" applyAlignment="1">
      <alignment horizontal="center" wrapText="1"/>
    </xf>
    <xf numFmtId="49" fontId="14" fillId="32" borderId="12" xfId="0" applyNumberFormat="1" applyFont="1" applyFill="1" applyBorder="1" applyAlignment="1" applyProtection="1">
      <alignment horizontal="center"/>
      <protection/>
    </xf>
    <xf numFmtId="49" fontId="15" fillId="32" borderId="39" xfId="0" applyNumberFormat="1" applyFont="1" applyFill="1" applyBorder="1" applyAlignment="1" applyProtection="1">
      <alignment horizontal="center" wrapText="1"/>
      <protection/>
    </xf>
    <xf numFmtId="49" fontId="14" fillId="32" borderId="25" xfId="0" applyNumberFormat="1" applyFont="1" applyFill="1" applyBorder="1" applyAlignment="1" applyProtection="1">
      <alignment horizontal="center"/>
      <protection locked="0"/>
    </xf>
    <xf numFmtId="49" fontId="14" fillId="32" borderId="22" xfId="0" applyNumberFormat="1" applyFont="1" applyFill="1" applyBorder="1" applyAlignment="1" applyProtection="1">
      <alignment horizontal="center"/>
      <protection locked="0"/>
    </xf>
    <xf numFmtId="49" fontId="15" fillId="32" borderId="40" xfId="0" applyNumberFormat="1" applyFont="1" applyFill="1" applyBorder="1" applyAlignment="1" applyProtection="1">
      <alignment horizontal="center" wrapText="1"/>
      <protection/>
    </xf>
    <xf numFmtId="49" fontId="14" fillId="32" borderId="23" xfId="0" applyNumberFormat="1" applyFont="1" applyFill="1" applyBorder="1" applyAlignment="1" applyProtection="1">
      <alignment horizontal="center"/>
      <protection/>
    </xf>
    <xf numFmtId="49" fontId="14" fillId="32" borderId="41" xfId="0" applyNumberFormat="1" applyFont="1" applyFill="1" applyBorder="1" applyAlignment="1" applyProtection="1">
      <alignment horizontal="center"/>
      <protection locked="0"/>
    </xf>
    <xf numFmtId="49" fontId="14" fillId="32" borderId="23" xfId="0" applyNumberFormat="1" applyFont="1" applyFill="1" applyBorder="1" applyAlignment="1" applyProtection="1">
      <alignment horizontal="center"/>
      <protection locked="0"/>
    </xf>
    <xf numFmtId="49" fontId="14" fillId="32" borderId="42" xfId="0" applyNumberFormat="1" applyFont="1" applyFill="1" applyBorder="1" applyAlignment="1" applyProtection="1">
      <alignment horizontal="center"/>
      <protection locked="0"/>
    </xf>
    <xf numFmtId="4" fontId="14" fillId="32" borderId="23" xfId="0" applyNumberFormat="1" applyFont="1" applyFill="1" applyBorder="1" applyAlignment="1">
      <alignment horizontal="center"/>
    </xf>
    <xf numFmtId="187" fontId="14" fillId="32" borderId="23" xfId="0" applyNumberFormat="1" applyFont="1" applyFill="1" applyBorder="1" applyAlignment="1">
      <alignment horizontal="center" wrapText="1"/>
    </xf>
    <xf numFmtId="187" fontId="14" fillId="32" borderId="43" xfId="0" applyNumberFormat="1" applyFont="1" applyFill="1" applyBorder="1" applyAlignment="1">
      <alignment horizontal="center" wrapText="1"/>
    </xf>
    <xf numFmtId="49" fontId="15" fillId="32" borderId="44" xfId="0" applyNumberFormat="1" applyFont="1" applyFill="1" applyBorder="1" applyAlignment="1" applyProtection="1">
      <alignment horizontal="center" wrapText="1"/>
      <protection/>
    </xf>
    <xf numFmtId="49" fontId="15" fillId="32" borderId="19" xfId="0" applyNumberFormat="1" applyFont="1" applyFill="1" applyBorder="1" applyAlignment="1" applyProtection="1">
      <alignment horizontal="center"/>
      <protection locked="0"/>
    </xf>
    <xf numFmtId="49" fontId="15" fillId="32" borderId="45" xfId="0" applyNumberFormat="1" applyFont="1" applyFill="1" applyBorder="1" applyAlignment="1" applyProtection="1">
      <alignment horizontal="center"/>
      <protection locked="0"/>
    </xf>
    <xf numFmtId="49" fontId="15" fillId="32" borderId="28" xfId="0" applyNumberFormat="1" applyFont="1" applyFill="1" applyBorder="1" applyAlignment="1" applyProtection="1">
      <alignment horizontal="center"/>
      <protection locked="0"/>
    </xf>
    <xf numFmtId="4" fontId="15" fillId="32" borderId="19" xfId="0" applyNumberFormat="1" applyFont="1" applyFill="1" applyBorder="1" applyAlignment="1">
      <alignment horizontal="center"/>
    </xf>
    <xf numFmtId="187" fontId="15" fillId="32" borderId="19" xfId="0" applyNumberFormat="1" applyFont="1" applyFill="1" applyBorder="1" applyAlignment="1">
      <alignment horizontal="center" wrapText="1"/>
    </xf>
    <xf numFmtId="187" fontId="15" fillId="32" borderId="35" xfId="0" applyNumberFormat="1" applyFont="1" applyFill="1" applyBorder="1" applyAlignment="1">
      <alignment horizontal="center" wrapText="1"/>
    </xf>
    <xf numFmtId="49" fontId="15" fillId="32" borderId="0" xfId="0" applyNumberFormat="1" applyFont="1" applyFill="1" applyBorder="1" applyAlignment="1" applyProtection="1">
      <alignment horizontal="center" wrapText="1"/>
      <protection/>
    </xf>
    <xf numFmtId="49" fontId="14" fillId="32" borderId="36" xfId="0" applyNumberFormat="1" applyFont="1" applyFill="1" applyBorder="1" applyAlignment="1" applyProtection="1">
      <alignment horizontal="center"/>
      <protection/>
    </xf>
    <xf numFmtId="49" fontId="14" fillId="32" borderId="46" xfId="0" applyNumberFormat="1" applyFont="1" applyFill="1" applyBorder="1" applyAlignment="1" applyProtection="1">
      <alignment horizontal="center"/>
      <protection locked="0"/>
    </xf>
    <xf numFmtId="49" fontId="14" fillId="32" borderId="36" xfId="0" applyNumberFormat="1" applyFont="1" applyFill="1" applyBorder="1" applyAlignment="1" applyProtection="1">
      <alignment horizontal="center"/>
      <protection locked="0"/>
    </xf>
    <xf numFmtId="49" fontId="14" fillId="32" borderId="47" xfId="0" applyNumberFormat="1" applyFont="1" applyFill="1" applyBorder="1" applyAlignment="1" applyProtection="1">
      <alignment horizontal="center"/>
      <protection locked="0"/>
    </xf>
    <xf numFmtId="4" fontId="14" fillId="32" borderId="36" xfId="0" applyNumberFormat="1" applyFont="1" applyFill="1" applyBorder="1" applyAlignment="1">
      <alignment horizontal="center"/>
    </xf>
    <xf numFmtId="187" fontId="14" fillId="32" borderId="36" xfId="0" applyNumberFormat="1" applyFont="1" applyFill="1" applyBorder="1" applyAlignment="1">
      <alignment horizontal="center" wrapText="1"/>
    </xf>
    <xf numFmtId="187" fontId="14" fillId="32" borderId="48" xfId="0" applyNumberFormat="1" applyFont="1" applyFill="1" applyBorder="1" applyAlignment="1">
      <alignment horizontal="center" wrapText="1"/>
    </xf>
    <xf numFmtId="49" fontId="14" fillId="32" borderId="49" xfId="0" applyNumberFormat="1" applyFont="1" applyFill="1" applyBorder="1" applyAlignment="1" applyProtection="1">
      <alignment horizontal="center"/>
      <protection locked="0"/>
    </xf>
    <xf numFmtId="49" fontId="14" fillId="32" borderId="20" xfId="0" applyNumberFormat="1" applyFont="1" applyFill="1" applyBorder="1" applyAlignment="1" applyProtection="1">
      <alignment horizontal="center"/>
      <protection locked="0"/>
    </xf>
    <xf numFmtId="49" fontId="15" fillId="32" borderId="50" xfId="0" applyNumberFormat="1" applyFont="1" applyFill="1" applyBorder="1" applyAlignment="1" applyProtection="1">
      <alignment horizontal="center" wrapText="1"/>
      <protection/>
    </xf>
    <xf numFmtId="49" fontId="15" fillId="32" borderId="51" xfId="0" applyNumberFormat="1" applyFont="1" applyFill="1" applyBorder="1" applyAlignment="1" applyProtection="1">
      <alignment horizontal="center"/>
      <protection locked="0"/>
    </xf>
    <xf numFmtId="49" fontId="15" fillId="32" borderId="52" xfId="0" applyNumberFormat="1" applyFont="1" applyFill="1" applyBorder="1" applyAlignment="1" applyProtection="1">
      <alignment horizontal="center"/>
      <protection locked="0"/>
    </xf>
    <xf numFmtId="49" fontId="15" fillId="32" borderId="53" xfId="0" applyNumberFormat="1" applyFont="1" applyFill="1" applyBorder="1" applyAlignment="1" applyProtection="1">
      <alignment horizontal="center"/>
      <protection locked="0"/>
    </xf>
    <xf numFmtId="4" fontId="15" fillId="32" borderId="51" xfId="0" applyNumberFormat="1" applyFont="1" applyFill="1" applyBorder="1" applyAlignment="1">
      <alignment horizontal="center"/>
    </xf>
    <xf numFmtId="187" fontId="15" fillId="32" borderId="51" xfId="0" applyNumberFormat="1" applyFont="1" applyFill="1" applyBorder="1" applyAlignment="1">
      <alignment horizontal="center" wrapText="1"/>
    </xf>
    <xf numFmtId="187" fontId="15" fillId="32" borderId="54" xfId="0" applyNumberFormat="1" applyFont="1" applyFill="1" applyBorder="1" applyAlignment="1">
      <alignment horizontal="center" wrapText="1"/>
    </xf>
    <xf numFmtId="49" fontId="15" fillId="32" borderId="36" xfId="0" applyNumberFormat="1" applyFont="1" applyFill="1" applyBorder="1" applyAlignment="1" applyProtection="1">
      <alignment horizontal="center"/>
      <protection locked="0"/>
    </xf>
    <xf numFmtId="49" fontId="15" fillId="32" borderId="47" xfId="0" applyNumberFormat="1" applyFont="1" applyFill="1" applyBorder="1" applyAlignment="1" applyProtection="1">
      <alignment horizontal="center"/>
      <protection locked="0"/>
    </xf>
    <xf numFmtId="49" fontId="15" fillId="32" borderId="55" xfId="0" applyNumberFormat="1" applyFont="1" applyFill="1" applyBorder="1" applyAlignment="1" applyProtection="1">
      <alignment horizontal="center" wrapText="1"/>
      <protection/>
    </xf>
    <xf numFmtId="49" fontId="14" fillId="32" borderId="21" xfId="0" applyNumberFormat="1" applyFont="1" applyFill="1" applyBorder="1" applyAlignment="1" applyProtection="1">
      <alignment horizontal="center"/>
      <protection locked="0"/>
    </xf>
    <xf numFmtId="49" fontId="14" fillId="32" borderId="24" xfId="0" applyNumberFormat="1" applyFont="1" applyFill="1" applyBorder="1" applyAlignment="1" applyProtection="1">
      <alignment horizontal="center"/>
      <protection locked="0"/>
    </xf>
    <xf numFmtId="49" fontId="15" fillId="32" borderId="21" xfId="0" applyNumberFormat="1" applyFont="1" applyFill="1" applyBorder="1" applyAlignment="1" applyProtection="1">
      <alignment horizontal="center"/>
      <protection locked="0"/>
    </xf>
    <xf numFmtId="49" fontId="15" fillId="32" borderId="56" xfId="0" applyNumberFormat="1" applyFont="1" applyFill="1" applyBorder="1" applyAlignment="1" applyProtection="1">
      <alignment horizontal="center"/>
      <protection locked="0"/>
    </xf>
    <xf numFmtId="4" fontId="14" fillId="32" borderId="21" xfId="0" applyNumberFormat="1" applyFont="1" applyFill="1" applyBorder="1" applyAlignment="1">
      <alignment horizontal="center"/>
    </xf>
    <xf numFmtId="187" fontId="14" fillId="32" borderId="21" xfId="0" applyNumberFormat="1" applyFont="1" applyFill="1" applyBorder="1" applyAlignment="1">
      <alignment horizontal="center" wrapText="1"/>
    </xf>
    <xf numFmtId="187" fontId="14" fillId="32" borderId="57" xfId="0" applyNumberFormat="1" applyFont="1" applyFill="1" applyBorder="1" applyAlignment="1">
      <alignment horizontal="center"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41" xfId="0" applyNumberFormat="1" applyFont="1" applyFill="1" applyBorder="1" applyAlignment="1">
      <alignment horizontal="center"/>
    </xf>
    <xf numFmtId="49" fontId="14" fillId="32" borderId="42" xfId="0" applyNumberFormat="1" applyFont="1" applyFill="1" applyBorder="1" applyAlignment="1">
      <alignment horizontal="center"/>
    </xf>
    <xf numFmtId="49" fontId="15" fillId="32" borderId="19" xfId="0" applyNumberFormat="1" applyFont="1" applyFill="1" applyBorder="1" applyAlignment="1" applyProtection="1">
      <alignment horizontal="center"/>
      <protection/>
    </xf>
    <xf numFmtId="49" fontId="14" fillId="32" borderId="21" xfId="0" applyNumberFormat="1" applyFont="1" applyFill="1" applyBorder="1" applyAlignment="1" applyProtection="1">
      <alignment horizontal="center"/>
      <protection/>
    </xf>
    <xf numFmtId="49" fontId="14" fillId="32" borderId="56" xfId="0" applyNumberFormat="1" applyFont="1" applyFill="1" applyBorder="1" applyAlignment="1" applyProtection="1">
      <alignment horizontal="center"/>
      <protection locked="0"/>
    </xf>
    <xf numFmtId="49" fontId="15" fillId="32" borderId="19" xfId="0" applyNumberFormat="1" applyFont="1" applyFill="1" applyBorder="1" applyAlignment="1">
      <alignment horizontal="center"/>
    </xf>
    <xf numFmtId="49" fontId="15" fillId="32" borderId="45" xfId="0" applyNumberFormat="1" applyFont="1" applyFill="1" applyBorder="1" applyAlignment="1">
      <alignment horizontal="center"/>
    </xf>
    <xf numFmtId="49" fontId="15" fillId="32" borderId="28" xfId="0" applyNumberFormat="1" applyFont="1" applyFill="1" applyBorder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14" fillId="32" borderId="55" xfId="0" applyNumberFormat="1" applyFont="1" applyFill="1" applyBorder="1" applyAlignment="1">
      <alignment horizontal="center"/>
    </xf>
    <xf numFmtId="49" fontId="15" fillId="32" borderId="56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5" fillId="32" borderId="12" xfId="0" applyNumberFormat="1" applyFont="1" applyFill="1" applyBorder="1" applyAlignment="1" applyProtection="1">
      <alignment horizontal="center"/>
      <protection locked="0"/>
    </xf>
    <xf numFmtId="49" fontId="15" fillId="32" borderId="22" xfId="0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wrapText="1"/>
    </xf>
    <xf numFmtId="4" fontId="19" fillId="35" borderId="28" xfId="0" applyNumberFormat="1" applyFont="1" applyFill="1" applyBorder="1" applyAlignment="1">
      <alignment horizontal="right"/>
    </xf>
    <xf numFmtId="0" fontId="27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8" fillId="32" borderId="58" xfId="0" applyNumberFormat="1" applyFont="1" applyFill="1" applyBorder="1" applyAlignment="1">
      <alignment horizontal="center" vertical="center" wrapText="1"/>
    </xf>
    <xf numFmtId="3" fontId="5" fillId="32" borderId="49" xfId="0" applyNumberFormat="1" applyFont="1" applyFill="1" applyBorder="1" applyAlignment="1">
      <alignment horizontal="center" vertical="center" wrapText="1"/>
    </xf>
    <xf numFmtId="3" fontId="8" fillId="32" borderId="59" xfId="0" applyNumberFormat="1" applyFont="1" applyFill="1" applyBorder="1" applyAlignment="1">
      <alignment horizontal="center" vertical="center" wrapText="1"/>
    </xf>
    <xf numFmtId="3" fontId="35" fillId="0" borderId="5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35" fillId="0" borderId="59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8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5" fillId="32" borderId="5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8" fillId="0" borderId="61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/>
    </xf>
    <xf numFmtId="49" fontId="39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5" fillId="32" borderId="49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58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0" fontId="15" fillId="32" borderId="6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15" fillId="32" borderId="60" xfId="0" applyFont="1" applyFill="1" applyBorder="1" applyAlignment="1" applyProtection="1">
      <alignment horizontal="center" vertical="center" wrapText="1"/>
      <protection/>
    </xf>
    <xf numFmtId="0" fontId="15" fillId="32" borderId="33" xfId="0" applyFont="1" applyFill="1" applyBorder="1" applyAlignment="1" applyProtection="1">
      <alignment horizontal="center" vertical="center" wrapText="1"/>
      <protection/>
    </xf>
    <xf numFmtId="0" fontId="15" fillId="32" borderId="63" xfId="0" applyFont="1" applyFill="1" applyBorder="1" applyAlignment="1" applyProtection="1">
      <alignment horizontal="center" vertical="center" wrapText="1"/>
      <protection/>
    </xf>
    <xf numFmtId="49" fontId="15" fillId="32" borderId="64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39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65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59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31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66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67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49" xfId="0" applyNumberFormat="1" applyFont="1" applyFill="1" applyBorder="1" applyAlignment="1" applyProtection="1">
      <alignment horizontal="center" vertical="center" wrapText="1"/>
      <protection/>
    </xf>
    <xf numFmtId="0" fontId="13" fillId="32" borderId="36" xfId="0" applyFont="1" applyFill="1" applyBorder="1" applyAlignment="1">
      <alignment/>
    </xf>
    <xf numFmtId="0" fontId="13" fillId="32" borderId="51" xfId="0" applyFont="1" applyFill="1" applyBorder="1" applyAlignment="1">
      <alignment/>
    </xf>
    <xf numFmtId="49" fontId="15" fillId="32" borderId="68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5" fillId="32" borderId="69" xfId="0" applyNumberFormat="1" applyFont="1" applyFill="1" applyBorder="1" applyAlignment="1" applyProtection="1">
      <alignment horizontal="center" vertical="center" textRotation="90" wrapText="1"/>
      <protection/>
    </xf>
    <xf numFmtId="0" fontId="15" fillId="32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4" fillId="32" borderId="61" xfId="0" applyFont="1" applyFill="1" applyBorder="1" applyAlignment="1">
      <alignment horizontal="left" vertical="top" wrapText="1"/>
    </xf>
    <xf numFmtId="49" fontId="15" fillId="32" borderId="64" xfId="0" applyNumberFormat="1" applyFont="1" applyFill="1" applyBorder="1" applyAlignment="1" applyProtection="1">
      <alignment horizontal="center" wrapText="1"/>
      <protection/>
    </xf>
    <xf numFmtId="49" fontId="14" fillId="32" borderId="59" xfId="0" applyNumberFormat="1" applyFont="1" applyFill="1" applyBorder="1" applyAlignment="1" applyProtection="1">
      <alignment horizontal="center"/>
      <protection locked="0"/>
    </xf>
    <xf numFmtId="4" fontId="14" fillId="32" borderId="59" xfId="0" applyNumberFormat="1" applyFont="1" applyFill="1" applyBorder="1" applyAlignment="1">
      <alignment horizontal="center"/>
    </xf>
    <xf numFmtId="187" fontId="14" fillId="32" borderId="59" xfId="0" applyNumberFormat="1" applyFont="1" applyFill="1" applyBorder="1" applyAlignment="1">
      <alignment horizontal="center" wrapText="1"/>
    </xf>
    <xf numFmtId="187" fontId="14" fillId="32" borderId="58" xfId="0" applyNumberFormat="1" applyFont="1" applyFill="1" applyBorder="1" applyAlignment="1">
      <alignment horizontal="center" wrapText="1"/>
    </xf>
    <xf numFmtId="0" fontId="14" fillId="0" borderId="34" xfId="0" applyFont="1" applyBorder="1" applyAlignment="1">
      <alignment horizontal="left" vertical="top" wrapText="1"/>
    </xf>
    <xf numFmtId="49" fontId="15" fillId="32" borderId="21" xfId="0" applyNumberFormat="1" applyFont="1" applyFill="1" applyBorder="1" applyAlignment="1" applyProtection="1">
      <alignment horizontal="center" wrapText="1"/>
      <protection/>
    </xf>
    <xf numFmtId="49" fontId="15" fillId="32" borderId="21" xfId="0" applyNumberFormat="1" applyFont="1" applyFill="1" applyBorder="1" applyAlignment="1">
      <alignment horizontal="center"/>
    </xf>
    <xf numFmtId="0" fontId="14" fillId="32" borderId="60" xfId="0" applyFont="1" applyFill="1" applyBorder="1" applyAlignment="1">
      <alignment horizontal="left" vertical="top" wrapText="1"/>
    </xf>
    <xf numFmtId="49" fontId="14" fillId="32" borderId="49" xfId="0" applyNumberFormat="1" applyFont="1" applyFill="1" applyBorder="1" applyAlignment="1" applyProtection="1">
      <alignment horizontal="center"/>
      <protection/>
    </xf>
    <xf numFmtId="49" fontId="14" fillId="32" borderId="70" xfId="0" applyNumberFormat="1" applyFont="1" applyFill="1" applyBorder="1" applyAlignment="1" applyProtection="1">
      <alignment horizontal="center"/>
      <protection locked="0"/>
    </xf>
    <xf numFmtId="4" fontId="14" fillId="32" borderId="49" xfId="0" applyNumberFormat="1" applyFont="1" applyFill="1" applyBorder="1" applyAlignment="1">
      <alignment horizontal="center"/>
    </xf>
    <xf numFmtId="187" fontId="14" fillId="32" borderId="49" xfId="0" applyNumberFormat="1" applyFont="1" applyFill="1" applyBorder="1" applyAlignment="1">
      <alignment horizontal="center" wrapText="1"/>
    </xf>
    <xf numFmtId="187" fontId="14" fillId="32" borderId="71" xfId="0" applyNumberFormat="1" applyFont="1" applyFill="1" applyBorder="1" applyAlignment="1">
      <alignment horizontal="center" wrapText="1"/>
    </xf>
    <xf numFmtId="49" fontId="15" fillId="32" borderId="36" xfId="0" applyNumberFormat="1" applyFont="1" applyFill="1" applyBorder="1" applyAlignment="1" applyProtection="1">
      <alignment horizontal="center" wrapText="1"/>
      <protection/>
    </xf>
    <xf numFmtId="49" fontId="14" fillId="32" borderId="19" xfId="0" applyNumberFormat="1" applyFont="1" applyFill="1" applyBorder="1" applyAlignment="1" applyProtection="1">
      <alignment horizontal="center"/>
      <protection locked="0"/>
    </xf>
    <xf numFmtId="49" fontId="14" fillId="32" borderId="28" xfId="0" applyNumberFormat="1" applyFont="1" applyFill="1" applyBorder="1" applyAlignment="1" applyProtection="1">
      <alignment horizontal="center"/>
      <protection locked="0"/>
    </xf>
    <xf numFmtId="0" fontId="15" fillId="32" borderId="63" xfId="0" applyFont="1" applyFill="1" applyBorder="1" applyAlignment="1">
      <alignment horizontal="left" vertical="top" wrapText="1"/>
    </xf>
    <xf numFmtId="49" fontId="15" fillId="32" borderId="51" xfId="0" applyNumberFormat="1" applyFont="1" applyFill="1" applyBorder="1" applyAlignment="1" applyProtection="1">
      <alignment horizontal="center"/>
      <protection/>
    </xf>
    <xf numFmtId="49" fontId="14" fillId="32" borderId="59" xfId="0" applyNumberFormat="1" applyFont="1" applyFill="1" applyBorder="1" applyAlignment="1">
      <alignment horizontal="center"/>
    </xf>
    <xf numFmtId="49" fontId="14" fillId="32" borderId="66" xfId="0" applyNumberFormat="1" applyFont="1" applyFill="1" applyBorder="1" applyAlignment="1">
      <alignment horizontal="center"/>
    </xf>
    <xf numFmtId="49" fontId="14" fillId="32" borderId="68" xfId="0" applyNumberFormat="1" applyFont="1" applyFill="1" applyBorder="1" applyAlignment="1">
      <alignment horizontal="center"/>
    </xf>
    <xf numFmtId="0" fontId="14" fillId="32" borderId="0" xfId="0" applyFont="1" applyFill="1" applyAlignment="1">
      <alignment wrapText="1"/>
    </xf>
    <xf numFmtId="3" fontId="7" fillId="32" borderId="23" xfId="0" applyNumberFormat="1" applyFont="1" applyFill="1" applyBorder="1" applyAlignment="1">
      <alignment horizontal="center"/>
    </xf>
    <xf numFmtId="4" fontId="45" fillId="32" borderId="23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left" vertical="center"/>
    </xf>
    <xf numFmtId="4" fontId="8" fillId="32" borderId="35" xfId="0" applyNumberFormat="1" applyFont="1" applyFill="1" applyBorder="1" applyAlignment="1">
      <alignment horizontal="center"/>
    </xf>
    <xf numFmtId="4" fontId="8" fillId="32" borderId="72" xfId="0" applyNumberFormat="1" applyFont="1" applyFill="1" applyBorder="1" applyAlignment="1">
      <alignment horizontal="center"/>
    </xf>
    <xf numFmtId="4" fontId="7" fillId="32" borderId="72" xfId="0" applyNumberFormat="1" applyFont="1" applyFill="1" applyBorder="1" applyAlignment="1">
      <alignment horizontal="center"/>
    </xf>
    <xf numFmtId="4" fontId="7" fillId="32" borderId="73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4" fontId="7" fillId="32" borderId="12" xfId="0" applyNumberFormat="1" applyFont="1" applyFill="1" applyBorder="1" applyAlignment="1">
      <alignment/>
    </xf>
    <xf numFmtId="194" fontId="8" fillId="32" borderId="12" xfId="514" applyNumberFormat="1" applyFont="1" applyFill="1" applyBorder="1" applyAlignment="1" applyProtection="1">
      <alignment horizontal="right"/>
      <protection hidden="1"/>
    </xf>
    <xf numFmtId="194" fontId="7" fillId="32" borderId="12" xfId="514" applyNumberFormat="1" applyFont="1" applyFill="1" applyBorder="1" applyAlignment="1" applyProtection="1">
      <alignment horizontal="right"/>
      <protection hidden="1"/>
    </xf>
    <xf numFmtId="194" fontId="8" fillId="32" borderId="12" xfId="515" applyNumberFormat="1" applyFont="1" applyFill="1" applyBorder="1" applyAlignment="1" applyProtection="1">
      <alignment horizontal="right"/>
      <protection hidden="1"/>
    </xf>
    <xf numFmtId="204" fontId="8" fillId="32" borderId="12" xfId="514" applyNumberFormat="1" applyFont="1" applyFill="1" applyBorder="1" applyAlignment="1" applyProtection="1">
      <alignment horizontal="right"/>
      <protection hidden="1"/>
    </xf>
    <xf numFmtId="194" fontId="7" fillId="0" borderId="12" xfId="514" applyNumberFormat="1" applyFont="1" applyFill="1" applyBorder="1" applyAlignment="1" applyProtection="1">
      <alignment horizontal="right"/>
      <protection hidden="1"/>
    </xf>
    <xf numFmtId="4" fontId="7" fillId="0" borderId="12" xfId="0" applyNumberFormat="1" applyFont="1" applyBorder="1" applyAlignment="1">
      <alignment/>
    </xf>
    <xf numFmtId="4" fontId="31" fillId="0" borderId="12" xfId="0" applyNumberFormat="1" applyFont="1" applyBorder="1" applyAlignment="1">
      <alignment/>
    </xf>
    <xf numFmtId="187" fontId="35" fillId="32" borderId="12" xfId="516" applyNumberFormat="1" applyFont="1" applyFill="1" applyBorder="1" applyAlignment="1">
      <alignment/>
      <protection/>
    </xf>
    <xf numFmtId="4" fontId="33" fillId="32" borderId="12" xfId="516" applyNumberFormat="1" applyFont="1" applyFill="1" applyBorder="1" applyAlignment="1">
      <alignment/>
      <protection/>
    </xf>
    <xf numFmtId="4" fontId="7" fillId="32" borderId="23" xfId="0" applyNumberFormat="1" applyFont="1" applyFill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textRotation="90" wrapText="1"/>
    </xf>
    <xf numFmtId="3" fontId="35" fillId="0" borderId="23" xfId="0" applyNumberFormat="1" applyFont="1" applyBorder="1" applyAlignment="1">
      <alignment horizontal="center" vertical="center" wrapText="1"/>
    </xf>
    <xf numFmtId="3" fontId="5" fillId="32" borderId="36" xfId="0" applyNumberFormat="1" applyFont="1" applyFill="1" applyBorder="1" applyAlignment="1">
      <alignment horizontal="center" vertical="center" wrapText="1"/>
    </xf>
    <xf numFmtId="3" fontId="8" fillId="32" borderId="23" xfId="0" applyNumberFormat="1" applyFont="1" applyFill="1" applyBorder="1" applyAlignment="1">
      <alignment horizontal="center" vertical="center" wrapText="1"/>
    </xf>
    <xf numFmtId="3" fontId="8" fillId="32" borderId="43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/>
    </xf>
    <xf numFmtId="4" fontId="8" fillId="0" borderId="21" xfId="0" applyNumberFormat="1" applyFont="1" applyBorder="1" applyAlignment="1">
      <alignment horizontal="center"/>
    </xf>
    <xf numFmtId="4" fontId="8" fillId="32" borderId="74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left" vertical="center"/>
    </xf>
    <xf numFmtId="0" fontId="8" fillId="0" borderId="19" xfId="0" applyFont="1" applyBorder="1" applyAlignment="1">
      <alignment vertical="justify" wrapText="1"/>
    </xf>
    <xf numFmtId="49" fontId="8" fillId="0" borderId="19" xfId="0" applyNumberFormat="1" applyFont="1" applyBorder="1" applyAlignment="1" quotePrefix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/>
    </xf>
    <xf numFmtId="4" fontId="8" fillId="0" borderId="19" xfId="0" applyNumberFormat="1" applyFont="1" applyBorder="1" applyAlignment="1">
      <alignment horizontal="center"/>
    </xf>
    <xf numFmtId="4" fontId="8" fillId="32" borderId="75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8" fillId="0" borderId="26" xfId="0" applyFont="1" applyBorder="1" applyAlignment="1">
      <alignment horizontal="left" vertical="center"/>
    </xf>
    <xf numFmtId="4" fontId="7" fillId="0" borderId="23" xfId="0" applyNumberFormat="1" applyFont="1" applyBorder="1" applyAlignment="1">
      <alignment/>
    </xf>
    <xf numFmtId="49" fontId="7" fillId="0" borderId="34" xfId="0" applyNumberFormat="1" applyFont="1" applyBorder="1" applyAlignment="1">
      <alignment horizontal="left" vertical="center"/>
    </xf>
    <xf numFmtId="3" fontId="7" fillId="32" borderId="21" xfId="0" applyNumberFormat="1" applyFont="1" applyFill="1" applyBorder="1" applyAlignment="1">
      <alignment horizontal="center"/>
    </xf>
    <xf numFmtId="4" fontId="8" fillId="32" borderId="19" xfId="0" applyNumberFormat="1" applyFont="1" applyFill="1" applyBorder="1" applyAlignment="1">
      <alignment/>
    </xf>
    <xf numFmtId="3" fontId="7" fillId="32" borderId="19" xfId="0" applyNumberFormat="1" applyFont="1" applyFill="1" applyBorder="1" applyAlignment="1">
      <alignment horizontal="center"/>
    </xf>
    <xf numFmtId="4" fontId="8" fillId="32" borderId="73" xfId="0" applyNumberFormat="1" applyFont="1" applyFill="1" applyBorder="1" applyAlignment="1">
      <alignment horizontal="center"/>
    </xf>
    <xf numFmtId="4" fontId="20" fillId="32" borderId="39" xfId="0" applyNumberFormat="1" applyFont="1" applyFill="1" applyBorder="1" applyAlignment="1">
      <alignment horizontal="right"/>
    </xf>
    <xf numFmtId="4" fontId="21" fillId="32" borderId="39" xfId="0" applyNumberFormat="1" applyFont="1" applyFill="1" applyBorder="1" applyAlignment="1">
      <alignment horizontal="right"/>
    </xf>
    <xf numFmtId="4" fontId="14" fillId="32" borderId="39" xfId="0" applyNumberFormat="1" applyFont="1" applyFill="1" applyBorder="1" applyAlignment="1">
      <alignment horizontal="right"/>
    </xf>
    <xf numFmtId="4" fontId="20" fillId="32" borderId="39" xfId="0" applyNumberFormat="1" applyFont="1" applyFill="1" applyBorder="1" applyAlignment="1">
      <alignment/>
    </xf>
    <xf numFmtId="4" fontId="21" fillId="32" borderId="39" xfId="0" applyNumberFormat="1" applyFont="1" applyFill="1" applyBorder="1" applyAlignment="1">
      <alignment/>
    </xf>
    <xf numFmtId="4" fontId="14" fillId="32" borderId="39" xfId="0" applyNumberFormat="1" applyFont="1" applyFill="1" applyBorder="1" applyAlignment="1">
      <alignment/>
    </xf>
    <xf numFmtId="4" fontId="111" fillId="35" borderId="39" xfId="0" applyNumberFormat="1" applyFont="1" applyFill="1" applyBorder="1" applyAlignment="1">
      <alignment horizontal="right"/>
    </xf>
    <xf numFmtId="4" fontId="96" fillId="32" borderId="39" xfId="0" applyNumberFormat="1" applyFont="1" applyFill="1" applyBorder="1" applyAlignment="1">
      <alignment horizontal="right"/>
    </xf>
    <xf numFmtId="4" fontId="94" fillId="32" borderId="39" xfId="0" applyNumberFormat="1" applyFont="1" applyFill="1" applyBorder="1" applyAlignment="1">
      <alignment horizontal="right"/>
    </xf>
    <xf numFmtId="4" fontId="19" fillId="35" borderId="39" xfId="0" applyNumberFormat="1" applyFont="1" applyFill="1" applyBorder="1" applyAlignment="1">
      <alignment horizontal="right"/>
    </xf>
    <xf numFmtId="4" fontId="112" fillId="32" borderId="39" xfId="0" applyNumberFormat="1" applyFont="1" applyFill="1" applyBorder="1" applyAlignment="1">
      <alignment horizontal="right"/>
    </xf>
    <xf numFmtId="4" fontId="113" fillId="32" borderId="39" xfId="0" applyNumberFormat="1" applyFont="1" applyFill="1" applyBorder="1" applyAlignment="1">
      <alignment horizontal="right"/>
    </xf>
    <xf numFmtId="4" fontId="97" fillId="32" borderId="39" xfId="0" applyNumberFormat="1" applyFont="1" applyFill="1" applyBorder="1" applyAlignment="1">
      <alignment horizontal="right"/>
    </xf>
    <xf numFmtId="171" fontId="14" fillId="32" borderId="39" xfId="524" applyFont="1" applyFill="1" applyBorder="1" applyAlignment="1">
      <alignment/>
    </xf>
    <xf numFmtId="171" fontId="14" fillId="32" borderId="39" xfId="524" applyFont="1" applyFill="1" applyBorder="1" applyAlignment="1">
      <alignment horizontal="right"/>
    </xf>
    <xf numFmtId="4" fontId="38" fillId="32" borderId="39" xfId="0" applyNumberFormat="1" applyFont="1" applyFill="1" applyBorder="1" applyAlignment="1">
      <alignment horizontal="right"/>
    </xf>
    <xf numFmtId="4" fontId="17" fillId="32" borderId="39" xfId="0" applyNumberFormat="1" applyFont="1" applyFill="1" applyBorder="1" applyAlignment="1">
      <alignment horizontal="right"/>
    </xf>
    <xf numFmtId="4" fontId="14" fillId="32" borderId="39" xfId="0" applyNumberFormat="1" applyFont="1" applyFill="1" applyBorder="1" applyAlignment="1">
      <alignment horizontal="right" wrapText="1"/>
    </xf>
    <xf numFmtId="4" fontId="14" fillId="32" borderId="40" xfId="0" applyNumberFormat="1" applyFont="1" applyFill="1" applyBorder="1" applyAlignment="1">
      <alignment horizontal="right"/>
    </xf>
    <xf numFmtId="4" fontId="19" fillId="35" borderId="12" xfId="0" applyNumberFormat="1" applyFont="1" applyFill="1" applyBorder="1" applyAlignment="1">
      <alignment horizontal="right"/>
    </xf>
    <xf numFmtId="4" fontId="20" fillId="32" borderId="12" xfId="0" applyNumberFormat="1" applyFont="1" applyFill="1" applyBorder="1" applyAlignment="1">
      <alignment horizontal="right"/>
    </xf>
    <xf numFmtId="4" fontId="21" fillId="32" borderId="12" xfId="0" applyNumberFormat="1" applyFont="1" applyFill="1" applyBorder="1" applyAlignment="1">
      <alignment horizontal="right"/>
    </xf>
    <xf numFmtId="4" fontId="14" fillId="32" borderId="12" xfId="0" applyNumberFormat="1" applyFont="1" applyFill="1" applyBorder="1" applyAlignment="1">
      <alignment horizontal="right"/>
    </xf>
    <xf numFmtId="4" fontId="20" fillId="32" borderId="12" xfId="0" applyNumberFormat="1" applyFont="1" applyFill="1" applyBorder="1" applyAlignment="1">
      <alignment/>
    </xf>
    <xf numFmtId="4" fontId="21" fillId="32" borderId="12" xfId="0" applyNumberFormat="1" applyFont="1" applyFill="1" applyBorder="1" applyAlignment="1">
      <alignment/>
    </xf>
    <xf numFmtId="4" fontId="14" fillId="32" borderId="12" xfId="0" applyNumberFormat="1" applyFont="1" applyFill="1" applyBorder="1" applyAlignment="1">
      <alignment/>
    </xf>
    <xf numFmtId="4" fontId="111" fillId="35" borderId="12" xfId="0" applyNumberFormat="1" applyFont="1" applyFill="1" applyBorder="1" applyAlignment="1">
      <alignment horizontal="right"/>
    </xf>
    <xf numFmtId="4" fontId="96" fillId="32" borderId="12" xfId="0" applyNumberFormat="1" applyFont="1" applyFill="1" applyBorder="1" applyAlignment="1">
      <alignment horizontal="right"/>
    </xf>
    <xf numFmtId="4" fontId="94" fillId="32" borderId="12" xfId="0" applyNumberFormat="1" applyFont="1" applyFill="1" applyBorder="1" applyAlignment="1">
      <alignment horizontal="right"/>
    </xf>
    <xf numFmtId="4" fontId="112" fillId="32" borderId="12" xfId="0" applyNumberFormat="1" applyFont="1" applyFill="1" applyBorder="1" applyAlignment="1">
      <alignment horizontal="right"/>
    </xf>
    <xf numFmtId="4" fontId="113" fillId="32" borderId="12" xfId="0" applyNumberFormat="1" applyFont="1" applyFill="1" applyBorder="1" applyAlignment="1">
      <alignment horizontal="right"/>
    </xf>
    <xf numFmtId="4" fontId="97" fillId="32" borderId="12" xfId="0" applyNumberFormat="1" applyFont="1" applyFill="1" applyBorder="1" applyAlignment="1">
      <alignment horizontal="right"/>
    </xf>
    <xf numFmtId="171" fontId="14" fillId="32" borderId="12" xfId="524" applyFont="1" applyFill="1" applyBorder="1" applyAlignment="1">
      <alignment/>
    </xf>
    <xf numFmtId="171" fontId="14" fillId="32" borderId="12" xfId="524" applyFont="1" applyFill="1" applyBorder="1" applyAlignment="1">
      <alignment horizontal="right"/>
    </xf>
    <xf numFmtId="4" fontId="38" fillId="32" borderId="12" xfId="0" applyNumberFormat="1" applyFont="1" applyFill="1" applyBorder="1" applyAlignment="1">
      <alignment horizontal="right"/>
    </xf>
    <xf numFmtId="4" fontId="17" fillId="32" borderId="12" xfId="0" applyNumberFormat="1" applyFont="1" applyFill="1" applyBorder="1" applyAlignment="1">
      <alignment horizontal="right"/>
    </xf>
    <xf numFmtId="4" fontId="14" fillId="32" borderId="12" xfId="0" applyNumberFormat="1" applyFont="1" applyFill="1" applyBorder="1" applyAlignment="1">
      <alignment horizontal="right" wrapText="1"/>
    </xf>
    <xf numFmtId="0" fontId="19" fillId="34" borderId="34" xfId="0" applyFont="1" applyFill="1" applyBorder="1" applyAlignment="1">
      <alignment horizontal="left" vertical="top" wrapText="1"/>
    </xf>
    <xf numFmtId="49" fontId="19" fillId="34" borderId="21" xfId="0" applyNumberFormat="1" applyFont="1" applyFill="1" applyBorder="1" applyAlignment="1" applyProtection="1">
      <alignment horizontal="center" vertical="center" wrapText="1"/>
      <protection/>
    </xf>
    <xf numFmtId="49" fontId="19" fillId="34" borderId="21" xfId="0" applyNumberFormat="1" applyFont="1" applyFill="1" applyBorder="1" applyAlignment="1">
      <alignment horizontal="right"/>
    </xf>
    <xf numFmtId="49" fontId="19" fillId="35" borderId="21" xfId="0" applyNumberFormat="1" applyFont="1" applyFill="1" applyBorder="1" applyAlignment="1">
      <alignment horizontal="right"/>
    </xf>
    <xf numFmtId="4" fontId="19" fillId="35" borderId="21" xfId="0" applyNumberFormat="1" applyFont="1" applyFill="1" applyBorder="1" applyAlignment="1">
      <alignment horizontal="right"/>
    </xf>
    <xf numFmtId="4" fontId="19" fillId="35" borderId="55" xfId="0" applyNumberFormat="1" applyFont="1" applyFill="1" applyBorder="1" applyAlignment="1">
      <alignment horizontal="right"/>
    </xf>
    <xf numFmtId="187" fontId="14" fillId="0" borderId="35" xfId="0" applyNumberFormat="1" applyFont="1" applyFill="1" applyBorder="1" applyAlignment="1">
      <alignment horizontal="right" wrapText="1"/>
    </xf>
    <xf numFmtId="4" fontId="14" fillId="32" borderId="23" xfId="0" applyNumberFormat="1" applyFont="1" applyFill="1" applyBorder="1" applyAlignment="1">
      <alignment horizontal="right"/>
    </xf>
    <xf numFmtId="187" fontId="14" fillId="0" borderId="23" xfId="0" applyNumberFormat="1" applyFont="1" applyFill="1" applyBorder="1" applyAlignment="1">
      <alignment horizontal="right" wrapText="1"/>
    </xf>
    <xf numFmtId="49" fontId="14" fillId="0" borderId="26" xfId="0" applyNumberFormat="1" applyFont="1" applyFill="1" applyBorder="1" applyAlignment="1">
      <alignment horizontal="left" vertical="center" wrapText="1"/>
    </xf>
    <xf numFmtId="0" fontId="19" fillId="34" borderId="27" xfId="0" applyFont="1" applyFill="1" applyBorder="1" applyAlignment="1">
      <alignment horizontal="left" vertical="top" wrapText="1"/>
    </xf>
    <xf numFmtId="49" fontId="19" fillId="34" borderId="19" xfId="0" applyNumberFormat="1" applyFont="1" applyFill="1" applyBorder="1" applyAlignment="1" applyProtection="1">
      <alignment horizontal="right"/>
      <protection/>
    </xf>
    <xf numFmtId="49" fontId="19" fillId="34" borderId="19" xfId="0" applyNumberFormat="1" applyFont="1" applyFill="1" applyBorder="1" applyAlignment="1" applyProtection="1">
      <alignment horizontal="right"/>
      <protection locked="0"/>
    </xf>
    <xf numFmtId="4" fontId="19" fillId="35" borderId="19" xfId="0" applyNumberFormat="1" applyFont="1" applyFill="1" applyBorder="1" applyAlignment="1">
      <alignment horizontal="right"/>
    </xf>
    <xf numFmtId="4" fontId="19" fillId="35" borderId="44" xfId="0" applyNumberFormat="1" applyFont="1" applyFill="1" applyBorder="1" applyAlignment="1">
      <alignment horizontal="right"/>
    </xf>
    <xf numFmtId="187" fontId="111" fillId="35" borderId="35" xfId="0" applyNumberFormat="1" applyFont="1" applyFill="1" applyBorder="1" applyAlignment="1">
      <alignment horizontal="right" wrapText="1"/>
    </xf>
    <xf numFmtId="187" fontId="111" fillId="35" borderId="12" xfId="0" applyNumberFormat="1" applyFont="1" applyFill="1" applyBorder="1" applyAlignment="1">
      <alignment horizontal="right" wrapText="1"/>
    </xf>
    <xf numFmtId="187" fontId="111" fillId="35" borderId="21" xfId="0" applyNumberFormat="1" applyFont="1" applyFill="1" applyBorder="1" applyAlignment="1">
      <alignment horizontal="right" wrapText="1"/>
    </xf>
    <xf numFmtId="187" fontId="96" fillId="0" borderId="12" xfId="0" applyNumberFormat="1" applyFont="1" applyFill="1" applyBorder="1" applyAlignment="1">
      <alignment horizontal="right" wrapText="1"/>
    </xf>
    <xf numFmtId="0" fontId="114" fillId="0" borderId="18" xfId="0" applyFont="1" applyFill="1" applyBorder="1" applyAlignment="1">
      <alignment horizontal="left" vertical="top" wrapText="1"/>
    </xf>
    <xf numFmtId="49" fontId="115" fillId="0" borderId="12" xfId="0" applyNumberFormat="1" applyFont="1" applyFill="1" applyBorder="1" applyAlignment="1" applyProtection="1">
      <alignment horizontal="center" vertical="center" wrapText="1"/>
      <protection/>
    </xf>
    <xf numFmtId="49" fontId="115" fillId="0" borderId="12" xfId="0" applyNumberFormat="1" applyFont="1" applyFill="1" applyBorder="1" applyAlignment="1" applyProtection="1">
      <alignment horizontal="right"/>
      <protection locked="0"/>
    </xf>
    <xf numFmtId="187" fontId="115" fillId="0" borderId="12" xfId="0" applyNumberFormat="1" applyFont="1" applyFill="1" applyBorder="1" applyAlignment="1">
      <alignment horizontal="right" wrapText="1"/>
    </xf>
    <xf numFmtId="0" fontId="36" fillId="0" borderId="18" xfId="0" applyFont="1" applyBorder="1" applyAlignment="1">
      <alignment horizontal="left" vertical="center" wrapText="1"/>
    </xf>
    <xf numFmtId="49" fontId="29" fillId="0" borderId="12" xfId="0" applyNumberFormat="1" applyFont="1" applyFill="1" applyBorder="1" applyAlignment="1" applyProtection="1">
      <alignment horizontal="right"/>
      <protection/>
    </xf>
    <xf numFmtId="49" fontId="29" fillId="0" borderId="12" xfId="0" applyNumberFormat="1" applyFont="1" applyBorder="1" applyAlignment="1" applyProtection="1">
      <alignment horizontal="right"/>
      <protection locked="0"/>
    </xf>
    <xf numFmtId="49" fontId="73" fillId="0" borderId="12" xfId="0" applyNumberFormat="1" applyFont="1" applyBorder="1" applyAlignment="1" applyProtection="1">
      <alignment horizontal="right"/>
      <protection locked="0"/>
    </xf>
    <xf numFmtId="49" fontId="15" fillId="0" borderId="12" xfId="0" applyNumberFormat="1" applyFont="1" applyBorder="1" applyAlignment="1" applyProtection="1">
      <alignment horizontal="right"/>
      <protection locked="0"/>
    </xf>
    <xf numFmtId="4" fontId="115" fillId="32" borderId="12" xfId="0" applyNumberFormat="1" applyFont="1" applyFill="1" applyBorder="1" applyAlignment="1">
      <alignment horizontal="right"/>
    </xf>
    <xf numFmtId="4" fontId="115" fillId="32" borderId="39" xfId="0" applyNumberFormat="1" applyFont="1" applyFill="1" applyBorder="1" applyAlignment="1">
      <alignment horizontal="right"/>
    </xf>
    <xf numFmtId="0" fontId="114" fillId="0" borderId="18" xfId="0" applyFont="1" applyBorder="1" applyAlignment="1">
      <alignment horizontal="left" vertical="top" wrapText="1"/>
    </xf>
    <xf numFmtId="49" fontId="115" fillId="0" borderId="12" xfId="0" applyNumberFormat="1" applyFont="1" applyFill="1" applyBorder="1" applyAlignment="1">
      <alignment horizontal="right"/>
    </xf>
    <xf numFmtId="49" fontId="115" fillId="0" borderId="12" xfId="0" applyNumberFormat="1" applyFont="1" applyBorder="1" applyAlignment="1" applyProtection="1">
      <alignment horizontal="right"/>
      <protection locked="0"/>
    </xf>
    <xf numFmtId="0" fontId="36" fillId="0" borderId="18" xfId="0" applyFont="1" applyBorder="1" applyAlignment="1">
      <alignment horizontal="left" vertical="top" wrapText="1"/>
    </xf>
    <xf numFmtId="49" fontId="29" fillId="0" borderId="12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 horizontal="right"/>
    </xf>
    <xf numFmtId="4" fontId="29" fillId="32" borderId="12" xfId="0" applyNumberFormat="1" applyFont="1" applyFill="1" applyBorder="1" applyAlignment="1">
      <alignment horizontal="right"/>
    </xf>
    <xf numFmtId="4" fontId="29" fillId="32" borderId="39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15" fillId="0" borderId="12" xfId="0" applyNumberFormat="1" applyFont="1" applyBorder="1" applyAlignment="1">
      <alignment horizontal="right"/>
    </xf>
    <xf numFmtId="0" fontId="29" fillId="0" borderId="18" xfId="0" applyFont="1" applyFill="1" applyBorder="1" applyAlignment="1">
      <alignment wrapText="1"/>
    </xf>
    <xf numFmtId="171" fontId="29" fillId="32" borderId="12" xfId="524" applyFont="1" applyFill="1" applyBorder="1" applyAlignment="1">
      <alignment horizontal="right"/>
    </xf>
    <xf numFmtId="171" fontId="29" fillId="32" borderId="39" xfId="524" applyFont="1" applyFill="1" applyBorder="1" applyAlignment="1">
      <alignment horizontal="right"/>
    </xf>
    <xf numFmtId="0" fontId="29" fillId="0" borderId="18" xfId="0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 applyProtection="1">
      <alignment horizontal="right"/>
      <protection locked="0"/>
    </xf>
    <xf numFmtId="0" fontId="115" fillId="0" borderId="18" xfId="0" applyFont="1" applyBorder="1" applyAlignment="1">
      <alignment horizontal="left" vertical="top" wrapText="1"/>
    </xf>
    <xf numFmtId="49" fontId="115" fillId="0" borderId="18" xfId="0" applyNumberFormat="1" applyFont="1" applyFill="1" applyBorder="1" applyAlignment="1">
      <alignment horizontal="left" vertical="center" wrapText="1"/>
    </xf>
    <xf numFmtId="49" fontId="115" fillId="0" borderId="12" xfId="0" applyNumberFormat="1" applyFont="1" applyFill="1" applyBorder="1" applyAlignment="1" applyProtection="1">
      <alignment horizontal="right"/>
      <protection/>
    </xf>
    <xf numFmtId="49" fontId="115" fillId="0" borderId="21" xfId="0" applyNumberFormat="1" applyFont="1" applyFill="1" applyBorder="1" applyAlignment="1" applyProtection="1">
      <alignment horizontal="center" vertical="center" wrapText="1"/>
      <protection/>
    </xf>
    <xf numFmtId="0" fontId="115" fillId="0" borderId="34" xfId="0" applyFont="1" applyBorder="1" applyAlignment="1">
      <alignment horizontal="left" vertical="top" wrapText="1"/>
    </xf>
    <xf numFmtId="49" fontId="115" fillId="0" borderId="21" xfId="0" applyNumberFormat="1" applyFont="1" applyFill="1" applyBorder="1" applyAlignment="1">
      <alignment horizontal="right"/>
    </xf>
    <xf numFmtId="49" fontId="115" fillId="0" borderId="21" xfId="0" applyNumberFormat="1" applyFont="1" applyBorder="1" applyAlignment="1">
      <alignment horizontal="right"/>
    </xf>
    <xf numFmtId="49" fontId="115" fillId="0" borderId="21" xfId="0" applyNumberFormat="1" applyFont="1" applyBorder="1" applyAlignment="1" applyProtection="1">
      <alignment horizontal="right"/>
      <protection locked="0"/>
    </xf>
    <xf numFmtId="4" fontId="115" fillId="32" borderId="21" xfId="0" applyNumberFormat="1" applyFont="1" applyFill="1" applyBorder="1" applyAlignment="1">
      <alignment horizontal="right"/>
    </xf>
    <xf numFmtId="4" fontId="115" fillId="32" borderId="55" xfId="0" applyNumberFormat="1" applyFont="1" applyFill="1" applyBorder="1" applyAlignment="1">
      <alignment horizontal="right"/>
    </xf>
    <xf numFmtId="187" fontId="115" fillId="0" borderId="21" xfId="0" applyNumberFormat="1" applyFont="1" applyFill="1" applyBorder="1" applyAlignment="1">
      <alignment horizontal="right" wrapText="1"/>
    </xf>
    <xf numFmtId="49" fontId="115" fillId="0" borderId="21" xfId="0" applyNumberFormat="1" applyFont="1" applyFill="1" applyBorder="1" applyAlignment="1" applyProtection="1">
      <alignment horizontal="right"/>
      <protection/>
    </xf>
    <xf numFmtId="49" fontId="115" fillId="0" borderId="21" xfId="0" applyNumberFormat="1" applyFont="1" applyFill="1" applyBorder="1" applyAlignment="1" applyProtection="1">
      <alignment horizontal="right"/>
      <protection locked="0"/>
    </xf>
    <xf numFmtId="49" fontId="115" fillId="32" borderId="12" xfId="0" applyNumberFormat="1" applyFont="1" applyFill="1" applyBorder="1" applyAlignment="1" applyProtection="1">
      <alignment horizontal="right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</cellXfs>
  <cellStyles count="5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Пояснительная" xfId="515"/>
    <cellStyle name="Обычный_прил7-8" xfId="516"/>
    <cellStyle name="Followed Hyperlink" xfId="517"/>
    <cellStyle name="Плохой" xfId="518"/>
    <cellStyle name="Пояснение" xfId="519"/>
    <cellStyle name="Примечание" xfId="520"/>
    <cellStyle name="Percent" xfId="521"/>
    <cellStyle name="Связанная ячейка" xfId="522"/>
    <cellStyle name="Текст предупреждения" xfId="523"/>
    <cellStyle name="Comma" xfId="524"/>
    <cellStyle name="Comma [0]" xfId="525"/>
    <cellStyle name="Хороший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8054EEFBC558BB21A9624E3BB69E118D4553D2843CF7A57337B5FDA5338427C3C37DB4CC4BE6D7AEA997281BB29211E87904687A7751467E8g3L" TargetMode="External" /><Relationship Id="rId2" Type="http://schemas.openxmlformats.org/officeDocument/2006/relationships/hyperlink" Target="consultantplus://offline/ref=0311FBEF83BFBFB6C09E4544B0CC2436F06C183F7965C33E81E08522433CC8710B62ACC58B1BDBBCDD1BCE212AEA5CC8964E2D6E3152A792pAi0L" TargetMode="External" /><Relationship Id="rId3" Type="http://schemas.openxmlformats.org/officeDocument/2006/relationships/hyperlink" Target="consultantplus://offline/ref=98054EEFBC558BB21A9624E3BB69E118D4553D2843CF7A57337B5FDA5338427C3C37DB4CC4BE6D7AEA997281BB29211E87904687A7751467E8g3L" TargetMode="External" /><Relationship Id="rId4" Type="http://schemas.openxmlformats.org/officeDocument/2006/relationships/hyperlink" Target="consultantplus://offline/ref=0311FBEF83BFBFB6C09E4544B0CC2436F06C183F7965C33E81E08522433CC8710B62ACC58B1BDBBCDD1BCE212AEA5CC8964E2D6E3152A792pAi0L" TargetMode="External" /><Relationship Id="rId5" Type="http://schemas.openxmlformats.org/officeDocument/2006/relationships/hyperlink" Target="consultantplus://offline/ref=19ED4B3ED6077FC286755C106B5B9683B4F3D7AF0CD064992C7E5C779EFB9008A96D843E27101347EA67F34864519443D73BB93470E09055FBmA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220"/>
  <sheetViews>
    <sheetView zoomScale="70" zoomScaleNormal="70" zoomScaleSheetLayoutView="75" zoomScalePageLayoutView="0" workbookViewId="0" topLeftCell="A32">
      <selection activeCell="L28" sqref="L28"/>
    </sheetView>
  </sheetViews>
  <sheetFormatPr defaultColWidth="9.00390625" defaultRowHeight="12.75"/>
  <cols>
    <col min="1" max="1" width="5.37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625" style="3" customWidth="1"/>
    <col min="9" max="9" width="9.375" style="3" customWidth="1"/>
    <col min="10" max="10" width="10.875" style="3" customWidth="1"/>
    <col min="11" max="11" width="12.75390625" style="3" customWidth="1"/>
    <col min="12" max="12" width="19.75390625" style="4" customWidth="1"/>
    <col min="13" max="14" width="0.12890625" style="4" hidden="1" customWidth="1"/>
    <col min="15" max="16" width="0.371093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19.375" style="1" customWidth="1"/>
    <col min="21" max="21" width="14.375" style="1" customWidth="1"/>
    <col min="22" max="16384" width="9.125" style="1" customWidth="1"/>
  </cols>
  <sheetData>
    <row r="1" spans="8:12" ht="15.75">
      <c r="H1" s="21"/>
      <c r="I1" s="21"/>
      <c r="J1" s="21"/>
      <c r="K1" s="21"/>
      <c r="L1" s="33" t="s">
        <v>75</v>
      </c>
    </row>
    <row r="2" spans="3:21" ht="40.5" customHeight="1">
      <c r="C2" s="5"/>
      <c r="F2" s="21"/>
      <c r="I2" s="21"/>
      <c r="J2" s="21"/>
      <c r="K2" s="21"/>
      <c r="L2" s="432" t="s">
        <v>913</v>
      </c>
      <c r="M2" s="432"/>
      <c r="N2" s="432"/>
      <c r="O2" s="432"/>
      <c r="P2" s="432"/>
      <c r="Q2" s="432"/>
      <c r="R2" s="432"/>
      <c r="S2" s="432"/>
      <c r="T2" s="432"/>
      <c r="U2" s="432"/>
    </row>
    <row r="3" spans="8:12" ht="15.75">
      <c r="H3" s="21"/>
      <c r="I3" s="21"/>
      <c r="J3" s="21"/>
      <c r="K3" s="21"/>
      <c r="L3" s="21" t="s">
        <v>180</v>
      </c>
    </row>
    <row r="4" spans="1:21" ht="24.75" customHeight="1">
      <c r="A4" s="444" t="s">
        <v>912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567"/>
      <c r="U4" s="6"/>
    </row>
    <row r="5" spans="1:21" ht="21" customHeight="1" thickBo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 t="s">
        <v>10</v>
      </c>
      <c r="T5" s="6"/>
      <c r="U5" s="9" t="s">
        <v>155</v>
      </c>
    </row>
    <row r="6" spans="1:21" s="10" customFormat="1" ht="42.75" customHeight="1">
      <c r="A6" s="445"/>
      <c r="B6" s="139"/>
      <c r="C6" s="442" t="s">
        <v>11</v>
      </c>
      <c r="D6" s="442" t="s">
        <v>12</v>
      </c>
      <c r="E6" s="442"/>
      <c r="F6" s="442"/>
      <c r="G6" s="442"/>
      <c r="H6" s="442"/>
      <c r="I6" s="442"/>
      <c r="J6" s="442"/>
      <c r="K6" s="442"/>
      <c r="L6" s="436" t="s">
        <v>516</v>
      </c>
      <c r="M6" s="434" t="s">
        <v>13</v>
      </c>
      <c r="N6" s="434" t="s">
        <v>14</v>
      </c>
      <c r="O6" s="434" t="s">
        <v>15</v>
      </c>
      <c r="P6" s="434" t="s">
        <v>16</v>
      </c>
      <c r="Q6" s="434" t="s">
        <v>17</v>
      </c>
      <c r="R6" s="434"/>
      <c r="S6" s="434" t="s">
        <v>18</v>
      </c>
      <c r="T6" s="435" t="s">
        <v>718</v>
      </c>
      <c r="U6" s="433" t="s">
        <v>76</v>
      </c>
    </row>
    <row r="7" spans="1:21" s="10" customFormat="1" ht="105.75" customHeight="1" thickBot="1">
      <c r="A7" s="549"/>
      <c r="B7" s="550"/>
      <c r="C7" s="551"/>
      <c r="D7" s="552" t="s">
        <v>443</v>
      </c>
      <c r="E7" s="552" t="s">
        <v>444</v>
      </c>
      <c r="F7" s="552" t="s">
        <v>445</v>
      </c>
      <c r="G7" s="552" t="s">
        <v>446</v>
      </c>
      <c r="H7" s="552" t="s">
        <v>447</v>
      </c>
      <c r="I7" s="552" t="s">
        <v>448</v>
      </c>
      <c r="J7" s="552" t="s">
        <v>19</v>
      </c>
      <c r="K7" s="552" t="s">
        <v>20</v>
      </c>
      <c r="L7" s="553"/>
      <c r="M7" s="554"/>
      <c r="N7" s="554"/>
      <c r="O7" s="554"/>
      <c r="P7" s="554"/>
      <c r="Q7" s="554"/>
      <c r="R7" s="554"/>
      <c r="S7" s="554"/>
      <c r="T7" s="555"/>
      <c r="U7" s="556"/>
    </row>
    <row r="8" spans="1:21" s="11" customFormat="1" ht="18.75" customHeight="1" thickBot="1">
      <c r="A8" s="560" t="s">
        <v>200</v>
      </c>
      <c r="B8" s="561" t="s">
        <v>333</v>
      </c>
      <c r="C8" s="561" t="s">
        <v>333</v>
      </c>
      <c r="D8" s="562" t="s">
        <v>21</v>
      </c>
      <c r="E8" s="562">
        <v>1</v>
      </c>
      <c r="F8" s="562" t="s">
        <v>22</v>
      </c>
      <c r="G8" s="563" t="s">
        <v>22</v>
      </c>
      <c r="H8" s="563" t="s">
        <v>21</v>
      </c>
      <c r="I8" s="563" t="s">
        <v>22</v>
      </c>
      <c r="J8" s="563" t="s">
        <v>23</v>
      </c>
      <c r="K8" s="563" t="s">
        <v>21</v>
      </c>
      <c r="L8" s="564">
        <f>L9+L18+L23+L33+L39+L42+L56+L61+L66+L74+L104</f>
        <v>187821670.01000002</v>
      </c>
      <c r="M8" s="565" t="e">
        <f aca="true" t="shared" si="0" ref="M8:S8">M9+M19+M28+M39+M45+M52+M67+M72+M77+M85+M118</f>
        <v>#REF!</v>
      </c>
      <c r="N8" s="565" t="e">
        <f t="shared" si="0"/>
        <v>#REF!</v>
      </c>
      <c r="O8" s="565" t="e">
        <f t="shared" si="0"/>
        <v>#REF!</v>
      </c>
      <c r="P8" s="565" t="e">
        <f t="shared" si="0"/>
        <v>#REF!</v>
      </c>
      <c r="Q8" s="565" t="e">
        <f t="shared" si="0"/>
        <v>#REF!</v>
      </c>
      <c r="R8" s="565" t="e">
        <f t="shared" si="0"/>
        <v>#REF!</v>
      </c>
      <c r="S8" s="565" t="e">
        <f t="shared" si="0"/>
        <v>#REF!</v>
      </c>
      <c r="T8" s="564">
        <f>T9+T18+T23+T33+T39+T42+T56+T61+T66+T74+T104</f>
        <v>140490215.74999997</v>
      </c>
      <c r="U8" s="566">
        <f aca="true" t="shared" si="1" ref="U8:U82">T8/L8*100</f>
        <v>74.79979053669365</v>
      </c>
    </row>
    <row r="9" spans="1:21" s="12" customFormat="1" ht="18.75" customHeight="1">
      <c r="A9" s="299" t="s">
        <v>201</v>
      </c>
      <c r="B9" s="300" t="s">
        <v>24</v>
      </c>
      <c r="C9" s="300" t="s">
        <v>24</v>
      </c>
      <c r="D9" s="317" t="s">
        <v>21</v>
      </c>
      <c r="E9" s="317">
        <v>1</v>
      </c>
      <c r="F9" s="317" t="s">
        <v>117</v>
      </c>
      <c r="G9" s="318" t="s">
        <v>22</v>
      </c>
      <c r="H9" s="318" t="s">
        <v>21</v>
      </c>
      <c r="I9" s="318" t="s">
        <v>22</v>
      </c>
      <c r="J9" s="318" t="s">
        <v>23</v>
      </c>
      <c r="K9" s="318" t="s">
        <v>21</v>
      </c>
      <c r="L9" s="557">
        <f>L10</f>
        <v>134174281.34</v>
      </c>
      <c r="M9" s="558">
        <f aca="true" t="shared" si="2" ref="M9:S9">M10</f>
        <v>0</v>
      </c>
      <c r="N9" s="558">
        <f t="shared" si="2"/>
        <v>0</v>
      </c>
      <c r="O9" s="558">
        <f t="shared" si="2"/>
        <v>0</v>
      </c>
      <c r="P9" s="558">
        <f t="shared" si="2"/>
        <v>0</v>
      </c>
      <c r="Q9" s="558">
        <f t="shared" si="2"/>
        <v>0</v>
      </c>
      <c r="R9" s="558">
        <f t="shared" si="2"/>
        <v>0</v>
      </c>
      <c r="S9" s="558" t="e">
        <f t="shared" si="2"/>
        <v>#REF!</v>
      </c>
      <c r="T9" s="557">
        <f>T10</f>
        <v>101976427.6</v>
      </c>
      <c r="U9" s="559">
        <f t="shared" si="1"/>
        <v>76.00296165670522</v>
      </c>
    </row>
    <row r="10" spans="1:21" s="13" customFormat="1" ht="19.5" customHeight="1">
      <c r="A10" s="214" t="s">
        <v>202</v>
      </c>
      <c r="B10" s="145" t="s">
        <v>25</v>
      </c>
      <c r="C10" s="145" t="s">
        <v>25</v>
      </c>
      <c r="D10" s="66" t="s">
        <v>21</v>
      </c>
      <c r="E10" s="144">
        <v>1</v>
      </c>
      <c r="F10" s="144" t="s">
        <v>117</v>
      </c>
      <c r="G10" s="66" t="s">
        <v>124</v>
      </c>
      <c r="H10" s="66" t="s">
        <v>21</v>
      </c>
      <c r="I10" s="66" t="s">
        <v>117</v>
      </c>
      <c r="J10" s="66" t="s">
        <v>23</v>
      </c>
      <c r="K10" s="66" t="s">
        <v>26</v>
      </c>
      <c r="L10" s="537">
        <f>SUM(L11:L17)</f>
        <v>134174281.34</v>
      </c>
      <c r="M10" s="537">
        <f aca="true" t="shared" si="3" ref="M10:T10">SUM(M11:M17)</f>
        <v>0</v>
      </c>
      <c r="N10" s="537">
        <f t="shared" si="3"/>
        <v>0</v>
      </c>
      <c r="O10" s="537">
        <f t="shared" si="3"/>
        <v>0</v>
      </c>
      <c r="P10" s="537">
        <f t="shared" si="3"/>
        <v>0</v>
      </c>
      <c r="Q10" s="537">
        <f t="shared" si="3"/>
        <v>0</v>
      </c>
      <c r="R10" s="537">
        <f t="shared" si="3"/>
        <v>0</v>
      </c>
      <c r="S10" s="537" t="e">
        <f t="shared" si="3"/>
        <v>#REF!</v>
      </c>
      <c r="T10" s="537">
        <f t="shared" si="3"/>
        <v>101976427.6</v>
      </c>
      <c r="U10" s="533">
        <f t="shared" si="1"/>
        <v>76.00296165670522</v>
      </c>
    </row>
    <row r="11" spans="1:21" s="13" customFormat="1" ht="68.25" customHeight="1">
      <c r="A11" s="215"/>
      <c r="B11" s="55" t="s">
        <v>334</v>
      </c>
      <c r="C11" s="55" t="s">
        <v>334</v>
      </c>
      <c r="D11" s="146" t="s">
        <v>269</v>
      </c>
      <c r="E11" s="146" t="s">
        <v>27</v>
      </c>
      <c r="F11" s="146" t="s">
        <v>117</v>
      </c>
      <c r="G11" s="146" t="s">
        <v>124</v>
      </c>
      <c r="H11" s="146" t="s">
        <v>28</v>
      </c>
      <c r="I11" s="146" t="s">
        <v>117</v>
      </c>
      <c r="J11" s="146" t="s">
        <v>23</v>
      </c>
      <c r="K11" s="146" t="s">
        <v>26</v>
      </c>
      <c r="L11" s="538">
        <v>132711480.98</v>
      </c>
      <c r="M11" s="233"/>
      <c r="N11" s="233"/>
      <c r="O11" s="233"/>
      <c r="P11" s="233"/>
      <c r="Q11" s="233"/>
      <c r="R11" s="233"/>
      <c r="S11" s="233"/>
      <c r="T11" s="538">
        <v>100116088.14</v>
      </c>
      <c r="U11" s="534">
        <f t="shared" si="1"/>
        <v>75.43890505983259</v>
      </c>
    </row>
    <row r="12" spans="1:21" ht="98.25" customHeight="1">
      <c r="A12" s="215"/>
      <c r="B12" s="55" t="s">
        <v>29</v>
      </c>
      <c r="C12" s="55" t="s">
        <v>29</v>
      </c>
      <c r="D12" s="146" t="s">
        <v>269</v>
      </c>
      <c r="E12" s="147">
        <v>1</v>
      </c>
      <c r="F12" s="147" t="s">
        <v>117</v>
      </c>
      <c r="G12" s="146" t="s">
        <v>124</v>
      </c>
      <c r="H12" s="146" t="s">
        <v>30</v>
      </c>
      <c r="I12" s="146" t="s">
        <v>117</v>
      </c>
      <c r="J12" s="146" t="s">
        <v>23</v>
      </c>
      <c r="K12" s="146" t="s">
        <v>26</v>
      </c>
      <c r="L12" s="538">
        <v>374257.8</v>
      </c>
      <c r="M12" s="234"/>
      <c r="N12" s="234"/>
      <c r="O12" s="234"/>
      <c r="P12" s="234"/>
      <c r="Q12" s="234"/>
      <c r="R12" s="234"/>
      <c r="S12" s="234"/>
      <c r="T12" s="538">
        <v>171401.33</v>
      </c>
      <c r="U12" s="534">
        <f t="shared" si="1"/>
        <v>45.7976640700608</v>
      </c>
    </row>
    <row r="13" spans="1:21" ht="38.25" customHeight="1">
      <c r="A13" s="215"/>
      <c r="B13" s="55" t="s">
        <v>31</v>
      </c>
      <c r="C13" s="55" t="s">
        <v>31</v>
      </c>
      <c r="D13" s="146" t="s">
        <v>269</v>
      </c>
      <c r="E13" s="147">
        <v>1</v>
      </c>
      <c r="F13" s="147" t="s">
        <v>117</v>
      </c>
      <c r="G13" s="146" t="s">
        <v>124</v>
      </c>
      <c r="H13" s="146" t="s">
        <v>32</v>
      </c>
      <c r="I13" s="146" t="s">
        <v>117</v>
      </c>
      <c r="J13" s="146" t="s">
        <v>23</v>
      </c>
      <c r="K13" s="146" t="s">
        <v>26</v>
      </c>
      <c r="L13" s="538">
        <v>1036802.84</v>
      </c>
      <c r="M13" s="234"/>
      <c r="N13" s="234"/>
      <c r="O13" s="234"/>
      <c r="P13" s="234"/>
      <c r="Q13" s="234"/>
      <c r="R13" s="234"/>
      <c r="S13" s="234"/>
      <c r="T13" s="538">
        <v>1507572.04</v>
      </c>
      <c r="U13" s="534">
        <f t="shared" si="1"/>
        <v>145.40585556266416</v>
      </c>
    </row>
    <row r="14" spans="1:21" ht="85.5" customHeight="1">
      <c r="A14" s="215"/>
      <c r="B14" s="55" t="s">
        <v>335</v>
      </c>
      <c r="C14" s="55" t="s">
        <v>335</v>
      </c>
      <c r="D14" s="146" t="s">
        <v>269</v>
      </c>
      <c r="E14" s="147">
        <v>1</v>
      </c>
      <c r="F14" s="147" t="s">
        <v>117</v>
      </c>
      <c r="G14" s="146" t="s">
        <v>124</v>
      </c>
      <c r="H14" s="146" t="s">
        <v>33</v>
      </c>
      <c r="I14" s="146" t="s">
        <v>117</v>
      </c>
      <c r="J14" s="146" t="s">
        <v>23</v>
      </c>
      <c r="K14" s="146" t="s">
        <v>26</v>
      </c>
      <c r="L14" s="538">
        <v>50100</v>
      </c>
      <c r="M14" s="234"/>
      <c r="N14" s="234"/>
      <c r="O14" s="234"/>
      <c r="P14" s="234"/>
      <c r="Q14" s="234"/>
      <c r="R14" s="234"/>
      <c r="S14" s="234"/>
      <c r="T14" s="538">
        <v>147684.32</v>
      </c>
      <c r="U14" s="534">
        <f t="shared" si="1"/>
        <v>294.77908183632735</v>
      </c>
    </row>
    <row r="15" spans="1:21" s="13" customFormat="1" ht="85.5" customHeight="1">
      <c r="A15" s="215"/>
      <c r="B15" s="55" t="s">
        <v>336</v>
      </c>
      <c r="C15" s="55" t="s">
        <v>336</v>
      </c>
      <c r="D15" s="146" t="s">
        <v>269</v>
      </c>
      <c r="E15" s="147" t="s">
        <v>27</v>
      </c>
      <c r="F15" s="147" t="s">
        <v>117</v>
      </c>
      <c r="G15" s="146" t="s">
        <v>124</v>
      </c>
      <c r="H15" s="146" t="s">
        <v>337</v>
      </c>
      <c r="I15" s="146" t="s">
        <v>117</v>
      </c>
      <c r="J15" s="146" t="s">
        <v>338</v>
      </c>
      <c r="K15" s="146" t="s">
        <v>26</v>
      </c>
      <c r="L15" s="538">
        <v>-11360.28</v>
      </c>
      <c r="M15" s="235">
        <f aca="true" t="shared" si="4" ref="M15:R15">M19</f>
        <v>0</v>
      </c>
      <c r="N15" s="235">
        <f t="shared" si="4"/>
        <v>0</v>
      </c>
      <c r="O15" s="235">
        <f t="shared" si="4"/>
        <v>0</v>
      </c>
      <c r="P15" s="235">
        <f t="shared" si="4"/>
        <v>0</v>
      </c>
      <c r="Q15" s="235">
        <f t="shared" si="4"/>
        <v>0</v>
      </c>
      <c r="R15" s="235">
        <f t="shared" si="4"/>
        <v>0</v>
      </c>
      <c r="S15" s="235" t="e">
        <f>#REF!=SUM(L15:R15)</f>
        <v>#REF!</v>
      </c>
      <c r="T15" s="538">
        <v>-11360.28</v>
      </c>
      <c r="U15" s="534">
        <f t="shared" si="1"/>
        <v>100</v>
      </c>
    </row>
    <row r="16" spans="1:21" s="13" customFormat="1" ht="72.75" customHeight="1">
      <c r="A16" s="215"/>
      <c r="B16" s="55" t="s">
        <v>719</v>
      </c>
      <c r="C16" s="55" t="s">
        <v>785</v>
      </c>
      <c r="D16" s="146" t="s">
        <v>269</v>
      </c>
      <c r="E16" s="147" t="s">
        <v>27</v>
      </c>
      <c r="F16" s="147" t="s">
        <v>171</v>
      </c>
      <c r="G16" s="146" t="s">
        <v>124</v>
      </c>
      <c r="H16" s="146" t="s">
        <v>48</v>
      </c>
      <c r="I16" s="146" t="s">
        <v>117</v>
      </c>
      <c r="J16" s="146" t="s">
        <v>338</v>
      </c>
      <c r="K16" s="146" t="s">
        <v>26</v>
      </c>
      <c r="L16" s="538">
        <v>13000</v>
      </c>
      <c r="M16" s="235"/>
      <c r="N16" s="235"/>
      <c r="O16" s="235"/>
      <c r="P16" s="235"/>
      <c r="Q16" s="235"/>
      <c r="R16" s="235"/>
      <c r="S16" s="235"/>
      <c r="T16" s="538">
        <v>45041.64</v>
      </c>
      <c r="U16" s="534">
        <f t="shared" si="1"/>
        <v>346.47415384615385</v>
      </c>
    </row>
    <row r="17" spans="1:21" s="13" customFormat="1" ht="72.75" customHeight="1">
      <c r="A17" s="215"/>
      <c r="B17" s="55"/>
      <c r="C17" s="55" t="s">
        <v>720</v>
      </c>
      <c r="D17" s="146" t="s">
        <v>269</v>
      </c>
      <c r="E17" s="147" t="s">
        <v>27</v>
      </c>
      <c r="F17" s="147" t="s">
        <v>171</v>
      </c>
      <c r="G17" s="146" t="s">
        <v>124</v>
      </c>
      <c r="H17" s="146" t="s">
        <v>56</v>
      </c>
      <c r="I17" s="146" t="s">
        <v>117</v>
      </c>
      <c r="J17" s="146" t="s">
        <v>338</v>
      </c>
      <c r="K17" s="146" t="s">
        <v>26</v>
      </c>
      <c r="L17" s="538">
        <v>0</v>
      </c>
      <c r="M17" s="235"/>
      <c r="N17" s="235"/>
      <c r="O17" s="235"/>
      <c r="P17" s="235"/>
      <c r="Q17" s="235"/>
      <c r="R17" s="235"/>
      <c r="S17" s="235"/>
      <c r="T17" s="538">
        <v>0.41</v>
      </c>
      <c r="U17" s="534" t="e">
        <f t="shared" si="1"/>
        <v>#DIV/0!</v>
      </c>
    </row>
    <row r="18" spans="1:21" s="13" customFormat="1" ht="27" customHeight="1">
      <c r="A18" s="215"/>
      <c r="B18" s="55" t="s">
        <v>720</v>
      </c>
      <c r="C18" s="148" t="s">
        <v>449</v>
      </c>
      <c r="D18" s="149" t="s">
        <v>21</v>
      </c>
      <c r="E18" s="149" t="s">
        <v>27</v>
      </c>
      <c r="F18" s="149" t="s">
        <v>126</v>
      </c>
      <c r="G18" s="149" t="s">
        <v>124</v>
      </c>
      <c r="H18" s="149" t="s">
        <v>21</v>
      </c>
      <c r="I18" s="149" t="s">
        <v>22</v>
      </c>
      <c r="J18" s="149" t="s">
        <v>23</v>
      </c>
      <c r="K18" s="149" t="s">
        <v>26</v>
      </c>
      <c r="L18" s="537">
        <f>SUM(L19:L22)</f>
        <v>12142500</v>
      </c>
      <c r="M18" s="235"/>
      <c r="N18" s="235"/>
      <c r="O18" s="235"/>
      <c r="P18" s="235"/>
      <c r="Q18" s="235"/>
      <c r="R18" s="235"/>
      <c r="S18" s="235"/>
      <c r="T18" s="537">
        <f>SUM(T19:T22)</f>
        <v>9128033.709999999</v>
      </c>
      <c r="U18" s="533">
        <f>T18/L18*100</f>
        <v>75.17425332509778</v>
      </c>
    </row>
    <row r="19" spans="1:21" s="13" customFormat="1" ht="18.75" customHeight="1">
      <c r="A19" s="216" t="s">
        <v>721</v>
      </c>
      <c r="B19" s="148" t="s">
        <v>449</v>
      </c>
      <c r="C19" s="301" t="s">
        <v>722</v>
      </c>
      <c r="D19" s="32" t="s">
        <v>269</v>
      </c>
      <c r="E19" s="146" t="s">
        <v>27</v>
      </c>
      <c r="F19" s="146" t="s">
        <v>126</v>
      </c>
      <c r="G19" s="146" t="s">
        <v>124</v>
      </c>
      <c r="H19" s="146" t="s">
        <v>450</v>
      </c>
      <c r="I19" s="146" t="s">
        <v>117</v>
      </c>
      <c r="J19" s="146" t="s">
        <v>23</v>
      </c>
      <c r="K19" s="146" t="s">
        <v>26</v>
      </c>
      <c r="L19" s="538">
        <v>6257700</v>
      </c>
      <c r="M19" s="228">
        <f aca="true" t="shared" si="5" ref="M19:S19">M20+M26+M30+M32</f>
        <v>0</v>
      </c>
      <c r="N19" s="228">
        <f t="shared" si="5"/>
        <v>0</v>
      </c>
      <c r="O19" s="228">
        <f t="shared" si="5"/>
        <v>0</v>
      </c>
      <c r="P19" s="228">
        <f t="shared" si="5"/>
        <v>0</v>
      </c>
      <c r="Q19" s="228">
        <f t="shared" si="5"/>
        <v>0</v>
      </c>
      <c r="R19" s="228">
        <f t="shared" si="5"/>
        <v>0</v>
      </c>
      <c r="S19" s="228" t="e">
        <f t="shared" si="5"/>
        <v>#REF!</v>
      </c>
      <c r="T19" s="538">
        <v>4675714.78</v>
      </c>
      <c r="U19" s="534">
        <f t="shared" si="1"/>
        <v>74.71938220112821</v>
      </c>
    </row>
    <row r="20" spans="1:21" ht="34.5" customHeight="1">
      <c r="A20" s="214"/>
      <c r="B20" s="301" t="s">
        <v>722</v>
      </c>
      <c r="C20" s="301" t="s">
        <v>723</v>
      </c>
      <c r="D20" s="32" t="s">
        <v>269</v>
      </c>
      <c r="E20" s="146" t="s">
        <v>27</v>
      </c>
      <c r="F20" s="146" t="s">
        <v>126</v>
      </c>
      <c r="G20" s="146" t="s">
        <v>124</v>
      </c>
      <c r="H20" s="146" t="s">
        <v>451</v>
      </c>
      <c r="I20" s="146" t="s">
        <v>117</v>
      </c>
      <c r="J20" s="146" t="s">
        <v>23</v>
      </c>
      <c r="K20" s="146" t="s">
        <v>26</v>
      </c>
      <c r="L20" s="538">
        <v>32500</v>
      </c>
      <c r="M20" s="234"/>
      <c r="N20" s="234"/>
      <c r="O20" s="234"/>
      <c r="P20" s="234"/>
      <c r="Q20" s="234"/>
      <c r="R20" s="234"/>
      <c r="S20" s="234" t="e">
        <f>#REF!=SUM(L20:R20)</f>
        <v>#REF!</v>
      </c>
      <c r="T20" s="538">
        <v>25193.48</v>
      </c>
      <c r="U20" s="534">
        <f t="shared" si="1"/>
        <v>77.5184</v>
      </c>
    </row>
    <row r="21" spans="1:21" ht="26.25" customHeight="1">
      <c r="A21" s="215"/>
      <c r="B21" s="301" t="s">
        <v>723</v>
      </c>
      <c r="C21" s="301" t="s">
        <v>724</v>
      </c>
      <c r="D21" s="32" t="s">
        <v>269</v>
      </c>
      <c r="E21" s="146" t="s">
        <v>27</v>
      </c>
      <c r="F21" s="146" t="s">
        <v>126</v>
      </c>
      <c r="G21" s="146" t="s">
        <v>124</v>
      </c>
      <c r="H21" s="146" t="s">
        <v>452</v>
      </c>
      <c r="I21" s="146" t="s">
        <v>117</v>
      </c>
      <c r="J21" s="146" t="s">
        <v>23</v>
      </c>
      <c r="K21" s="146" t="s">
        <v>26</v>
      </c>
      <c r="L21" s="538">
        <v>6736400</v>
      </c>
      <c r="M21" s="234"/>
      <c r="N21" s="234"/>
      <c r="O21" s="234"/>
      <c r="P21" s="234"/>
      <c r="Q21" s="234"/>
      <c r="R21" s="234"/>
      <c r="S21" s="234"/>
      <c r="T21" s="538">
        <v>4975714.76</v>
      </c>
      <c r="U21" s="534">
        <f t="shared" si="1"/>
        <v>73.86311323555607</v>
      </c>
    </row>
    <row r="22" spans="1:21" ht="20.25" customHeight="1">
      <c r="A22" s="214"/>
      <c r="B22" s="301" t="s">
        <v>724</v>
      </c>
      <c r="C22" s="301" t="s">
        <v>725</v>
      </c>
      <c r="D22" s="32" t="s">
        <v>269</v>
      </c>
      <c r="E22" s="146" t="s">
        <v>27</v>
      </c>
      <c r="F22" s="146" t="s">
        <v>126</v>
      </c>
      <c r="G22" s="146" t="s">
        <v>124</v>
      </c>
      <c r="H22" s="146" t="s">
        <v>453</v>
      </c>
      <c r="I22" s="146" t="s">
        <v>117</v>
      </c>
      <c r="J22" s="146" t="s">
        <v>23</v>
      </c>
      <c r="K22" s="146" t="s">
        <v>26</v>
      </c>
      <c r="L22" s="538">
        <v>-884100</v>
      </c>
      <c r="M22" s="234"/>
      <c r="N22" s="234"/>
      <c r="O22" s="234"/>
      <c r="P22" s="234"/>
      <c r="Q22" s="234"/>
      <c r="R22" s="234"/>
      <c r="S22" s="234"/>
      <c r="T22" s="538">
        <v>-548589.31</v>
      </c>
      <c r="U22" s="534">
        <f t="shared" si="1"/>
        <v>62.050594955321806</v>
      </c>
    </row>
    <row r="23" spans="1:21" ht="26.25" customHeight="1">
      <c r="A23" s="214"/>
      <c r="B23" s="301" t="s">
        <v>725</v>
      </c>
      <c r="C23" s="56" t="s">
        <v>34</v>
      </c>
      <c r="D23" s="144" t="s">
        <v>21</v>
      </c>
      <c r="E23" s="66" t="s">
        <v>27</v>
      </c>
      <c r="F23" s="66" t="s">
        <v>123</v>
      </c>
      <c r="G23" s="66" t="s">
        <v>22</v>
      </c>
      <c r="H23" s="66" t="s">
        <v>21</v>
      </c>
      <c r="I23" s="66" t="s">
        <v>22</v>
      </c>
      <c r="J23" s="66" t="s">
        <v>23</v>
      </c>
      <c r="K23" s="66" t="s">
        <v>21</v>
      </c>
      <c r="L23" s="537">
        <f>L24+L27+L29+L31</f>
        <v>3460524.52</v>
      </c>
      <c r="M23" s="234"/>
      <c r="N23" s="234"/>
      <c r="O23" s="234"/>
      <c r="P23" s="234"/>
      <c r="Q23" s="234"/>
      <c r="R23" s="234"/>
      <c r="S23" s="234"/>
      <c r="T23" s="537">
        <f>T24+T27+T29+T31</f>
        <v>1821465.94</v>
      </c>
      <c r="U23" s="533">
        <f t="shared" si="1"/>
        <v>52.635544972240226</v>
      </c>
    </row>
    <row r="24" spans="1:21" ht="36" customHeight="1">
      <c r="A24" s="216" t="s">
        <v>726</v>
      </c>
      <c r="B24" s="56" t="s">
        <v>34</v>
      </c>
      <c r="C24" s="56" t="s">
        <v>339</v>
      </c>
      <c r="D24" s="66" t="s">
        <v>21</v>
      </c>
      <c r="E24" s="66" t="s">
        <v>27</v>
      </c>
      <c r="F24" s="66" t="s">
        <v>123</v>
      </c>
      <c r="G24" s="66" t="s">
        <v>117</v>
      </c>
      <c r="H24" s="66" t="s">
        <v>21</v>
      </c>
      <c r="I24" s="66" t="s">
        <v>117</v>
      </c>
      <c r="J24" s="66" t="s">
        <v>23</v>
      </c>
      <c r="K24" s="66" t="s">
        <v>26</v>
      </c>
      <c r="L24" s="537">
        <f>SUM(L25:L26)</f>
        <v>910300</v>
      </c>
      <c r="M24" s="236"/>
      <c r="N24" s="236"/>
      <c r="O24" s="236"/>
      <c r="P24" s="236"/>
      <c r="Q24" s="236"/>
      <c r="R24" s="236"/>
      <c r="S24" s="236"/>
      <c r="T24" s="537">
        <f>SUM(T25:T26)</f>
        <v>1069443.25</v>
      </c>
      <c r="U24" s="533">
        <f t="shared" si="1"/>
        <v>117.48250576732946</v>
      </c>
    </row>
    <row r="25" spans="1:21" ht="36" customHeight="1">
      <c r="A25" s="216" t="s">
        <v>727</v>
      </c>
      <c r="B25" s="56" t="s">
        <v>339</v>
      </c>
      <c r="C25" s="55" t="s">
        <v>340</v>
      </c>
      <c r="D25" s="146" t="s">
        <v>269</v>
      </c>
      <c r="E25" s="146" t="s">
        <v>27</v>
      </c>
      <c r="F25" s="146" t="s">
        <v>123</v>
      </c>
      <c r="G25" s="146" t="s">
        <v>117</v>
      </c>
      <c r="H25" s="146" t="s">
        <v>341</v>
      </c>
      <c r="I25" s="146" t="s">
        <v>117</v>
      </c>
      <c r="J25" s="146" t="s">
        <v>23</v>
      </c>
      <c r="K25" s="146" t="s">
        <v>26</v>
      </c>
      <c r="L25" s="538">
        <v>380300</v>
      </c>
      <c r="M25" s="236"/>
      <c r="N25" s="236"/>
      <c r="O25" s="236"/>
      <c r="P25" s="236"/>
      <c r="Q25" s="236"/>
      <c r="R25" s="236"/>
      <c r="S25" s="236"/>
      <c r="T25" s="538">
        <v>412615.1</v>
      </c>
      <c r="U25" s="534">
        <f t="shared" si="1"/>
        <v>108.4972653168551</v>
      </c>
    </row>
    <row r="26" spans="1:21" ht="49.5" customHeight="1">
      <c r="A26" s="216"/>
      <c r="B26" s="55" t="s">
        <v>340</v>
      </c>
      <c r="C26" s="57" t="s">
        <v>342</v>
      </c>
      <c r="D26" s="146" t="s">
        <v>269</v>
      </c>
      <c r="E26" s="146" t="s">
        <v>27</v>
      </c>
      <c r="F26" s="146" t="s">
        <v>123</v>
      </c>
      <c r="G26" s="146" t="s">
        <v>117</v>
      </c>
      <c r="H26" s="146" t="s">
        <v>343</v>
      </c>
      <c r="I26" s="146" t="s">
        <v>117</v>
      </c>
      <c r="J26" s="146" t="s">
        <v>23</v>
      </c>
      <c r="K26" s="146" t="s">
        <v>26</v>
      </c>
      <c r="L26" s="538">
        <v>530000</v>
      </c>
      <c r="M26" s="227">
        <f aca="true" t="shared" si="6" ref="M26:S26">M28+M29</f>
        <v>0</v>
      </c>
      <c r="N26" s="227">
        <f t="shared" si="6"/>
        <v>0</v>
      </c>
      <c r="O26" s="227">
        <f t="shared" si="6"/>
        <v>0</v>
      </c>
      <c r="P26" s="227">
        <f t="shared" si="6"/>
        <v>0</v>
      </c>
      <c r="Q26" s="227">
        <f t="shared" si="6"/>
        <v>0</v>
      </c>
      <c r="R26" s="227">
        <f t="shared" si="6"/>
        <v>0</v>
      </c>
      <c r="S26" s="227">
        <f t="shared" si="6"/>
        <v>0</v>
      </c>
      <c r="T26" s="538">
        <v>656828.15</v>
      </c>
      <c r="U26" s="534">
        <f t="shared" si="1"/>
        <v>123.92983962264152</v>
      </c>
    </row>
    <row r="27" spans="1:21" ht="18" customHeight="1">
      <c r="A27" s="215"/>
      <c r="B27" s="57" t="s">
        <v>342</v>
      </c>
      <c r="C27" s="150" t="s">
        <v>35</v>
      </c>
      <c r="D27" s="66" t="s">
        <v>21</v>
      </c>
      <c r="E27" s="66" t="s">
        <v>27</v>
      </c>
      <c r="F27" s="66" t="s">
        <v>123</v>
      </c>
      <c r="G27" s="66" t="s">
        <v>22</v>
      </c>
      <c r="H27" s="66" t="s">
        <v>21</v>
      </c>
      <c r="I27" s="66" t="s">
        <v>22</v>
      </c>
      <c r="J27" s="66" t="s">
        <v>23</v>
      </c>
      <c r="K27" s="66" t="s">
        <v>21</v>
      </c>
      <c r="L27" s="539">
        <f>L28</f>
        <v>0</v>
      </c>
      <c r="M27" s="227"/>
      <c r="N27" s="227"/>
      <c r="O27" s="227"/>
      <c r="P27" s="227"/>
      <c r="Q27" s="227"/>
      <c r="R27" s="227"/>
      <c r="S27" s="227"/>
      <c r="T27" s="539">
        <f>T28</f>
        <v>-44959.83</v>
      </c>
      <c r="U27" s="533" t="e">
        <f t="shared" si="1"/>
        <v>#DIV/0!</v>
      </c>
    </row>
    <row r="28" spans="1:21" ht="48.75" customHeight="1">
      <c r="A28" s="216" t="s">
        <v>728</v>
      </c>
      <c r="B28" s="150" t="s">
        <v>35</v>
      </c>
      <c r="C28" s="57" t="s">
        <v>729</v>
      </c>
      <c r="D28" s="146" t="s">
        <v>269</v>
      </c>
      <c r="E28" s="146" t="s">
        <v>27</v>
      </c>
      <c r="F28" s="146" t="s">
        <v>123</v>
      </c>
      <c r="G28" s="146" t="s">
        <v>124</v>
      </c>
      <c r="H28" s="146" t="s">
        <v>28</v>
      </c>
      <c r="I28" s="146" t="s">
        <v>124</v>
      </c>
      <c r="J28" s="146" t="s">
        <v>23</v>
      </c>
      <c r="K28" s="146" t="s">
        <v>26</v>
      </c>
      <c r="L28" s="538">
        <v>0</v>
      </c>
      <c r="M28" s="236"/>
      <c r="N28" s="236"/>
      <c r="O28" s="236"/>
      <c r="P28" s="236"/>
      <c r="Q28" s="236"/>
      <c r="R28" s="236"/>
      <c r="S28" s="236"/>
      <c r="T28" s="538">
        <v>-44959.83</v>
      </c>
      <c r="U28" s="534" t="e">
        <f t="shared" si="1"/>
        <v>#DIV/0!</v>
      </c>
    </row>
    <row r="29" spans="1:21" ht="19.5" customHeight="1">
      <c r="A29" s="215"/>
      <c r="B29" s="57" t="s">
        <v>729</v>
      </c>
      <c r="C29" s="56" t="s">
        <v>36</v>
      </c>
      <c r="D29" s="66" t="s">
        <v>21</v>
      </c>
      <c r="E29" s="66" t="s">
        <v>27</v>
      </c>
      <c r="F29" s="66" t="s">
        <v>123</v>
      </c>
      <c r="G29" s="66" t="s">
        <v>126</v>
      </c>
      <c r="H29" s="66" t="s">
        <v>21</v>
      </c>
      <c r="I29" s="66" t="s">
        <v>117</v>
      </c>
      <c r="J29" s="66" t="s">
        <v>23</v>
      </c>
      <c r="K29" s="66" t="s">
        <v>26</v>
      </c>
      <c r="L29" s="537">
        <f>L30</f>
        <v>50000</v>
      </c>
      <c r="M29" s="236"/>
      <c r="N29" s="236"/>
      <c r="O29" s="236"/>
      <c r="P29" s="236"/>
      <c r="Q29" s="236"/>
      <c r="R29" s="236"/>
      <c r="S29" s="236"/>
      <c r="T29" s="537">
        <f>T30</f>
        <v>71282</v>
      </c>
      <c r="U29" s="533">
        <f t="shared" si="1"/>
        <v>142.564</v>
      </c>
    </row>
    <row r="30" spans="1:21" ht="24.75" customHeight="1">
      <c r="A30" s="216" t="s">
        <v>730</v>
      </c>
      <c r="B30" s="56" t="s">
        <v>36</v>
      </c>
      <c r="C30" s="58" t="s">
        <v>204</v>
      </c>
      <c r="D30" s="146" t="s">
        <v>269</v>
      </c>
      <c r="E30" s="146" t="s">
        <v>27</v>
      </c>
      <c r="F30" s="146" t="s">
        <v>123</v>
      </c>
      <c r="G30" s="146" t="s">
        <v>126</v>
      </c>
      <c r="H30" s="146" t="s">
        <v>28</v>
      </c>
      <c r="I30" s="146" t="s">
        <v>117</v>
      </c>
      <c r="J30" s="146" t="s">
        <v>23</v>
      </c>
      <c r="K30" s="146" t="s">
        <v>26</v>
      </c>
      <c r="L30" s="538">
        <v>50000</v>
      </c>
      <c r="M30" s="236"/>
      <c r="N30" s="236"/>
      <c r="O30" s="236"/>
      <c r="P30" s="236"/>
      <c r="Q30" s="236"/>
      <c r="R30" s="236"/>
      <c r="S30" s="236"/>
      <c r="T30" s="538">
        <v>71282</v>
      </c>
      <c r="U30" s="534">
        <f t="shared" si="1"/>
        <v>142.564</v>
      </c>
    </row>
    <row r="31" spans="1:21" s="13" customFormat="1" ht="32.25" customHeight="1">
      <c r="A31" s="215"/>
      <c r="B31" s="58" t="s">
        <v>204</v>
      </c>
      <c r="C31" s="56" t="s">
        <v>37</v>
      </c>
      <c r="D31" s="66" t="s">
        <v>21</v>
      </c>
      <c r="E31" s="66" t="s">
        <v>27</v>
      </c>
      <c r="F31" s="66" t="s">
        <v>123</v>
      </c>
      <c r="G31" s="66" t="s">
        <v>127</v>
      </c>
      <c r="H31" s="66" t="s">
        <v>21</v>
      </c>
      <c r="I31" s="66" t="s">
        <v>124</v>
      </c>
      <c r="J31" s="66" t="s">
        <v>23</v>
      </c>
      <c r="K31" s="66" t="s">
        <v>26</v>
      </c>
      <c r="L31" s="537">
        <f>L32</f>
        <v>2500224.52</v>
      </c>
      <c r="M31" s="235" t="e">
        <f>M33+#REF!+#REF!</f>
        <v>#REF!</v>
      </c>
      <c r="N31" s="235" t="e">
        <f>N33+#REF!+#REF!</f>
        <v>#REF!</v>
      </c>
      <c r="O31" s="235" t="e">
        <f>O33+#REF!+#REF!</f>
        <v>#REF!</v>
      </c>
      <c r="P31" s="235" t="e">
        <f>P33+#REF!+#REF!</f>
        <v>#REF!</v>
      </c>
      <c r="Q31" s="235" t="e">
        <f>Q33+#REF!+#REF!</f>
        <v>#REF!</v>
      </c>
      <c r="R31" s="235" t="e">
        <f>R33+#REF!+#REF!</f>
        <v>#REF!</v>
      </c>
      <c r="S31" s="235" t="e">
        <f>#REF!=SUM(L31:R31)</f>
        <v>#REF!</v>
      </c>
      <c r="T31" s="537">
        <f>T32</f>
        <v>725700.52</v>
      </c>
      <c r="U31" s="533">
        <f t="shared" si="1"/>
        <v>29.0254140856118</v>
      </c>
    </row>
    <row r="32" spans="1:21" ht="40.5" customHeight="1">
      <c r="A32" s="216" t="s">
        <v>731</v>
      </c>
      <c r="B32" s="56" t="s">
        <v>37</v>
      </c>
      <c r="C32" s="58" t="s">
        <v>671</v>
      </c>
      <c r="D32" s="146" t="s">
        <v>269</v>
      </c>
      <c r="E32" s="146" t="s">
        <v>27</v>
      </c>
      <c r="F32" s="146" t="s">
        <v>123</v>
      </c>
      <c r="G32" s="146" t="s">
        <v>127</v>
      </c>
      <c r="H32" s="146" t="s">
        <v>30</v>
      </c>
      <c r="I32" s="146" t="s">
        <v>124</v>
      </c>
      <c r="J32" s="146" t="s">
        <v>23</v>
      </c>
      <c r="K32" s="146" t="s">
        <v>26</v>
      </c>
      <c r="L32" s="540">
        <v>2500224.52</v>
      </c>
      <c r="M32" s="235"/>
      <c r="N32" s="235"/>
      <c r="O32" s="235"/>
      <c r="P32" s="235"/>
      <c r="Q32" s="235"/>
      <c r="R32" s="235"/>
      <c r="S32" s="235"/>
      <c r="T32" s="540">
        <v>725700.52</v>
      </c>
      <c r="U32" s="534">
        <f t="shared" si="1"/>
        <v>29.0254140856118</v>
      </c>
    </row>
    <row r="33" spans="1:21" ht="24" customHeight="1">
      <c r="A33" s="216"/>
      <c r="B33" s="58" t="s">
        <v>671</v>
      </c>
      <c r="C33" s="302" t="s">
        <v>454</v>
      </c>
      <c r="D33" s="149" t="s">
        <v>21</v>
      </c>
      <c r="E33" s="149" t="s">
        <v>27</v>
      </c>
      <c r="F33" s="149" t="s">
        <v>52</v>
      </c>
      <c r="G33" s="149" t="s">
        <v>22</v>
      </c>
      <c r="H33" s="149" t="s">
        <v>21</v>
      </c>
      <c r="I33" s="149" t="s">
        <v>22</v>
      </c>
      <c r="J33" s="149" t="s">
        <v>23</v>
      </c>
      <c r="K33" s="149" t="s">
        <v>21</v>
      </c>
      <c r="L33" s="537">
        <f>L36+L34</f>
        <v>10074610</v>
      </c>
      <c r="M33" s="234"/>
      <c r="N33" s="234"/>
      <c r="O33" s="234"/>
      <c r="P33" s="234"/>
      <c r="Q33" s="234"/>
      <c r="R33" s="234"/>
      <c r="S33" s="234" t="e">
        <f>#REF!=SUM(L33:R33)</f>
        <v>#REF!</v>
      </c>
      <c r="T33" s="537">
        <f>T36+T34</f>
        <v>5925538.970000001</v>
      </c>
      <c r="U33" s="533">
        <f t="shared" si="1"/>
        <v>58.81655935068455</v>
      </c>
    </row>
    <row r="34" spans="1:21" ht="23.25" customHeight="1">
      <c r="A34" s="216" t="s">
        <v>218</v>
      </c>
      <c r="B34" s="302" t="s">
        <v>454</v>
      </c>
      <c r="C34" s="303" t="s">
        <v>455</v>
      </c>
      <c r="D34" s="32" t="s">
        <v>21</v>
      </c>
      <c r="E34" s="32" t="s">
        <v>27</v>
      </c>
      <c r="F34" s="32" t="s">
        <v>52</v>
      </c>
      <c r="G34" s="32" t="s">
        <v>117</v>
      </c>
      <c r="H34" s="32" t="s">
        <v>21</v>
      </c>
      <c r="I34" s="32" t="s">
        <v>22</v>
      </c>
      <c r="J34" s="32" t="s">
        <v>23</v>
      </c>
      <c r="K34" s="32" t="s">
        <v>26</v>
      </c>
      <c r="L34" s="537">
        <f>L35</f>
        <v>3160600</v>
      </c>
      <c r="M34" s="234"/>
      <c r="N34" s="234"/>
      <c r="O34" s="234"/>
      <c r="P34" s="234"/>
      <c r="Q34" s="234"/>
      <c r="R34" s="234"/>
      <c r="S34" s="234"/>
      <c r="T34" s="537">
        <f>T35</f>
        <v>760917.07</v>
      </c>
      <c r="U34" s="533">
        <f t="shared" si="1"/>
        <v>24.07508289565272</v>
      </c>
    </row>
    <row r="35" spans="1:21" ht="33" customHeight="1">
      <c r="A35" s="216" t="s">
        <v>732</v>
      </c>
      <c r="B35" s="303" t="s">
        <v>455</v>
      </c>
      <c r="C35" s="303" t="s">
        <v>456</v>
      </c>
      <c r="D35" s="32" t="s">
        <v>269</v>
      </c>
      <c r="E35" s="32" t="s">
        <v>27</v>
      </c>
      <c r="F35" s="32" t="s">
        <v>52</v>
      </c>
      <c r="G35" s="32" t="s">
        <v>117</v>
      </c>
      <c r="H35" s="32" t="s">
        <v>30</v>
      </c>
      <c r="I35" s="32" t="s">
        <v>147</v>
      </c>
      <c r="J35" s="32" t="s">
        <v>23</v>
      </c>
      <c r="K35" s="32" t="s">
        <v>26</v>
      </c>
      <c r="L35" s="538">
        <v>3160600</v>
      </c>
      <c r="M35" s="234"/>
      <c r="N35" s="234"/>
      <c r="O35" s="234"/>
      <c r="P35" s="234"/>
      <c r="Q35" s="234"/>
      <c r="R35" s="234"/>
      <c r="S35" s="234"/>
      <c r="T35" s="538">
        <v>760917.07</v>
      </c>
      <c r="U35" s="534">
        <f t="shared" si="1"/>
        <v>24.07508289565272</v>
      </c>
    </row>
    <row r="36" spans="1:21" ht="23.25" customHeight="1">
      <c r="A36" s="215"/>
      <c r="B36" s="303" t="s">
        <v>456</v>
      </c>
      <c r="C36" s="304" t="s">
        <v>457</v>
      </c>
      <c r="D36" s="146" t="s">
        <v>21</v>
      </c>
      <c r="E36" s="146" t="s">
        <v>27</v>
      </c>
      <c r="F36" s="146" t="s">
        <v>52</v>
      </c>
      <c r="G36" s="146" t="s">
        <v>52</v>
      </c>
      <c r="H36" s="146" t="s">
        <v>21</v>
      </c>
      <c r="I36" s="146" t="s">
        <v>22</v>
      </c>
      <c r="J36" s="146" t="s">
        <v>23</v>
      </c>
      <c r="K36" s="146" t="s">
        <v>26</v>
      </c>
      <c r="L36" s="537">
        <f>SUM(L37:L38)</f>
        <v>6914010</v>
      </c>
      <c r="M36" s="237"/>
      <c r="N36" s="237"/>
      <c r="O36" s="237"/>
      <c r="P36" s="237"/>
      <c r="Q36" s="237"/>
      <c r="R36" s="237"/>
      <c r="S36" s="237"/>
      <c r="T36" s="537">
        <f>SUM(T37:T38)</f>
        <v>5164621.9</v>
      </c>
      <c r="U36" s="533">
        <f t="shared" si="1"/>
        <v>74.69792349157726</v>
      </c>
    </row>
    <row r="37" spans="1:21" ht="33" customHeight="1">
      <c r="A37" s="216" t="s">
        <v>733</v>
      </c>
      <c r="B37" s="304" t="s">
        <v>457</v>
      </c>
      <c r="C37" s="303" t="s">
        <v>458</v>
      </c>
      <c r="D37" s="146" t="s">
        <v>269</v>
      </c>
      <c r="E37" s="146" t="s">
        <v>27</v>
      </c>
      <c r="F37" s="146" t="s">
        <v>52</v>
      </c>
      <c r="G37" s="146" t="s">
        <v>52</v>
      </c>
      <c r="H37" s="146" t="s">
        <v>459</v>
      </c>
      <c r="I37" s="146" t="s">
        <v>147</v>
      </c>
      <c r="J37" s="146" t="s">
        <v>23</v>
      </c>
      <c r="K37" s="146" t="s">
        <v>26</v>
      </c>
      <c r="L37" s="538">
        <v>5389000</v>
      </c>
      <c r="M37" s="234"/>
      <c r="N37" s="234"/>
      <c r="O37" s="234"/>
      <c r="P37" s="234"/>
      <c r="Q37" s="234"/>
      <c r="R37" s="234"/>
      <c r="S37" s="234"/>
      <c r="T37" s="538">
        <v>4891434.11</v>
      </c>
      <c r="U37" s="534">
        <f t="shared" si="1"/>
        <v>90.76700890703286</v>
      </c>
    </row>
    <row r="38" spans="1:21" ht="36.75" customHeight="1">
      <c r="A38" s="214"/>
      <c r="B38" s="303" t="s">
        <v>458</v>
      </c>
      <c r="C38" s="303" t="s">
        <v>460</v>
      </c>
      <c r="D38" s="146" t="s">
        <v>269</v>
      </c>
      <c r="E38" s="146" t="s">
        <v>27</v>
      </c>
      <c r="F38" s="146" t="s">
        <v>52</v>
      </c>
      <c r="G38" s="146" t="s">
        <v>52</v>
      </c>
      <c r="H38" s="146" t="s">
        <v>233</v>
      </c>
      <c r="I38" s="146" t="s">
        <v>147</v>
      </c>
      <c r="J38" s="146" t="s">
        <v>23</v>
      </c>
      <c r="K38" s="146" t="s">
        <v>26</v>
      </c>
      <c r="L38" s="538">
        <v>1525010</v>
      </c>
      <c r="M38" s="234"/>
      <c r="N38" s="234"/>
      <c r="O38" s="234"/>
      <c r="P38" s="234"/>
      <c r="Q38" s="234"/>
      <c r="R38" s="234"/>
      <c r="S38" s="234"/>
      <c r="T38" s="538">
        <v>273187.79</v>
      </c>
      <c r="U38" s="534">
        <f>T38/L38*100</f>
        <v>17.913835974846066</v>
      </c>
    </row>
    <row r="39" spans="1:21" s="13" customFormat="1" ht="33" customHeight="1">
      <c r="A39" s="216"/>
      <c r="B39" s="303" t="s">
        <v>460</v>
      </c>
      <c r="C39" s="56" t="s">
        <v>38</v>
      </c>
      <c r="D39" s="144" t="s">
        <v>21</v>
      </c>
      <c r="E39" s="66" t="s">
        <v>27</v>
      </c>
      <c r="F39" s="66" t="s">
        <v>119</v>
      </c>
      <c r="G39" s="66" t="s">
        <v>22</v>
      </c>
      <c r="H39" s="66" t="s">
        <v>21</v>
      </c>
      <c r="I39" s="66" t="s">
        <v>22</v>
      </c>
      <c r="J39" s="66" t="s">
        <v>23</v>
      </c>
      <c r="K39" s="66" t="s">
        <v>21</v>
      </c>
      <c r="L39" s="537">
        <f>L40</f>
        <v>2779414.15</v>
      </c>
      <c r="M39" s="238" t="e">
        <f aca="true" t="shared" si="7" ref="M39:S39">M42+M40</f>
        <v>#REF!</v>
      </c>
      <c r="N39" s="238" t="e">
        <f t="shared" si="7"/>
        <v>#REF!</v>
      </c>
      <c r="O39" s="238" t="e">
        <f t="shared" si="7"/>
        <v>#REF!</v>
      </c>
      <c r="P39" s="238" t="e">
        <f t="shared" si="7"/>
        <v>#REF!</v>
      </c>
      <c r="Q39" s="238" t="e">
        <f t="shared" si="7"/>
        <v>#REF!</v>
      </c>
      <c r="R39" s="238" t="e">
        <f t="shared" si="7"/>
        <v>#REF!</v>
      </c>
      <c r="S39" s="238" t="e">
        <f t="shared" si="7"/>
        <v>#REF!</v>
      </c>
      <c r="T39" s="537">
        <f>T40</f>
        <v>1981783.51</v>
      </c>
      <c r="U39" s="533">
        <f t="shared" si="1"/>
        <v>71.30220266022607</v>
      </c>
    </row>
    <row r="40" spans="1:21" s="13" customFormat="1" ht="36.75" customHeight="1">
      <c r="A40" s="216" t="s">
        <v>370</v>
      </c>
      <c r="B40" s="56" t="s">
        <v>38</v>
      </c>
      <c r="C40" s="56" t="s">
        <v>39</v>
      </c>
      <c r="D40" s="151" t="s">
        <v>21</v>
      </c>
      <c r="E40" s="151" t="s">
        <v>27</v>
      </c>
      <c r="F40" s="151" t="s">
        <v>119</v>
      </c>
      <c r="G40" s="151" t="s">
        <v>126</v>
      </c>
      <c r="H40" s="151" t="s">
        <v>21</v>
      </c>
      <c r="I40" s="151" t="s">
        <v>117</v>
      </c>
      <c r="J40" s="151" t="s">
        <v>23</v>
      </c>
      <c r="K40" s="151" t="s">
        <v>21</v>
      </c>
      <c r="L40" s="537">
        <f>L41</f>
        <v>2779414.15</v>
      </c>
      <c r="M40" s="239" t="e">
        <f aca="true" t="shared" si="8" ref="M40:S41">M41</f>
        <v>#REF!</v>
      </c>
      <c r="N40" s="239" t="e">
        <f t="shared" si="8"/>
        <v>#REF!</v>
      </c>
      <c r="O40" s="239" t="e">
        <f t="shared" si="8"/>
        <v>#REF!</v>
      </c>
      <c r="P40" s="239" t="e">
        <f t="shared" si="8"/>
        <v>#REF!</v>
      </c>
      <c r="Q40" s="239" t="e">
        <f t="shared" si="8"/>
        <v>#REF!</v>
      </c>
      <c r="R40" s="239" t="e">
        <f t="shared" si="8"/>
        <v>#REF!</v>
      </c>
      <c r="S40" s="239" t="e">
        <f t="shared" si="8"/>
        <v>#REF!</v>
      </c>
      <c r="T40" s="537">
        <f>T41</f>
        <v>1981783.51</v>
      </c>
      <c r="U40" s="533">
        <f t="shared" si="1"/>
        <v>71.30220266022607</v>
      </c>
    </row>
    <row r="41" spans="1:21" ht="36" customHeight="1">
      <c r="A41" s="214" t="s">
        <v>734</v>
      </c>
      <c r="B41" s="56" t="s">
        <v>39</v>
      </c>
      <c r="C41" s="55" t="s">
        <v>40</v>
      </c>
      <c r="D41" s="146" t="s">
        <v>269</v>
      </c>
      <c r="E41" s="146" t="s">
        <v>27</v>
      </c>
      <c r="F41" s="146" t="s">
        <v>119</v>
      </c>
      <c r="G41" s="146" t="s">
        <v>126</v>
      </c>
      <c r="H41" s="146" t="s">
        <v>28</v>
      </c>
      <c r="I41" s="146" t="s">
        <v>117</v>
      </c>
      <c r="J41" s="146" t="s">
        <v>23</v>
      </c>
      <c r="K41" s="146" t="s">
        <v>26</v>
      </c>
      <c r="L41" s="538">
        <v>2779414.15</v>
      </c>
      <c r="M41" s="235" t="e">
        <f t="shared" si="8"/>
        <v>#REF!</v>
      </c>
      <c r="N41" s="235" t="e">
        <f t="shared" si="8"/>
        <v>#REF!</v>
      </c>
      <c r="O41" s="235" t="e">
        <f t="shared" si="8"/>
        <v>#REF!</v>
      </c>
      <c r="P41" s="235" t="e">
        <f t="shared" si="8"/>
        <v>#REF!</v>
      </c>
      <c r="Q41" s="235" t="e">
        <f t="shared" si="8"/>
        <v>#REF!</v>
      </c>
      <c r="R41" s="235" t="e">
        <f t="shared" si="8"/>
        <v>#REF!</v>
      </c>
      <c r="S41" s="235" t="e">
        <f>#REF!=SUM(L41:R41)</f>
        <v>#REF!</v>
      </c>
      <c r="T41" s="538">
        <v>1981783.51</v>
      </c>
      <c r="U41" s="534">
        <f t="shared" si="1"/>
        <v>71.30220266022607</v>
      </c>
    </row>
    <row r="42" spans="1:21" ht="44.25" customHeight="1">
      <c r="A42" s="214"/>
      <c r="B42" s="55" t="s">
        <v>40</v>
      </c>
      <c r="C42" s="56" t="s">
        <v>41</v>
      </c>
      <c r="D42" s="144" t="s">
        <v>21</v>
      </c>
      <c r="E42" s="66" t="s">
        <v>27</v>
      </c>
      <c r="F42" s="66" t="s">
        <v>145</v>
      </c>
      <c r="G42" s="66" t="s">
        <v>22</v>
      </c>
      <c r="H42" s="66" t="s">
        <v>21</v>
      </c>
      <c r="I42" s="66" t="s">
        <v>22</v>
      </c>
      <c r="J42" s="66" t="s">
        <v>23</v>
      </c>
      <c r="K42" s="66" t="s">
        <v>21</v>
      </c>
      <c r="L42" s="537">
        <f>L43+L52+L54</f>
        <v>9449363</v>
      </c>
      <c r="M42" s="239" t="e">
        <f aca="true" t="shared" si="9" ref="M42:S42">M43+M47+M49+M53+M51</f>
        <v>#REF!</v>
      </c>
      <c r="N42" s="239" t="e">
        <f t="shared" si="9"/>
        <v>#REF!</v>
      </c>
      <c r="O42" s="239" t="e">
        <f t="shared" si="9"/>
        <v>#REF!</v>
      </c>
      <c r="P42" s="239" t="e">
        <f t="shared" si="9"/>
        <v>#REF!</v>
      </c>
      <c r="Q42" s="239" t="e">
        <f t="shared" si="9"/>
        <v>#REF!</v>
      </c>
      <c r="R42" s="239" t="e">
        <f t="shared" si="9"/>
        <v>#REF!</v>
      </c>
      <c r="S42" s="239" t="e">
        <f t="shared" si="9"/>
        <v>#REF!</v>
      </c>
      <c r="T42" s="537">
        <f>T43+T52+T54</f>
        <v>8069123.58</v>
      </c>
      <c r="U42" s="533">
        <f t="shared" si="1"/>
        <v>85.39330725256295</v>
      </c>
    </row>
    <row r="43" spans="1:21" ht="81.75" customHeight="1">
      <c r="A43" s="214" t="s">
        <v>372</v>
      </c>
      <c r="B43" s="56" t="s">
        <v>41</v>
      </c>
      <c r="C43" s="67" t="s">
        <v>205</v>
      </c>
      <c r="D43" s="144" t="s">
        <v>21</v>
      </c>
      <c r="E43" s="66" t="s">
        <v>27</v>
      </c>
      <c r="F43" s="66" t="s">
        <v>145</v>
      </c>
      <c r="G43" s="66" t="s">
        <v>123</v>
      </c>
      <c r="H43" s="66" t="s">
        <v>21</v>
      </c>
      <c r="I43" s="66" t="s">
        <v>22</v>
      </c>
      <c r="J43" s="66" t="s">
        <v>23</v>
      </c>
      <c r="K43" s="66" t="s">
        <v>43</v>
      </c>
      <c r="L43" s="537">
        <f>L44+L46+L48+L50</f>
        <v>6113000</v>
      </c>
      <c r="M43" s="240" t="e">
        <f>M44+M45+#REF!</f>
        <v>#REF!</v>
      </c>
      <c r="N43" s="240" t="e">
        <f>N44+N45+#REF!</f>
        <v>#REF!</v>
      </c>
      <c r="O43" s="240" t="e">
        <f>O44+O45+#REF!</f>
        <v>#REF!</v>
      </c>
      <c r="P43" s="240" t="e">
        <f>P44+P45+#REF!</f>
        <v>#REF!</v>
      </c>
      <c r="Q43" s="240" t="e">
        <f>Q44+Q45+#REF!</f>
        <v>#REF!</v>
      </c>
      <c r="R43" s="240" t="e">
        <f>R44+R45+#REF!</f>
        <v>#REF!</v>
      </c>
      <c r="S43" s="240" t="e">
        <f>S44+S45+#REF!</f>
        <v>#REF!</v>
      </c>
      <c r="T43" s="537">
        <f>T44+T46+T48+T50</f>
        <v>4702852.600000001</v>
      </c>
      <c r="U43" s="533">
        <f t="shared" si="1"/>
        <v>76.93199083919517</v>
      </c>
    </row>
    <row r="44" spans="1:21" ht="44.25" customHeight="1">
      <c r="A44" s="216" t="s">
        <v>735</v>
      </c>
      <c r="B44" s="67" t="s">
        <v>205</v>
      </c>
      <c r="C44" s="305" t="s">
        <v>206</v>
      </c>
      <c r="D44" s="146" t="s">
        <v>21</v>
      </c>
      <c r="E44" s="146" t="s">
        <v>27</v>
      </c>
      <c r="F44" s="146" t="s">
        <v>145</v>
      </c>
      <c r="G44" s="146" t="s">
        <v>123</v>
      </c>
      <c r="H44" s="146" t="s">
        <v>28</v>
      </c>
      <c r="I44" s="146" t="s">
        <v>22</v>
      </c>
      <c r="J44" s="146" t="s">
        <v>23</v>
      </c>
      <c r="K44" s="146" t="s">
        <v>43</v>
      </c>
      <c r="L44" s="538">
        <f>L45</f>
        <v>4367000</v>
      </c>
      <c r="M44" s="234"/>
      <c r="N44" s="234"/>
      <c r="O44" s="234"/>
      <c r="P44" s="234"/>
      <c r="Q44" s="234"/>
      <c r="R44" s="234"/>
      <c r="S44" s="234"/>
      <c r="T44" s="538">
        <f>T45</f>
        <v>2044288.11</v>
      </c>
      <c r="U44" s="534">
        <f t="shared" si="1"/>
        <v>46.81218479505381</v>
      </c>
    </row>
    <row r="45" spans="1:21" ht="69.75" customHeight="1">
      <c r="A45" s="216"/>
      <c r="B45" s="305" t="s">
        <v>206</v>
      </c>
      <c r="C45" s="152" t="s">
        <v>461</v>
      </c>
      <c r="D45" s="146" t="s">
        <v>30</v>
      </c>
      <c r="E45" s="146" t="s">
        <v>27</v>
      </c>
      <c r="F45" s="146" t="s">
        <v>145</v>
      </c>
      <c r="G45" s="146" t="s">
        <v>123</v>
      </c>
      <c r="H45" s="146" t="s">
        <v>462</v>
      </c>
      <c r="I45" s="146" t="s">
        <v>147</v>
      </c>
      <c r="J45" s="146" t="s">
        <v>23</v>
      </c>
      <c r="K45" s="146" t="s">
        <v>43</v>
      </c>
      <c r="L45" s="538">
        <v>4367000</v>
      </c>
      <c r="M45" s="234" t="e">
        <f>#REF!</f>
        <v>#REF!</v>
      </c>
      <c r="N45" s="234" t="e">
        <f>#REF!</f>
        <v>#REF!</v>
      </c>
      <c r="O45" s="234" t="e">
        <f>#REF!</f>
        <v>#REF!</v>
      </c>
      <c r="P45" s="234" t="e">
        <f>#REF!</f>
        <v>#REF!</v>
      </c>
      <c r="Q45" s="234" t="e">
        <f>#REF!</f>
        <v>#REF!</v>
      </c>
      <c r="R45" s="234" t="e">
        <f>#REF!</f>
        <v>#REF!</v>
      </c>
      <c r="S45" s="234" t="e">
        <f>#REF!=SUM(L45:R45)</f>
        <v>#REF!</v>
      </c>
      <c r="T45" s="538">
        <v>2044288.11</v>
      </c>
      <c r="U45" s="534">
        <f t="shared" si="1"/>
        <v>46.81218479505381</v>
      </c>
    </row>
    <row r="46" spans="1:21" ht="62.25" customHeight="1">
      <c r="A46" s="217"/>
      <c r="B46" s="152" t="s">
        <v>461</v>
      </c>
      <c r="C46" s="218" t="s">
        <v>174</v>
      </c>
      <c r="D46" s="146" t="s">
        <v>21</v>
      </c>
      <c r="E46" s="146" t="s">
        <v>27</v>
      </c>
      <c r="F46" s="146" t="s">
        <v>145</v>
      </c>
      <c r="G46" s="146" t="s">
        <v>123</v>
      </c>
      <c r="H46" s="146" t="s">
        <v>30</v>
      </c>
      <c r="I46" s="146" t="s">
        <v>22</v>
      </c>
      <c r="J46" s="146" t="s">
        <v>23</v>
      </c>
      <c r="K46" s="146" t="s">
        <v>43</v>
      </c>
      <c r="L46" s="538">
        <f>L47</f>
        <v>550000</v>
      </c>
      <c r="M46" s="234"/>
      <c r="N46" s="234"/>
      <c r="O46" s="234"/>
      <c r="P46" s="234"/>
      <c r="Q46" s="234"/>
      <c r="R46" s="234"/>
      <c r="S46" s="234"/>
      <c r="T46" s="538">
        <f>T47</f>
        <v>717270.92</v>
      </c>
      <c r="U46" s="534">
        <f t="shared" si="1"/>
        <v>130.41289454545455</v>
      </c>
    </row>
    <row r="47" spans="1:21" ht="60.75" customHeight="1">
      <c r="A47" s="219"/>
      <c r="B47" s="218" t="s">
        <v>174</v>
      </c>
      <c r="C47" s="62" t="s">
        <v>463</v>
      </c>
      <c r="D47" s="146" t="s">
        <v>30</v>
      </c>
      <c r="E47" s="146" t="s">
        <v>27</v>
      </c>
      <c r="F47" s="146" t="s">
        <v>145</v>
      </c>
      <c r="G47" s="146" t="s">
        <v>123</v>
      </c>
      <c r="H47" s="146" t="s">
        <v>70</v>
      </c>
      <c r="I47" s="146" t="s">
        <v>147</v>
      </c>
      <c r="J47" s="146" t="s">
        <v>23</v>
      </c>
      <c r="K47" s="146" t="s">
        <v>43</v>
      </c>
      <c r="L47" s="538">
        <v>550000</v>
      </c>
      <c r="M47" s="240">
        <f aca="true" t="shared" si="10" ref="M47:S47">M48</f>
        <v>0</v>
      </c>
      <c r="N47" s="240">
        <f t="shared" si="10"/>
        <v>0</v>
      </c>
      <c r="O47" s="240">
        <f t="shared" si="10"/>
        <v>0</v>
      </c>
      <c r="P47" s="240">
        <f t="shared" si="10"/>
        <v>0</v>
      </c>
      <c r="Q47" s="240">
        <f t="shared" si="10"/>
        <v>0</v>
      </c>
      <c r="R47" s="240">
        <f t="shared" si="10"/>
        <v>0</v>
      </c>
      <c r="S47" s="240">
        <f t="shared" si="10"/>
        <v>0</v>
      </c>
      <c r="T47" s="538">
        <v>717270.92</v>
      </c>
      <c r="U47" s="534">
        <f t="shared" si="1"/>
        <v>130.41289454545455</v>
      </c>
    </row>
    <row r="48" spans="1:21" ht="57" customHeight="1">
      <c r="A48" s="219"/>
      <c r="B48" s="62" t="s">
        <v>463</v>
      </c>
      <c r="C48" s="218" t="s">
        <v>464</v>
      </c>
      <c r="D48" s="146" t="s">
        <v>21</v>
      </c>
      <c r="E48" s="146" t="s">
        <v>27</v>
      </c>
      <c r="F48" s="146" t="s">
        <v>145</v>
      </c>
      <c r="G48" s="146" t="s">
        <v>123</v>
      </c>
      <c r="H48" s="146" t="s">
        <v>32</v>
      </c>
      <c r="I48" s="146" t="s">
        <v>22</v>
      </c>
      <c r="J48" s="146" t="s">
        <v>23</v>
      </c>
      <c r="K48" s="146" t="s">
        <v>43</v>
      </c>
      <c r="L48" s="538">
        <f>L49</f>
        <v>112000</v>
      </c>
      <c r="M48" s="234"/>
      <c r="N48" s="234"/>
      <c r="O48" s="234"/>
      <c r="P48" s="234"/>
      <c r="Q48" s="234"/>
      <c r="R48" s="234"/>
      <c r="S48" s="234"/>
      <c r="T48" s="538">
        <f>T49</f>
        <v>183655.74</v>
      </c>
      <c r="U48" s="534">
        <f t="shared" si="1"/>
        <v>163.97833928571427</v>
      </c>
    </row>
    <row r="49" spans="1:21" ht="45.75" customHeight="1">
      <c r="A49" s="215"/>
      <c r="B49" s="218" t="s">
        <v>464</v>
      </c>
      <c r="C49" s="62" t="s">
        <v>465</v>
      </c>
      <c r="D49" s="146" t="s">
        <v>30</v>
      </c>
      <c r="E49" s="146" t="s">
        <v>27</v>
      </c>
      <c r="F49" s="146" t="s">
        <v>145</v>
      </c>
      <c r="G49" s="146" t="s">
        <v>123</v>
      </c>
      <c r="H49" s="146" t="s">
        <v>466</v>
      </c>
      <c r="I49" s="146" t="s">
        <v>147</v>
      </c>
      <c r="J49" s="146" t="s">
        <v>23</v>
      </c>
      <c r="K49" s="146" t="s">
        <v>43</v>
      </c>
      <c r="L49" s="538">
        <v>112000</v>
      </c>
      <c r="M49" s="234" t="e">
        <f>#REF!</f>
        <v>#REF!</v>
      </c>
      <c r="N49" s="234" t="e">
        <f>#REF!</f>
        <v>#REF!</v>
      </c>
      <c r="O49" s="234" t="e">
        <f>#REF!</f>
        <v>#REF!</v>
      </c>
      <c r="P49" s="234" t="e">
        <f>#REF!</f>
        <v>#REF!</v>
      </c>
      <c r="Q49" s="234" t="e">
        <f>#REF!</f>
        <v>#REF!</v>
      </c>
      <c r="R49" s="234" t="e">
        <f>#REF!</f>
        <v>#REF!</v>
      </c>
      <c r="S49" s="234" t="e">
        <f>#REF!=SUM(L49:R49)</f>
        <v>#REF!</v>
      </c>
      <c r="T49" s="538">
        <v>183655.74</v>
      </c>
      <c r="U49" s="534">
        <f t="shared" si="1"/>
        <v>163.97833928571427</v>
      </c>
    </row>
    <row r="50" spans="1:21" ht="33.75" customHeight="1">
      <c r="A50" s="215"/>
      <c r="B50" s="62" t="s">
        <v>465</v>
      </c>
      <c r="C50" s="305" t="s">
        <v>221</v>
      </c>
      <c r="D50" s="146" t="s">
        <v>21</v>
      </c>
      <c r="E50" s="146" t="s">
        <v>27</v>
      </c>
      <c r="F50" s="146" t="s">
        <v>145</v>
      </c>
      <c r="G50" s="146" t="s">
        <v>123</v>
      </c>
      <c r="H50" s="146" t="s">
        <v>344</v>
      </c>
      <c r="I50" s="146" t="s">
        <v>22</v>
      </c>
      <c r="J50" s="146" t="s">
        <v>23</v>
      </c>
      <c r="K50" s="146" t="s">
        <v>43</v>
      </c>
      <c r="L50" s="538">
        <f>L51</f>
        <v>1084000</v>
      </c>
      <c r="M50" s="234"/>
      <c r="N50" s="234"/>
      <c r="O50" s="234"/>
      <c r="P50" s="234"/>
      <c r="Q50" s="234"/>
      <c r="R50" s="234"/>
      <c r="S50" s="234"/>
      <c r="T50" s="538">
        <f>T51</f>
        <v>1757637.83</v>
      </c>
      <c r="U50" s="534">
        <f t="shared" si="1"/>
        <v>162.14371125461255</v>
      </c>
    </row>
    <row r="51" spans="1:21" ht="33" customHeight="1">
      <c r="A51" s="216"/>
      <c r="B51" s="305" t="s">
        <v>221</v>
      </c>
      <c r="C51" s="62" t="s">
        <v>467</v>
      </c>
      <c r="D51" s="146" t="s">
        <v>30</v>
      </c>
      <c r="E51" s="146" t="s">
        <v>27</v>
      </c>
      <c r="F51" s="146" t="s">
        <v>145</v>
      </c>
      <c r="G51" s="146" t="s">
        <v>123</v>
      </c>
      <c r="H51" s="146" t="s">
        <v>468</v>
      </c>
      <c r="I51" s="146" t="s">
        <v>147</v>
      </c>
      <c r="J51" s="146" t="s">
        <v>23</v>
      </c>
      <c r="K51" s="146" t="s">
        <v>43</v>
      </c>
      <c r="L51" s="538">
        <v>1084000</v>
      </c>
      <c r="M51" s="241"/>
      <c r="N51" s="241"/>
      <c r="O51" s="241"/>
      <c r="P51" s="241"/>
      <c r="Q51" s="241"/>
      <c r="R51" s="241"/>
      <c r="S51" s="241"/>
      <c r="T51" s="538">
        <v>1757637.83</v>
      </c>
      <c r="U51" s="534">
        <f t="shared" si="1"/>
        <v>162.14371125461255</v>
      </c>
    </row>
    <row r="52" spans="1:21" ht="65.25" customHeight="1">
      <c r="A52" s="216"/>
      <c r="B52" s="62" t="s">
        <v>467</v>
      </c>
      <c r="C52" s="220" t="s">
        <v>469</v>
      </c>
      <c r="D52" s="66" t="s">
        <v>21</v>
      </c>
      <c r="E52" s="66" t="s">
        <v>27</v>
      </c>
      <c r="F52" s="66" t="s">
        <v>145</v>
      </c>
      <c r="G52" s="66" t="s">
        <v>120</v>
      </c>
      <c r="H52" s="66" t="s">
        <v>33</v>
      </c>
      <c r="I52" s="66" t="s">
        <v>22</v>
      </c>
      <c r="J52" s="66" t="s">
        <v>23</v>
      </c>
      <c r="K52" s="66" t="s">
        <v>43</v>
      </c>
      <c r="L52" s="537">
        <f>L53</f>
        <v>2117050.32</v>
      </c>
      <c r="M52" s="234"/>
      <c r="N52" s="234"/>
      <c r="O52" s="234"/>
      <c r="P52" s="234"/>
      <c r="Q52" s="234"/>
      <c r="R52" s="234"/>
      <c r="S52" s="234"/>
      <c r="T52" s="537">
        <f>T53</f>
        <v>2383059.38</v>
      </c>
      <c r="U52" s="533">
        <f t="shared" si="1"/>
        <v>112.56507970013674</v>
      </c>
    </row>
    <row r="53" spans="1:21" ht="67.5" customHeight="1">
      <c r="A53" s="216" t="s">
        <v>736</v>
      </c>
      <c r="B53" s="220" t="s">
        <v>469</v>
      </c>
      <c r="C53" s="62" t="s">
        <v>470</v>
      </c>
      <c r="D53" s="146" t="s">
        <v>30</v>
      </c>
      <c r="E53" s="146" t="s">
        <v>27</v>
      </c>
      <c r="F53" s="146" t="s">
        <v>145</v>
      </c>
      <c r="G53" s="146" t="s">
        <v>120</v>
      </c>
      <c r="H53" s="146" t="s">
        <v>471</v>
      </c>
      <c r="I53" s="146" t="s">
        <v>147</v>
      </c>
      <c r="J53" s="146" t="s">
        <v>23</v>
      </c>
      <c r="K53" s="146" t="s">
        <v>43</v>
      </c>
      <c r="L53" s="538">
        <v>2117050.32</v>
      </c>
      <c r="M53" s="242"/>
      <c r="N53" s="242"/>
      <c r="O53" s="242"/>
      <c r="P53" s="242"/>
      <c r="Q53" s="242"/>
      <c r="R53" s="242"/>
      <c r="S53" s="242"/>
      <c r="T53" s="538">
        <v>2383059.38</v>
      </c>
      <c r="U53" s="534">
        <f t="shared" si="1"/>
        <v>112.56507970013674</v>
      </c>
    </row>
    <row r="54" spans="1:21" ht="96.75" customHeight="1">
      <c r="A54" s="215"/>
      <c r="B54" s="62" t="s">
        <v>470</v>
      </c>
      <c r="C54" s="153" t="s">
        <v>472</v>
      </c>
      <c r="D54" s="319" t="s">
        <v>21</v>
      </c>
      <c r="E54" s="319" t="s">
        <v>27</v>
      </c>
      <c r="F54" s="319" t="s">
        <v>145</v>
      </c>
      <c r="G54" s="319" t="s">
        <v>120</v>
      </c>
      <c r="H54" s="319" t="s">
        <v>337</v>
      </c>
      <c r="I54" s="319" t="s">
        <v>22</v>
      </c>
      <c r="J54" s="319" t="s">
        <v>23</v>
      </c>
      <c r="K54" s="319" t="s">
        <v>43</v>
      </c>
      <c r="L54" s="537">
        <f>L55</f>
        <v>1219312.68</v>
      </c>
      <c r="M54" s="234"/>
      <c r="N54" s="234"/>
      <c r="O54" s="234"/>
      <c r="P54" s="234"/>
      <c r="Q54" s="234"/>
      <c r="R54" s="234"/>
      <c r="S54" s="234"/>
      <c r="T54" s="537">
        <f>T55</f>
        <v>983211.6</v>
      </c>
      <c r="U54" s="533">
        <f t="shared" si="1"/>
        <v>80.63654353204956</v>
      </c>
    </row>
    <row r="55" spans="1:21" ht="85.5" customHeight="1">
      <c r="A55" s="216" t="s">
        <v>737</v>
      </c>
      <c r="B55" s="153" t="s">
        <v>472</v>
      </c>
      <c r="C55" s="154" t="s">
        <v>473</v>
      </c>
      <c r="D55" s="320" t="s">
        <v>30</v>
      </c>
      <c r="E55" s="320" t="s">
        <v>27</v>
      </c>
      <c r="F55" s="320" t="s">
        <v>145</v>
      </c>
      <c r="G55" s="320" t="s">
        <v>120</v>
      </c>
      <c r="H55" s="320" t="s">
        <v>337</v>
      </c>
      <c r="I55" s="320" t="s">
        <v>147</v>
      </c>
      <c r="J55" s="320" t="s">
        <v>23</v>
      </c>
      <c r="K55" s="320" t="s">
        <v>43</v>
      </c>
      <c r="L55" s="538">
        <v>1219312.68</v>
      </c>
      <c r="M55" s="235" t="e">
        <f>#REF!+#REF!+#REF!</f>
        <v>#REF!</v>
      </c>
      <c r="N55" s="235" t="e">
        <f>#REF!+#REF!+#REF!</f>
        <v>#REF!</v>
      </c>
      <c r="O55" s="235" t="e">
        <f>#REF!+#REF!+#REF!</f>
        <v>#REF!</v>
      </c>
      <c r="P55" s="235" t="e">
        <f>#REF!+#REF!+#REF!</f>
        <v>#REF!</v>
      </c>
      <c r="Q55" s="235" t="e">
        <f>#REF!+#REF!+#REF!</f>
        <v>#REF!</v>
      </c>
      <c r="R55" s="235" t="e">
        <f>#REF!+#REF!+#REF!</f>
        <v>#REF!</v>
      </c>
      <c r="S55" s="235" t="e">
        <f>#REF!=SUM(L55:R55)</f>
        <v>#REF!</v>
      </c>
      <c r="T55" s="538">
        <v>983211.6</v>
      </c>
      <c r="U55" s="534">
        <f t="shared" si="1"/>
        <v>80.63654353204956</v>
      </c>
    </row>
    <row r="56" spans="1:21" s="13" customFormat="1" ht="24.75" customHeight="1">
      <c r="A56" s="216"/>
      <c r="B56" s="154" t="s">
        <v>473</v>
      </c>
      <c r="C56" s="56" t="s">
        <v>44</v>
      </c>
      <c r="D56" s="144" t="s">
        <v>21</v>
      </c>
      <c r="E56" s="66" t="s">
        <v>27</v>
      </c>
      <c r="F56" s="66" t="s">
        <v>121</v>
      </c>
      <c r="G56" s="66" t="s">
        <v>22</v>
      </c>
      <c r="H56" s="66" t="s">
        <v>21</v>
      </c>
      <c r="I56" s="66" t="s">
        <v>22</v>
      </c>
      <c r="J56" s="66" t="s">
        <v>23</v>
      </c>
      <c r="K56" s="66" t="s">
        <v>21</v>
      </c>
      <c r="L56" s="537">
        <f>L57</f>
        <v>827500</v>
      </c>
      <c r="M56" s="234"/>
      <c r="N56" s="234"/>
      <c r="O56" s="234"/>
      <c r="P56" s="234"/>
      <c r="Q56" s="234"/>
      <c r="R56" s="234"/>
      <c r="S56" s="234"/>
      <c r="T56" s="537">
        <f>T57</f>
        <v>275486.22</v>
      </c>
      <c r="U56" s="533">
        <f t="shared" si="1"/>
        <v>33.29138610271903</v>
      </c>
    </row>
    <row r="57" spans="1:21" s="5" customFormat="1" ht="27.75" customHeight="1">
      <c r="A57" s="217" t="s">
        <v>738</v>
      </c>
      <c r="B57" s="56" t="s">
        <v>44</v>
      </c>
      <c r="C57" s="56" t="s">
        <v>45</v>
      </c>
      <c r="D57" s="66" t="s">
        <v>21</v>
      </c>
      <c r="E57" s="66" t="s">
        <v>27</v>
      </c>
      <c r="F57" s="66" t="s">
        <v>121</v>
      </c>
      <c r="G57" s="66" t="s">
        <v>117</v>
      </c>
      <c r="H57" s="66" t="s">
        <v>21</v>
      </c>
      <c r="I57" s="66" t="s">
        <v>117</v>
      </c>
      <c r="J57" s="66" t="s">
        <v>23</v>
      </c>
      <c r="K57" s="66" t="s">
        <v>43</v>
      </c>
      <c r="L57" s="537">
        <f>SUM(L58:L60)</f>
        <v>827500</v>
      </c>
      <c r="M57" s="234"/>
      <c r="N57" s="234"/>
      <c r="O57" s="234"/>
      <c r="P57" s="234"/>
      <c r="Q57" s="234"/>
      <c r="R57" s="234"/>
      <c r="S57" s="234"/>
      <c r="T57" s="537">
        <f>SUM(T58:T60)</f>
        <v>275486.22</v>
      </c>
      <c r="U57" s="533">
        <f t="shared" si="1"/>
        <v>33.29138610271903</v>
      </c>
    </row>
    <row r="58" spans="1:21" ht="30" customHeight="1">
      <c r="A58" s="217" t="s">
        <v>739</v>
      </c>
      <c r="B58" s="56" t="s">
        <v>45</v>
      </c>
      <c r="C58" s="58" t="s">
        <v>46</v>
      </c>
      <c r="D58" s="146" t="s">
        <v>270</v>
      </c>
      <c r="E58" s="146" t="s">
        <v>27</v>
      </c>
      <c r="F58" s="146" t="s">
        <v>121</v>
      </c>
      <c r="G58" s="146" t="s">
        <v>117</v>
      </c>
      <c r="H58" s="146" t="s">
        <v>28</v>
      </c>
      <c r="I58" s="146" t="s">
        <v>117</v>
      </c>
      <c r="J58" s="146" t="s">
        <v>23</v>
      </c>
      <c r="K58" s="146" t="s">
        <v>43</v>
      </c>
      <c r="L58" s="538">
        <v>99000</v>
      </c>
      <c r="M58" s="243">
        <f aca="true" t="shared" si="11" ref="M58:S58">M59+M60</f>
        <v>0</v>
      </c>
      <c r="N58" s="243">
        <f t="shared" si="11"/>
        <v>0</v>
      </c>
      <c r="O58" s="243">
        <f t="shared" si="11"/>
        <v>0</v>
      </c>
      <c r="P58" s="243">
        <f t="shared" si="11"/>
        <v>0</v>
      </c>
      <c r="Q58" s="243">
        <f t="shared" si="11"/>
        <v>0</v>
      </c>
      <c r="R58" s="243">
        <f t="shared" si="11"/>
        <v>0</v>
      </c>
      <c r="S58" s="243">
        <f t="shared" si="11"/>
        <v>0</v>
      </c>
      <c r="T58" s="538">
        <v>17666.62</v>
      </c>
      <c r="U58" s="534">
        <f t="shared" si="1"/>
        <v>17.845070707070708</v>
      </c>
    </row>
    <row r="59" spans="1:21" ht="27" customHeight="1">
      <c r="A59" s="217"/>
      <c r="B59" s="58" t="s">
        <v>46</v>
      </c>
      <c r="C59" s="58" t="s">
        <v>234</v>
      </c>
      <c r="D59" s="146" t="s">
        <v>270</v>
      </c>
      <c r="E59" s="146" t="s">
        <v>27</v>
      </c>
      <c r="F59" s="146" t="s">
        <v>121</v>
      </c>
      <c r="G59" s="146" t="s">
        <v>117</v>
      </c>
      <c r="H59" s="146" t="s">
        <v>232</v>
      </c>
      <c r="I59" s="146" t="s">
        <v>117</v>
      </c>
      <c r="J59" s="146" t="s">
        <v>23</v>
      </c>
      <c r="K59" s="146" t="s">
        <v>43</v>
      </c>
      <c r="L59" s="538">
        <v>353500</v>
      </c>
      <c r="M59" s="234"/>
      <c r="N59" s="234"/>
      <c r="O59" s="234"/>
      <c r="P59" s="234"/>
      <c r="Q59" s="234"/>
      <c r="R59" s="234"/>
      <c r="S59" s="232"/>
      <c r="T59" s="538">
        <v>80819.6</v>
      </c>
      <c r="U59" s="534">
        <f t="shared" si="1"/>
        <v>22.862687411598305</v>
      </c>
    </row>
    <row r="60" spans="1:21" ht="25.5" customHeight="1">
      <c r="A60" s="221"/>
      <c r="B60" s="58" t="s">
        <v>234</v>
      </c>
      <c r="C60" s="58" t="s">
        <v>345</v>
      </c>
      <c r="D60" s="146" t="s">
        <v>270</v>
      </c>
      <c r="E60" s="146" t="s">
        <v>27</v>
      </c>
      <c r="F60" s="146" t="s">
        <v>121</v>
      </c>
      <c r="G60" s="146" t="s">
        <v>117</v>
      </c>
      <c r="H60" s="146" t="s">
        <v>233</v>
      </c>
      <c r="I60" s="146" t="s">
        <v>117</v>
      </c>
      <c r="J60" s="146" t="s">
        <v>23</v>
      </c>
      <c r="K60" s="146" t="s">
        <v>43</v>
      </c>
      <c r="L60" s="538">
        <v>375000</v>
      </c>
      <c r="M60" s="234"/>
      <c r="N60" s="234"/>
      <c r="O60" s="234"/>
      <c r="P60" s="234"/>
      <c r="Q60" s="234"/>
      <c r="R60" s="234"/>
      <c r="S60" s="232"/>
      <c r="T60" s="538">
        <v>177000</v>
      </c>
      <c r="U60" s="534">
        <f t="shared" si="1"/>
        <v>47.199999999999996</v>
      </c>
    </row>
    <row r="61" spans="1:21" ht="30" customHeight="1">
      <c r="A61" s="217"/>
      <c r="B61" s="58" t="s">
        <v>345</v>
      </c>
      <c r="C61" s="56" t="s">
        <v>47</v>
      </c>
      <c r="D61" s="66" t="s">
        <v>21</v>
      </c>
      <c r="E61" s="66" t="s">
        <v>27</v>
      </c>
      <c r="F61" s="66" t="s">
        <v>152</v>
      </c>
      <c r="G61" s="66" t="s">
        <v>22</v>
      </c>
      <c r="H61" s="66" t="s">
        <v>21</v>
      </c>
      <c r="I61" s="66" t="s">
        <v>22</v>
      </c>
      <c r="J61" s="66" t="s">
        <v>23</v>
      </c>
      <c r="K61" s="66" t="s">
        <v>21</v>
      </c>
      <c r="L61" s="537">
        <f>L62+L64</f>
        <v>13298084</v>
      </c>
      <c r="M61" s="235">
        <f aca="true" t="shared" si="12" ref="M61:R64">M62</f>
        <v>0</v>
      </c>
      <c r="N61" s="235">
        <f t="shared" si="12"/>
        <v>0</v>
      </c>
      <c r="O61" s="235">
        <f t="shared" si="12"/>
        <v>0</v>
      </c>
      <c r="P61" s="235">
        <f t="shared" si="12"/>
        <v>0</v>
      </c>
      <c r="Q61" s="235">
        <f t="shared" si="12"/>
        <v>0</v>
      </c>
      <c r="R61" s="235" t="e">
        <f>#REF!=SUM(L61:Q61)</f>
        <v>#REF!</v>
      </c>
      <c r="S61" s="232">
        <v>360000</v>
      </c>
      <c r="T61" s="537">
        <f>T62+T64</f>
        <v>8854735.89</v>
      </c>
      <c r="U61" s="533">
        <f t="shared" si="1"/>
        <v>66.58655404793653</v>
      </c>
    </row>
    <row r="62" spans="1:21" ht="18" customHeight="1">
      <c r="A62" s="214" t="s">
        <v>740</v>
      </c>
      <c r="B62" s="56" t="s">
        <v>47</v>
      </c>
      <c r="C62" s="306" t="s">
        <v>474</v>
      </c>
      <c r="D62" s="66" t="s">
        <v>21</v>
      </c>
      <c r="E62" s="66" t="s">
        <v>27</v>
      </c>
      <c r="F62" s="66" t="s">
        <v>152</v>
      </c>
      <c r="G62" s="66" t="s">
        <v>117</v>
      </c>
      <c r="H62" s="66" t="s">
        <v>86</v>
      </c>
      <c r="I62" s="66" t="s">
        <v>22</v>
      </c>
      <c r="J62" s="66" t="s">
        <v>23</v>
      </c>
      <c r="K62" s="66" t="s">
        <v>48</v>
      </c>
      <c r="L62" s="537">
        <f>L63</f>
        <v>13040000</v>
      </c>
      <c r="M62" s="244">
        <f t="shared" si="12"/>
        <v>0</v>
      </c>
      <c r="N62" s="244">
        <f t="shared" si="12"/>
        <v>0</v>
      </c>
      <c r="O62" s="244">
        <f t="shared" si="12"/>
        <v>0</v>
      </c>
      <c r="P62" s="244">
        <f t="shared" si="12"/>
        <v>0</v>
      </c>
      <c r="Q62" s="244">
        <f t="shared" si="12"/>
        <v>0</v>
      </c>
      <c r="R62" s="244">
        <f t="shared" si="12"/>
        <v>0</v>
      </c>
      <c r="S62" s="244" t="e">
        <f>#REF!=SUM(L62:R62)</f>
        <v>#REF!</v>
      </c>
      <c r="T62" s="537">
        <f>T63</f>
        <v>8823534.57</v>
      </c>
      <c r="U62" s="533">
        <f t="shared" si="1"/>
        <v>67.66514240797547</v>
      </c>
    </row>
    <row r="63" spans="1:21" ht="34.5" customHeight="1">
      <c r="A63" s="214" t="s">
        <v>741</v>
      </c>
      <c r="B63" s="306" t="s">
        <v>474</v>
      </c>
      <c r="C63" s="62" t="s">
        <v>475</v>
      </c>
      <c r="D63" s="146" t="s">
        <v>30</v>
      </c>
      <c r="E63" s="146" t="s">
        <v>27</v>
      </c>
      <c r="F63" s="146" t="s">
        <v>152</v>
      </c>
      <c r="G63" s="146" t="s">
        <v>117</v>
      </c>
      <c r="H63" s="146" t="s">
        <v>476</v>
      </c>
      <c r="I63" s="146" t="s">
        <v>147</v>
      </c>
      <c r="J63" s="146" t="s">
        <v>23</v>
      </c>
      <c r="K63" s="146" t="s">
        <v>48</v>
      </c>
      <c r="L63" s="538">
        <v>13040000</v>
      </c>
      <c r="M63" s="236">
        <f aca="true" t="shared" si="13" ref="M63:R63">M67</f>
        <v>0</v>
      </c>
      <c r="N63" s="236">
        <f t="shared" si="13"/>
        <v>0</v>
      </c>
      <c r="O63" s="236">
        <f t="shared" si="13"/>
        <v>0</v>
      </c>
      <c r="P63" s="236">
        <f t="shared" si="13"/>
        <v>0</v>
      </c>
      <c r="Q63" s="236">
        <f t="shared" si="13"/>
        <v>0</v>
      </c>
      <c r="R63" s="236">
        <f t="shared" si="13"/>
        <v>0</v>
      </c>
      <c r="S63" s="236" t="e">
        <f>#REF!=SUM(L63:R63)</f>
        <v>#REF!</v>
      </c>
      <c r="T63" s="538">
        <v>8823534.57</v>
      </c>
      <c r="U63" s="534">
        <f t="shared" si="1"/>
        <v>67.66514240797547</v>
      </c>
    </row>
    <row r="64" spans="1:21" ht="36.75" customHeight="1">
      <c r="A64" s="216"/>
      <c r="B64" s="62" t="s">
        <v>475</v>
      </c>
      <c r="C64" s="307" t="s">
        <v>477</v>
      </c>
      <c r="D64" s="66" t="s">
        <v>21</v>
      </c>
      <c r="E64" s="66" t="s">
        <v>27</v>
      </c>
      <c r="F64" s="66" t="s">
        <v>152</v>
      </c>
      <c r="G64" s="66" t="s">
        <v>124</v>
      </c>
      <c r="H64" s="66" t="s">
        <v>296</v>
      </c>
      <c r="I64" s="66" t="s">
        <v>22</v>
      </c>
      <c r="J64" s="66" t="s">
        <v>23</v>
      </c>
      <c r="K64" s="66" t="s">
        <v>48</v>
      </c>
      <c r="L64" s="537">
        <f>L65</f>
        <v>258084</v>
      </c>
      <c r="M64" s="244">
        <f t="shared" si="12"/>
        <v>0</v>
      </c>
      <c r="N64" s="244">
        <f t="shared" si="12"/>
        <v>0</v>
      </c>
      <c r="O64" s="244">
        <f t="shared" si="12"/>
        <v>0</v>
      </c>
      <c r="P64" s="244">
        <f t="shared" si="12"/>
        <v>0</v>
      </c>
      <c r="Q64" s="244">
        <f t="shared" si="12"/>
        <v>0</v>
      </c>
      <c r="R64" s="244">
        <f t="shared" si="12"/>
        <v>0</v>
      </c>
      <c r="S64" s="244" t="e">
        <f>#REF!=SUM(L64:R64)</f>
        <v>#REF!</v>
      </c>
      <c r="T64" s="537">
        <f>T65</f>
        <v>31201.32</v>
      </c>
      <c r="U64" s="533">
        <f t="shared" si="1"/>
        <v>12.089598735295485</v>
      </c>
    </row>
    <row r="65" spans="1:21" ht="33" customHeight="1">
      <c r="A65" s="214" t="s">
        <v>742</v>
      </c>
      <c r="B65" s="307" t="s">
        <v>477</v>
      </c>
      <c r="C65" s="62" t="s">
        <v>478</v>
      </c>
      <c r="D65" s="146" t="s">
        <v>30</v>
      </c>
      <c r="E65" s="146" t="s">
        <v>27</v>
      </c>
      <c r="F65" s="146" t="s">
        <v>152</v>
      </c>
      <c r="G65" s="146" t="s">
        <v>124</v>
      </c>
      <c r="H65" s="146" t="s">
        <v>479</v>
      </c>
      <c r="I65" s="146" t="s">
        <v>147</v>
      </c>
      <c r="J65" s="146" t="s">
        <v>23</v>
      </c>
      <c r="K65" s="146" t="s">
        <v>48</v>
      </c>
      <c r="L65" s="538">
        <v>258084</v>
      </c>
      <c r="M65" s="236">
        <f aca="true" t="shared" si="14" ref="M65:R65">M68</f>
        <v>0</v>
      </c>
      <c r="N65" s="236">
        <f t="shared" si="14"/>
        <v>0</v>
      </c>
      <c r="O65" s="236">
        <f t="shared" si="14"/>
        <v>0</v>
      </c>
      <c r="P65" s="236">
        <f t="shared" si="14"/>
        <v>0</v>
      </c>
      <c r="Q65" s="236">
        <f t="shared" si="14"/>
        <v>0</v>
      </c>
      <c r="R65" s="236">
        <f t="shared" si="14"/>
        <v>0</v>
      </c>
      <c r="S65" s="236" t="e">
        <f>#REF!=SUM(L65:R65)</f>
        <v>#REF!</v>
      </c>
      <c r="T65" s="538">
        <v>31201.32</v>
      </c>
      <c r="U65" s="534">
        <f t="shared" si="1"/>
        <v>12.089598735295485</v>
      </c>
    </row>
    <row r="66" spans="1:21" ht="33" customHeight="1">
      <c r="A66" s="214"/>
      <c r="B66" s="62" t="s">
        <v>478</v>
      </c>
      <c r="C66" s="56" t="s">
        <v>49</v>
      </c>
      <c r="D66" s="66" t="s">
        <v>21</v>
      </c>
      <c r="E66" s="66" t="s">
        <v>27</v>
      </c>
      <c r="F66" s="66" t="s">
        <v>147</v>
      </c>
      <c r="G66" s="66" t="s">
        <v>22</v>
      </c>
      <c r="H66" s="66" t="s">
        <v>21</v>
      </c>
      <c r="I66" s="66" t="s">
        <v>22</v>
      </c>
      <c r="J66" s="66" t="s">
        <v>23</v>
      </c>
      <c r="K66" s="66" t="s">
        <v>21</v>
      </c>
      <c r="L66" s="541">
        <f>L67+L69</f>
        <v>500000</v>
      </c>
      <c r="M66" s="236"/>
      <c r="N66" s="236"/>
      <c r="O66" s="236"/>
      <c r="P66" s="236"/>
      <c r="Q66" s="236"/>
      <c r="R66" s="236"/>
      <c r="S66" s="236"/>
      <c r="T66" s="541">
        <f>T67+T69</f>
        <v>280203.87</v>
      </c>
      <c r="U66" s="534">
        <f t="shared" si="1"/>
        <v>56.040774000000006</v>
      </c>
    </row>
    <row r="67" spans="1:21" s="12" customFormat="1" ht="30.75" customHeight="1">
      <c r="A67" s="216" t="s">
        <v>743</v>
      </c>
      <c r="B67" s="56" t="s">
        <v>49</v>
      </c>
      <c r="C67" s="155" t="s">
        <v>210</v>
      </c>
      <c r="D67" s="66" t="s">
        <v>21</v>
      </c>
      <c r="E67" s="66" t="s">
        <v>27</v>
      </c>
      <c r="F67" s="66" t="s">
        <v>147</v>
      </c>
      <c r="G67" s="66" t="s">
        <v>124</v>
      </c>
      <c r="H67" s="66" t="s">
        <v>21</v>
      </c>
      <c r="I67" s="66" t="s">
        <v>22</v>
      </c>
      <c r="J67" s="66" t="s">
        <v>23</v>
      </c>
      <c r="K67" s="66" t="s">
        <v>21</v>
      </c>
      <c r="L67" s="541">
        <f>L68</f>
        <v>17214</v>
      </c>
      <c r="M67" s="234"/>
      <c r="N67" s="234"/>
      <c r="O67" s="234"/>
      <c r="P67" s="234"/>
      <c r="Q67" s="234"/>
      <c r="R67" s="234"/>
      <c r="S67" s="234" t="e">
        <f>#REF!=SUM(L67:R67)</f>
        <v>#REF!</v>
      </c>
      <c r="T67" s="541">
        <f>T68</f>
        <v>17214</v>
      </c>
      <c r="U67" s="533">
        <f t="shared" si="1"/>
        <v>100</v>
      </c>
    </row>
    <row r="68" spans="1:21" ht="61.5" customHeight="1">
      <c r="A68" s="216" t="s">
        <v>744</v>
      </c>
      <c r="B68" s="155" t="s">
        <v>210</v>
      </c>
      <c r="C68" s="152" t="s">
        <v>480</v>
      </c>
      <c r="D68" s="146" t="s">
        <v>30</v>
      </c>
      <c r="E68" s="146" t="s">
        <v>27</v>
      </c>
      <c r="F68" s="146" t="s">
        <v>147</v>
      </c>
      <c r="G68" s="146" t="s">
        <v>124</v>
      </c>
      <c r="H68" s="146" t="s">
        <v>481</v>
      </c>
      <c r="I68" s="146" t="s">
        <v>147</v>
      </c>
      <c r="J68" s="146" t="s">
        <v>23</v>
      </c>
      <c r="K68" s="146" t="s">
        <v>50</v>
      </c>
      <c r="L68" s="538">
        <v>17214</v>
      </c>
      <c r="M68" s="242"/>
      <c r="N68" s="242"/>
      <c r="O68" s="242"/>
      <c r="P68" s="242"/>
      <c r="Q68" s="242"/>
      <c r="R68" s="242"/>
      <c r="S68" s="242"/>
      <c r="T68" s="538">
        <v>17214</v>
      </c>
      <c r="U68" s="534">
        <f t="shared" si="1"/>
        <v>100</v>
      </c>
    </row>
    <row r="69" spans="1:21" s="14" customFormat="1" ht="39.75" customHeight="1">
      <c r="A69" s="214"/>
      <c r="B69" s="152" t="s">
        <v>480</v>
      </c>
      <c r="C69" s="138" t="s">
        <v>211</v>
      </c>
      <c r="D69" s="66" t="s">
        <v>21</v>
      </c>
      <c r="E69" s="66" t="s">
        <v>27</v>
      </c>
      <c r="F69" s="66" t="s">
        <v>147</v>
      </c>
      <c r="G69" s="66" t="s">
        <v>52</v>
      </c>
      <c r="H69" s="66" t="s">
        <v>21</v>
      </c>
      <c r="I69" s="66" t="s">
        <v>22</v>
      </c>
      <c r="J69" s="66" t="s">
        <v>23</v>
      </c>
      <c r="K69" s="66" t="s">
        <v>53</v>
      </c>
      <c r="L69" s="542">
        <f>L70+L72</f>
        <v>482786</v>
      </c>
      <c r="M69" s="233"/>
      <c r="N69" s="233"/>
      <c r="O69" s="233"/>
      <c r="P69" s="233"/>
      <c r="Q69" s="233"/>
      <c r="R69" s="233"/>
      <c r="S69" s="233"/>
      <c r="T69" s="542">
        <f>T70+T72</f>
        <v>262989.87</v>
      </c>
      <c r="U69" s="533">
        <f t="shared" si="1"/>
        <v>54.473383652384285</v>
      </c>
    </row>
    <row r="70" spans="1:21" s="12" customFormat="1" ht="30.75" customHeight="1">
      <c r="A70" s="308" t="s">
        <v>745</v>
      </c>
      <c r="B70" s="138" t="s">
        <v>211</v>
      </c>
      <c r="C70" s="152" t="s">
        <v>212</v>
      </c>
      <c r="D70" s="146" t="s">
        <v>21</v>
      </c>
      <c r="E70" s="146" t="s">
        <v>27</v>
      </c>
      <c r="F70" s="146" t="s">
        <v>147</v>
      </c>
      <c r="G70" s="146" t="s">
        <v>52</v>
      </c>
      <c r="H70" s="146" t="s">
        <v>28</v>
      </c>
      <c r="I70" s="146" t="s">
        <v>22</v>
      </c>
      <c r="J70" s="146" t="s">
        <v>23</v>
      </c>
      <c r="K70" s="156" t="s">
        <v>53</v>
      </c>
      <c r="L70" s="540">
        <f>L71</f>
        <v>408786</v>
      </c>
      <c r="M70" s="234"/>
      <c r="N70" s="234"/>
      <c r="O70" s="234"/>
      <c r="P70" s="234"/>
      <c r="Q70" s="234"/>
      <c r="R70" s="234"/>
      <c r="S70" s="234"/>
      <c r="T70" s="540">
        <f>T71</f>
        <v>189609.03</v>
      </c>
      <c r="U70" s="534">
        <f t="shared" si="1"/>
        <v>46.38344512776856</v>
      </c>
    </row>
    <row r="71" spans="1:21" s="12" customFormat="1" ht="33" customHeight="1">
      <c r="A71" s="222"/>
      <c r="B71" s="152" t="s">
        <v>212</v>
      </c>
      <c r="C71" s="157" t="s">
        <v>482</v>
      </c>
      <c r="D71" s="158" t="s">
        <v>30</v>
      </c>
      <c r="E71" s="158" t="s">
        <v>27</v>
      </c>
      <c r="F71" s="158" t="s">
        <v>147</v>
      </c>
      <c r="G71" s="158" t="s">
        <v>52</v>
      </c>
      <c r="H71" s="158" t="s">
        <v>462</v>
      </c>
      <c r="I71" s="158" t="s">
        <v>147</v>
      </c>
      <c r="J71" s="158" t="s">
        <v>23</v>
      </c>
      <c r="K71" s="158" t="s">
        <v>53</v>
      </c>
      <c r="L71" s="540">
        <v>408786</v>
      </c>
      <c r="M71" s="242"/>
      <c r="N71" s="242" t="e">
        <f>#REF!+#REF!</f>
        <v>#REF!</v>
      </c>
      <c r="O71" s="242" t="e">
        <f>#REF!+#REF!</f>
        <v>#REF!</v>
      </c>
      <c r="P71" s="242" t="e">
        <f>#REF!+#REF!</f>
        <v>#REF!</v>
      </c>
      <c r="Q71" s="242" t="e">
        <f>#REF!+#REF!</f>
        <v>#REF!</v>
      </c>
      <c r="R71" s="242" t="e">
        <f>#REF!+#REF!</f>
        <v>#REF!</v>
      </c>
      <c r="S71" s="242" t="e">
        <f>#REF!=SUM(L71:R71)</f>
        <v>#REF!</v>
      </c>
      <c r="T71" s="540">
        <v>189609.03</v>
      </c>
      <c r="U71" s="534">
        <f t="shared" si="1"/>
        <v>46.38344512776856</v>
      </c>
    </row>
    <row r="72" spans="1:21" s="13" customFormat="1" ht="51.75" customHeight="1">
      <c r="A72" s="219"/>
      <c r="B72" s="157" t="s">
        <v>482</v>
      </c>
      <c r="C72" s="62" t="s">
        <v>297</v>
      </c>
      <c r="D72" s="159" t="s">
        <v>21</v>
      </c>
      <c r="E72" s="159" t="s">
        <v>27</v>
      </c>
      <c r="F72" s="159" t="s">
        <v>147</v>
      </c>
      <c r="G72" s="159" t="s">
        <v>52</v>
      </c>
      <c r="H72" s="159" t="s">
        <v>30</v>
      </c>
      <c r="I72" s="159" t="s">
        <v>22</v>
      </c>
      <c r="J72" s="159" t="s">
        <v>23</v>
      </c>
      <c r="K72" s="159" t="s">
        <v>53</v>
      </c>
      <c r="L72" s="540">
        <f>L73</f>
        <v>74000</v>
      </c>
      <c r="M72" s="235"/>
      <c r="N72" s="235" t="e">
        <f>#REF!+#REF!</f>
        <v>#REF!</v>
      </c>
      <c r="O72" s="235" t="e">
        <f>#REF!+#REF!</f>
        <v>#REF!</v>
      </c>
      <c r="P72" s="235" t="e">
        <f>#REF!+#REF!</f>
        <v>#REF!</v>
      </c>
      <c r="Q72" s="235" t="e">
        <f>#REF!+#REF!</f>
        <v>#REF!</v>
      </c>
      <c r="R72" s="235" t="e">
        <f>#REF!+#REF!</f>
        <v>#REF!</v>
      </c>
      <c r="S72" s="235" t="e">
        <f>#REF!=SUM(L72:R72)</f>
        <v>#REF!</v>
      </c>
      <c r="T72" s="540">
        <f>T73</f>
        <v>73380.84</v>
      </c>
      <c r="U72" s="534">
        <f t="shared" si="1"/>
        <v>99.16329729729729</v>
      </c>
    </row>
    <row r="73" spans="1:21" s="13" customFormat="1" ht="51" customHeight="1">
      <c r="A73" s="214"/>
      <c r="B73" s="62" t="s">
        <v>297</v>
      </c>
      <c r="C73" s="152" t="s">
        <v>483</v>
      </c>
      <c r="D73" s="146" t="s">
        <v>30</v>
      </c>
      <c r="E73" s="146" t="s">
        <v>27</v>
      </c>
      <c r="F73" s="146" t="s">
        <v>147</v>
      </c>
      <c r="G73" s="146" t="s">
        <v>52</v>
      </c>
      <c r="H73" s="146" t="s">
        <v>70</v>
      </c>
      <c r="I73" s="146" t="s">
        <v>147</v>
      </c>
      <c r="J73" s="146" t="s">
        <v>23</v>
      </c>
      <c r="K73" s="146" t="s">
        <v>53</v>
      </c>
      <c r="L73" s="538">
        <v>74000</v>
      </c>
      <c r="M73" s="235"/>
      <c r="N73" s="235"/>
      <c r="O73" s="235"/>
      <c r="P73" s="235"/>
      <c r="Q73" s="235"/>
      <c r="R73" s="235"/>
      <c r="S73" s="235"/>
      <c r="T73" s="538">
        <v>73380.84</v>
      </c>
      <c r="U73" s="534">
        <f t="shared" si="1"/>
        <v>99.16329729729729</v>
      </c>
    </row>
    <row r="74" spans="1:21" s="13" customFormat="1" ht="27" customHeight="1">
      <c r="A74" s="216"/>
      <c r="B74" s="152" t="s">
        <v>483</v>
      </c>
      <c r="C74" s="56" t="s">
        <v>54</v>
      </c>
      <c r="D74" s="144" t="s">
        <v>21</v>
      </c>
      <c r="E74" s="66" t="s">
        <v>27</v>
      </c>
      <c r="F74" s="66" t="s">
        <v>55</v>
      </c>
      <c r="G74" s="66" t="s">
        <v>22</v>
      </c>
      <c r="H74" s="66" t="s">
        <v>21</v>
      </c>
      <c r="I74" s="66" t="s">
        <v>22</v>
      </c>
      <c r="J74" s="66" t="s">
        <v>23</v>
      </c>
      <c r="K74" s="66" t="s">
        <v>21</v>
      </c>
      <c r="L74" s="539">
        <f>L75+L90+L93+L97+L99+L101+L87</f>
        <v>987393</v>
      </c>
      <c r="M74" s="235"/>
      <c r="N74" s="235"/>
      <c r="O74" s="235"/>
      <c r="P74" s="235"/>
      <c r="Q74" s="235"/>
      <c r="R74" s="235"/>
      <c r="S74" s="235"/>
      <c r="T74" s="539">
        <f>T75+T90+T93+T97+T99+T101+T87</f>
        <v>1932905.54</v>
      </c>
      <c r="U74" s="533">
        <f t="shared" si="1"/>
        <v>195.75848117213715</v>
      </c>
    </row>
    <row r="75" spans="1:21" s="13" customFormat="1" ht="33" customHeight="1">
      <c r="A75" s="216" t="s">
        <v>746</v>
      </c>
      <c r="B75" s="56" t="s">
        <v>54</v>
      </c>
      <c r="C75" s="309" t="s">
        <v>346</v>
      </c>
      <c r="D75" s="160" t="s">
        <v>21</v>
      </c>
      <c r="E75" s="161" t="s">
        <v>27</v>
      </c>
      <c r="F75" s="161" t="s">
        <v>55</v>
      </c>
      <c r="G75" s="161" t="s">
        <v>117</v>
      </c>
      <c r="H75" s="161" t="s">
        <v>21</v>
      </c>
      <c r="I75" s="161" t="s">
        <v>117</v>
      </c>
      <c r="J75" s="161" t="s">
        <v>23</v>
      </c>
      <c r="K75" s="161" t="s">
        <v>56</v>
      </c>
      <c r="L75" s="540">
        <f>SUM(L76:L86)</f>
        <v>349140</v>
      </c>
      <c r="M75" s="245"/>
      <c r="N75" s="245"/>
      <c r="O75" s="245"/>
      <c r="P75" s="245"/>
      <c r="Q75" s="245"/>
      <c r="R75" s="245"/>
      <c r="S75" s="245"/>
      <c r="T75" s="540">
        <f>SUM(T76:T86)</f>
        <v>354917.18</v>
      </c>
      <c r="U75" s="534">
        <f t="shared" si="1"/>
        <v>101.65468866357334</v>
      </c>
    </row>
    <row r="76" spans="1:21" s="13" customFormat="1" ht="67.5" customHeight="1">
      <c r="A76" s="216" t="s">
        <v>747</v>
      </c>
      <c r="B76" s="309" t="s">
        <v>346</v>
      </c>
      <c r="C76" s="60" t="s">
        <v>787</v>
      </c>
      <c r="D76" s="146" t="s">
        <v>277</v>
      </c>
      <c r="E76" s="146" t="s">
        <v>27</v>
      </c>
      <c r="F76" s="146" t="s">
        <v>55</v>
      </c>
      <c r="G76" s="146" t="s">
        <v>117</v>
      </c>
      <c r="H76" s="146" t="s">
        <v>51</v>
      </c>
      <c r="I76" s="146" t="s">
        <v>117</v>
      </c>
      <c r="J76" s="146" t="s">
        <v>23</v>
      </c>
      <c r="K76" s="146" t="s">
        <v>56</v>
      </c>
      <c r="L76" s="540">
        <v>40</v>
      </c>
      <c r="M76" s="235"/>
      <c r="N76" s="235"/>
      <c r="O76" s="235"/>
      <c r="P76" s="235"/>
      <c r="Q76" s="235"/>
      <c r="R76" s="235"/>
      <c r="S76" s="235"/>
      <c r="T76" s="540">
        <v>34.35</v>
      </c>
      <c r="U76" s="534">
        <f t="shared" si="1"/>
        <v>85.875</v>
      </c>
    </row>
    <row r="77" spans="1:21" ht="87" customHeight="1">
      <c r="A77" s="215"/>
      <c r="B77" s="60" t="s">
        <v>484</v>
      </c>
      <c r="C77" s="60" t="s">
        <v>347</v>
      </c>
      <c r="D77" s="146" t="s">
        <v>277</v>
      </c>
      <c r="E77" s="146" t="s">
        <v>27</v>
      </c>
      <c r="F77" s="146" t="s">
        <v>55</v>
      </c>
      <c r="G77" s="146" t="s">
        <v>117</v>
      </c>
      <c r="H77" s="146" t="s">
        <v>298</v>
      </c>
      <c r="I77" s="146" t="s">
        <v>117</v>
      </c>
      <c r="J77" s="146" t="s">
        <v>23</v>
      </c>
      <c r="K77" s="146" t="s">
        <v>56</v>
      </c>
      <c r="L77" s="540">
        <v>7250</v>
      </c>
      <c r="M77" s="238" t="e">
        <f>M78+M90+#REF!+M93+M100+#REF!+M112+#REF!+#REF!</f>
        <v>#REF!</v>
      </c>
      <c r="N77" s="238" t="e">
        <f>N78+N90+#REF!+N93+N100+#REF!+N112+#REF!+#REF!</f>
        <v>#REF!</v>
      </c>
      <c r="O77" s="238" t="e">
        <f>O78+O90+#REF!+O93+O100+#REF!+O112+#REF!+#REF!</f>
        <v>#REF!</v>
      </c>
      <c r="P77" s="238" t="e">
        <f>P78+P90+#REF!+P93+P100+#REF!+P112+#REF!+#REF!</f>
        <v>#REF!</v>
      </c>
      <c r="Q77" s="238" t="e">
        <f>Q78+Q90+#REF!+Q93+Q100+#REF!+Q112+#REF!+#REF!</f>
        <v>#REF!</v>
      </c>
      <c r="R77" s="238" t="e">
        <f>R78+R90+#REF!+R93+R100+#REF!+R112+#REF!+#REF!</f>
        <v>#REF!</v>
      </c>
      <c r="S77" s="238" t="e">
        <f>S78+S90+#REF!+S93+S100+#REF!+S112+#REF!+#REF!</f>
        <v>#REF!</v>
      </c>
      <c r="T77" s="540">
        <v>6385.05</v>
      </c>
      <c r="U77" s="534">
        <f t="shared" si="1"/>
        <v>88.0696551724138</v>
      </c>
    </row>
    <row r="78" spans="1:21" ht="70.5" customHeight="1">
      <c r="A78" s="214"/>
      <c r="B78" s="60" t="s">
        <v>347</v>
      </c>
      <c r="C78" s="61" t="s">
        <v>348</v>
      </c>
      <c r="D78" s="146" t="s">
        <v>277</v>
      </c>
      <c r="E78" s="146" t="s">
        <v>27</v>
      </c>
      <c r="F78" s="146" t="s">
        <v>55</v>
      </c>
      <c r="G78" s="146" t="s">
        <v>117</v>
      </c>
      <c r="H78" s="146" t="s">
        <v>278</v>
      </c>
      <c r="I78" s="146" t="s">
        <v>117</v>
      </c>
      <c r="J78" s="146" t="s">
        <v>23</v>
      </c>
      <c r="K78" s="146" t="s">
        <v>56</v>
      </c>
      <c r="L78" s="543">
        <v>19000</v>
      </c>
      <c r="M78" s="246" t="e">
        <f>M80+#REF!</f>
        <v>#REF!</v>
      </c>
      <c r="N78" s="246" t="e">
        <f>N80+#REF!</f>
        <v>#REF!</v>
      </c>
      <c r="O78" s="246" t="e">
        <f>O80+#REF!</f>
        <v>#REF!</v>
      </c>
      <c r="P78" s="246" t="e">
        <f>P80+#REF!</f>
        <v>#REF!</v>
      </c>
      <c r="Q78" s="246" t="e">
        <f>Q80+#REF!</f>
        <v>#REF!</v>
      </c>
      <c r="R78" s="246" t="e">
        <f>R80+#REF!</f>
        <v>#REF!</v>
      </c>
      <c r="S78" s="246" t="e">
        <f>S80+#REF!</f>
        <v>#REF!</v>
      </c>
      <c r="T78" s="543">
        <v>25392</v>
      </c>
      <c r="U78" s="534">
        <f t="shared" si="1"/>
        <v>133.6421052631579</v>
      </c>
    </row>
    <row r="79" spans="1:21" ht="85.5" customHeight="1">
      <c r="A79" s="217"/>
      <c r="B79" s="61" t="s">
        <v>348</v>
      </c>
      <c r="C79" s="62" t="s">
        <v>349</v>
      </c>
      <c r="D79" s="146" t="s">
        <v>277</v>
      </c>
      <c r="E79" s="146" t="s">
        <v>27</v>
      </c>
      <c r="F79" s="146" t="s">
        <v>55</v>
      </c>
      <c r="G79" s="146" t="s">
        <v>117</v>
      </c>
      <c r="H79" s="146" t="s">
        <v>280</v>
      </c>
      <c r="I79" s="146" t="s">
        <v>117</v>
      </c>
      <c r="J79" s="146" t="s">
        <v>23</v>
      </c>
      <c r="K79" s="146" t="s">
        <v>56</v>
      </c>
      <c r="L79" s="543">
        <v>24590</v>
      </c>
      <c r="M79" s="232"/>
      <c r="N79" s="232"/>
      <c r="O79" s="232"/>
      <c r="P79" s="232"/>
      <c r="Q79" s="232"/>
      <c r="R79" s="232"/>
      <c r="S79" s="232"/>
      <c r="T79" s="543">
        <v>7000</v>
      </c>
      <c r="U79" s="534">
        <f t="shared" si="1"/>
        <v>28.466856445709638</v>
      </c>
    </row>
    <row r="80" spans="1:21" ht="83.25" customHeight="1">
      <c r="A80" s="223"/>
      <c r="B80" s="62" t="s">
        <v>349</v>
      </c>
      <c r="C80" s="310" t="s">
        <v>673</v>
      </c>
      <c r="D80" s="162" t="s">
        <v>277</v>
      </c>
      <c r="E80" s="162" t="s">
        <v>27</v>
      </c>
      <c r="F80" s="162" t="s">
        <v>55</v>
      </c>
      <c r="G80" s="162" t="s">
        <v>117</v>
      </c>
      <c r="H80" s="162" t="s">
        <v>672</v>
      </c>
      <c r="I80" s="162" t="s">
        <v>117</v>
      </c>
      <c r="J80" s="162" t="s">
        <v>23</v>
      </c>
      <c r="K80" s="162" t="s">
        <v>56</v>
      </c>
      <c r="L80" s="543">
        <v>7800</v>
      </c>
      <c r="M80" s="234"/>
      <c r="N80" s="234"/>
      <c r="O80" s="234"/>
      <c r="P80" s="234"/>
      <c r="Q80" s="234"/>
      <c r="R80" s="234"/>
      <c r="S80" s="234"/>
      <c r="T80" s="543">
        <v>7500</v>
      </c>
      <c r="U80" s="534">
        <f t="shared" si="1"/>
        <v>96.15384615384616</v>
      </c>
    </row>
    <row r="81" spans="1:21" ht="105" customHeight="1">
      <c r="A81" s="223"/>
      <c r="B81" s="310" t="s">
        <v>673</v>
      </c>
      <c r="C81" s="62" t="s">
        <v>350</v>
      </c>
      <c r="D81" s="162" t="s">
        <v>277</v>
      </c>
      <c r="E81" s="162" t="s">
        <v>27</v>
      </c>
      <c r="F81" s="162" t="s">
        <v>55</v>
      </c>
      <c r="G81" s="162" t="s">
        <v>117</v>
      </c>
      <c r="H81" s="162" t="s">
        <v>281</v>
      </c>
      <c r="I81" s="162" t="s">
        <v>117</v>
      </c>
      <c r="J81" s="162" t="s">
        <v>23</v>
      </c>
      <c r="K81" s="162" t="s">
        <v>56</v>
      </c>
      <c r="L81" s="543">
        <v>460</v>
      </c>
      <c r="M81" s="234"/>
      <c r="N81" s="234"/>
      <c r="O81" s="234"/>
      <c r="P81" s="234"/>
      <c r="Q81" s="234"/>
      <c r="R81" s="234"/>
      <c r="S81" s="234"/>
      <c r="T81" s="543">
        <v>150</v>
      </c>
      <c r="U81" s="534">
        <f t="shared" si="1"/>
        <v>32.608695652173914</v>
      </c>
    </row>
    <row r="82" spans="1:21" ht="60.75" customHeight="1">
      <c r="A82" s="223"/>
      <c r="B82" s="62" t="s">
        <v>350</v>
      </c>
      <c r="C82" s="62" t="s">
        <v>351</v>
      </c>
      <c r="D82" s="162" t="s">
        <v>277</v>
      </c>
      <c r="E82" s="162" t="s">
        <v>27</v>
      </c>
      <c r="F82" s="162" t="s">
        <v>55</v>
      </c>
      <c r="G82" s="162" t="s">
        <v>117</v>
      </c>
      <c r="H82" s="162" t="s">
        <v>352</v>
      </c>
      <c r="I82" s="162" t="s">
        <v>117</v>
      </c>
      <c r="J82" s="162" t="s">
        <v>23</v>
      </c>
      <c r="K82" s="162" t="s">
        <v>56</v>
      </c>
      <c r="L82" s="543">
        <v>64300</v>
      </c>
      <c r="M82" s="234"/>
      <c r="N82" s="234"/>
      <c r="O82" s="234"/>
      <c r="P82" s="234"/>
      <c r="Q82" s="234"/>
      <c r="R82" s="234"/>
      <c r="S82" s="234"/>
      <c r="T82" s="543">
        <v>0</v>
      </c>
      <c r="U82" s="534">
        <f t="shared" si="1"/>
        <v>0</v>
      </c>
    </row>
    <row r="83" spans="1:21" ht="63.75" customHeight="1">
      <c r="A83" s="223"/>
      <c r="B83" s="62" t="s">
        <v>351</v>
      </c>
      <c r="C83" s="62" t="s">
        <v>353</v>
      </c>
      <c r="D83" s="162" t="s">
        <v>277</v>
      </c>
      <c r="E83" s="162" t="s">
        <v>27</v>
      </c>
      <c r="F83" s="162" t="s">
        <v>55</v>
      </c>
      <c r="G83" s="162" t="s">
        <v>117</v>
      </c>
      <c r="H83" s="162" t="s">
        <v>299</v>
      </c>
      <c r="I83" s="162" t="s">
        <v>117</v>
      </c>
      <c r="J83" s="162" t="s">
        <v>23</v>
      </c>
      <c r="K83" s="162" t="s">
        <v>56</v>
      </c>
      <c r="L83" s="543">
        <v>5700</v>
      </c>
      <c r="M83" s="234"/>
      <c r="N83" s="234"/>
      <c r="O83" s="234"/>
      <c r="P83" s="234"/>
      <c r="Q83" s="234"/>
      <c r="R83" s="234"/>
      <c r="S83" s="234"/>
      <c r="T83" s="543">
        <v>6820.06</v>
      </c>
      <c r="U83" s="534">
        <f aca="true" t="shared" si="15" ref="U83:U154">T83/L83*100</f>
        <v>119.6501754385965</v>
      </c>
    </row>
    <row r="84" spans="1:21" ht="69.75" customHeight="1">
      <c r="A84" s="223"/>
      <c r="B84" s="62" t="s">
        <v>353</v>
      </c>
      <c r="C84" s="62" t="s">
        <v>354</v>
      </c>
      <c r="D84" s="162" t="s">
        <v>277</v>
      </c>
      <c r="E84" s="162" t="s">
        <v>27</v>
      </c>
      <c r="F84" s="162" t="s">
        <v>55</v>
      </c>
      <c r="G84" s="162" t="s">
        <v>117</v>
      </c>
      <c r="H84" s="162" t="s">
        <v>300</v>
      </c>
      <c r="I84" s="162" t="s">
        <v>117</v>
      </c>
      <c r="J84" s="162" t="s">
        <v>23</v>
      </c>
      <c r="K84" s="162" t="s">
        <v>56</v>
      </c>
      <c r="L84" s="543">
        <v>10000</v>
      </c>
      <c r="M84" s="234"/>
      <c r="N84" s="234"/>
      <c r="O84" s="234"/>
      <c r="P84" s="234"/>
      <c r="Q84" s="234"/>
      <c r="R84" s="234"/>
      <c r="S84" s="234"/>
      <c r="T84" s="543">
        <v>5086.69</v>
      </c>
      <c r="U84" s="534">
        <f t="shared" si="15"/>
        <v>50.866899999999994</v>
      </c>
    </row>
    <row r="85" spans="1:21" ht="90.75" customHeight="1">
      <c r="A85" s="217"/>
      <c r="B85" s="62" t="s">
        <v>354</v>
      </c>
      <c r="C85" s="60" t="s">
        <v>355</v>
      </c>
      <c r="D85" s="146" t="s">
        <v>277</v>
      </c>
      <c r="E85" s="146" t="s">
        <v>27</v>
      </c>
      <c r="F85" s="146" t="s">
        <v>55</v>
      </c>
      <c r="G85" s="146" t="s">
        <v>117</v>
      </c>
      <c r="H85" s="146" t="s">
        <v>282</v>
      </c>
      <c r="I85" s="146" t="s">
        <v>117</v>
      </c>
      <c r="J85" s="146" t="s">
        <v>23</v>
      </c>
      <c r="K85" s="146" t="s">
        <v>56</v>
      </c>
      <c r="L85" s="544">
        <v>182000</v>
      </c>
      <c r="M85" s="228" t="e">
        <f aca="true" t="shared" si="16" ref="M85:S85">M86+M98+M100+M103+M113</f>
        <v>#REF!</v>
      </c>
      <c r="N85" s="228" t="e">
        <f t="shared" si="16"/>
        <v>#REF!</v>
      </c>
      <c r="O85" s="228" t="e">
        <f t="shared" si="16"/>
        <v>#REF!</v>
      </c>
      <c r="P85" s="228" t="e">
        <f t="shared" si="16"/>
        <v>#REF!</v>
      </c>
      <c r="Q85" s="228" t="e">
        <f t="shared" si="16"/>
        <v>#REF!</v>
      </c>
      <c r="R85" s="228" t="e">
        <f t="shared" si="16"/>
        <v>#REF!</v>
      </c>
      <c r="S85" s="228" t="e">
        <f t="shared" si="16"/>
        <v>#REF!</v>
      </c>
      <c r="T85" s="544">
        <v>257796.16</v>
      </c>
      <c r="U85" s="534">
        <f t="shared" si="15"/>
        <v>141.64624175824176</v>
      </c>
    </row>
    <row r="86" spans="1:21" ht="87.75" customHeight="1">
      <c r="A86" s="223"/>
      <c r="B86" s="60" t="s">
        <v>355</v>
      </c>
      <c r="C86" s="60" t="s">
        <v>356</v>
      </c>
      <c r="D86" s="146" t="s">
        <v>30</v>
      </c>
      <c r="E86" s="146" t="s">
        <v>27</v>
      </c>
      <c r="F86" s="146" t="s">
        <v>55</v>
      </c>
      <c r="G86" s="146" t="s">
        <v>117</v>
      </c>
      <c r="H86" s="146" t="s">
        <v>301</v>
      </c>
      <c r="I86" s="146" t="s">
        <v>117</v>
      </c>
      <c r="J86" s="146" t="s">
        <v>23</v>
      </c>
      <c r="K86" s="146" t="s">
        <v>56</v>
      </c>
      <c r="L86" s="544">
        <v>28000</v>
      </c>
      <c r="M86" s="229" t="e">
        <f aca="true" t="shared" si="17" ref="M86:S86">SUM(M87:M97)</f>
        <v>#REF!</v>
      </c>
      <c r="N86" s="229" t="e">
        <f t="shared" si="17"/>
        <v>#REF!</v>
      </c>
      <c r="O86" s="229" t="e">
        <f t="shared" si="17"/>
        <v>#REF!</v>
      </c>
      <c r="P86" s="229" t="e">
        <f t="shared" si="17"/>
        <v>#REF!</v>
      </c>
      <c r="Q86" s="229" t="e">
        <f t="shared" si="17"/>
        <v>#REF!</v>
      </c>
      <c r="R86" s="229" t="e">
        <f t="shared" si="17"/>
        <v>#REF!</v>
      </c>
      <c r="S86" s="229" t="e">
        <f t="shared" si="17"/>
        <v>#REF!</v>
      </c>
      <c r="T86" s="544">
        <v>38752.87</v>
      </c>
      <c r="U86" s="534">
        <f t="shared" si="15"/>
        <v>138.40310714285715</v>
      </c>
    </row>
    <row r="87" spans="1:21" ht="36" customHeight="1">
      <c r="A87" s="223"/>
      <c r="B87" s="60" t="s">
        <v>356</v>
      </c>
      <c r="C87" s="311" t="s">
        <v>675</v>
      </c>
      <c r="D87" s="160" t="s">
        <v>21</v>
      </c>
      <c r="E87" s="160" t="s">
        <v>27</v>
      </c>
      <c r="F87" s="160" t="s">
        <v>55</v>
      </c>
      <c r="G87" s="160" t="s">
        <v>124</v>
      </c>
      <c r="H87" s="160" t="s">
        <v>21</v>
      </c>
      <c r="I87" s="160" t="s">
        <v>124</v>
      </c>
      <c r="J87" s="160" t="s">
        <v>23</v>
      </c>
      <c r="K87" s="160" t="s">
        <v>56</v>
      </c>
      <c r="L87" s="536">
        <f>SUM(L88:L89)</f>
        <v>5000</v>
      </c>
      <c r="M87" s="234"/>
      <c r="N87" s="234"/>
      <c r="O87" s="234"/>
      <c r="P87" s="234"/>
      <c r="Q87" s="234"/>
      <c r="R87" s="234"/>
      <c r="S87" s="234"/>
      <c r="T87" s="536">
        <f>SUM(T88:T89)</f>
        <v>14000</v>
      </c>
      <c r="U87" s="533">
        <f t="shared" si="15"/>
        <v>280</v>
      </c>
    </row>
    <row r="88" spans="1:21" ht="46.5" customHeight="1">
      <c r="A88" s="216" t="s">
        <v>748</v>
      </c>
      <c r="B88" s="311" t="s">
        <v>675</v>
      </c>
      <c r="C88" s="312" t="s">
        <v>786</v>
      </c>
      <c r="D88" s="146" t="s">
        <v>30</v>
      </c>
      <c r="E88" s="146" t="s">
        <v>27</v>
      </c>
      <c r="F88" s="146" t="s">
        <v>55</v>
      </c>
      <c r="G88" s="146" t="s">
        <v>124</v>
      </c>
      <c r="H88" s="146" t="s">
        <v>28</v>
      </c>
      <c r="I88" s="146" t="s">
        <v>124</v>
      </c>
      <c r="J88" s="146" t="s">
        <v>23</v>
      </c>
      <c r="K88" s="146" t="s">
        <v>56</v>
      </c>
      <c r="L88" s="544">
        <v>0</v>
      </c>
      <c r="M88" s="234"/>
      <c r="N88" s="234"/>
      <c r="O88" s="234"/>
      <c r="P88" s="234"/>
      <c r="Q88" s="234"/>
      <c r="R88" s="234"/>
      <c r="S88" s="234"/>
      <c r="T88" s="544">
        <v>0</v>
      </c>
      <c r="U88" s="534" t="e">
        <f t="shared" si="15"/>
        <v>#DIV/0!</v>
      </c>
    </row>
    <row r="89" spans="1:21" ht="50.25" customHeight="1">
      <c r="A89" s="223"/>
      <c r="B89" s="312" t="s">
        <v>674</v>
      </c>
      <c r="C89" s="312" t="s">
        <v>674</v>
      </c>
      <c r="D89" s="146" t="s">
        <v>30</v>
      </c>
      <c r="E89" s="146" t="s">
        <v>27</v>
      </c>
      <c r="F89" s="146" t="s">
        <v>55</v>
      </c>
      <c r="G89" s="146" t="s">
        <v>124</v>
      </c>
      <c r="H89" s="146" t="s">
        <v>30</v>
      </c>
      <c r="I89" s="146" t="s">
        <v>124</v>
      </c>
      <c r="J89" s="146" t="s">
        <v>23</v>
      </c>
      <c r="K89" s="146" t="s">
        <v>56</v>
      </c>
      <c r="L89" s="544">
        <v>5000</v>
      </c>
      <c r="M89" s="234"/>
      <c r="N89" s="234"/>
      <c r="O89" s="234"/>
      <c r="P89" s="234"/>
      <c r="Q89" s="234"/>
      <c r="R89" s="234"/>
      <c r="S89" s="234"/>
      <c r="T89" s="544">
        <v>14000</v>
      </c>
      <c r="U89" s="534">
        <f t="shared" si="15"/>
        <v>280</v>
      </c>
    </row>
    <row r="90" spans="1:21" ht="102" customHeight="1">
      <c r="A90" s="216" t="s">
        <v>749</v>
      </c>
      <c r="B90" s="224" t="s">
        <v>357</v>
      </c>
      <c r="C90" s="224" t="s">
        <v>357</v>
      </c>
      <c r="D90" s="160" t="s">
        <v>21</v>
      </c>
      <c r="E90" s="160" t="s">
        <v>27</v>
      </c>
      <c r="F90" s="160" t="s">
        <v>55</v>
      </c>
      <c r="G90" s="160" t="s">
        <v>118</v>
      </c>
      <c r="H90" s="160" t="s">
        <v>21</v>
      </c>
      <c r="I90" s="160" t="s">
        <v>123</v>
      </c>
      <c r="J90" s="160" t="s">
        <v>23</v>
      </c>
      <c r="K90" s="160" t="s">
        <v>56</v>
      </c>
      <c r="L90" s="536">
        <f>SUM(L91:L92)</f>
        <v>89253</v>
      </c>
      <c r="M90" s="246">
        <f aca="true" t="shared" si="18" ref="M90:S90">M92</f>
        <v>0</v>
      </c>
      <c r="N90" s="246">
        <f t="shared" si="18"/>
        <v>0</v>
      </c>
      <c r="O90" s="246">
        <f t="shared" si="18"/>
        <v>0</v>
      </c>
      <c r="P90" s="246">
        <f t="shared" si="18"/>
        <v>0</v>
      </c>
      <c r="Q90" s="246">
        <f t="shared" si="18"/>
        <v>0</v>
      </c>
      <c r="R90" s="246">
        <f t="shared" si="18"/>
        <v>0</v>
      </c>
      <c r="S90" s="246">
        <f t="shared" si="18"/>
        <v>0</v>
      </c>
      <c r="T90" s="536">
        <f>SUM(T91:T92)</f>
        <v>836803.1799999999</v>
      </c>
      <c r="U90" s="533">
        <f t="shared" si="15"/>
        <v>937.5630847142393</v>
      </c>
    </row>
    <row r="91" spans="1:21" ht="66" customHeight="1">
      <c r="A91" s="217"/>
      <c r="B91" s="62" t="s">
        <v>485</v>
      </c>
      <c r="C91" s="62" t="s">
        <v>485</v>
      </c>
      <c r="D91" s="146" t="s">
        <v>30</v>
      </c>
      <c r="E91" s="146" t="s">
        <v>27</v>
      </c>
      <c r="F91" s="146" t="s">
        <v>55</v>
      </c>
      <c r="G91" s="146" t="s">
        <v>118</v>
      </c>
      <c r="H91" s="146" t="s">
        <v>28</v>
      </c>
      <c r="I91" s="146" t="s">
        <v>147</v>
      </c>
      <c r="J91" s="146" t="s">
        <v>23</v>
      </c>
      <c r="K91" s="146" t="s">
        <v>56</v>
      </c>
      <c r="L91" s="544">
        <v>62000</v>
      </c>
      <c r="M91" s="234"/>
      <c r="N91" s="234"/>
      <c r="O91" s="234"/>
      <c r="P91" s="234"/>
      <c r="Q91" s="234"/>
      <c r="R91" s="234"/>
      <c r="S91" s="234"/>
      <c r="T91" s="544">
        <v>93918.86</v>
      </c>
      <c r="U91" s="534">
        <f>T91/L91*100</f>
        <v>151.48203225806452</v>
      </c>
    </row>
    <row r="92" spans="1:21" ht="60" customHeight="1">
      <c r="A92" s="217"/>
      <c r="B92" s="62" t="s">
        <v>750</v>
      </c>
      <c r="C92" s="62" t="s">
        <v>750</v>
      </c>
      <c r="D92" s="146" t="s">
        <v>30</v>
      </c>
      <c r="E92" s="146" t="s">
        <v>27</v>
      </c>
      <c r="F92" s="146" t="s">
        <v>55</v>
      </c>
      <c r="G92" s="146" t="s">
        <v>118</v>
      </c>
      <c r="H92" s="146" t="s">
        <v>302</v>
      </c>
      <c r="I92" s="146" t="s">
        <v>147</v>
      </c>
      <c r="J92" s="146" t="s">
        <v>23</v>
      </c>
      <c r="K92" s="146" t="s">
        <v>56</v>
      </c>
      <c r="L92" s="544">
        <v>27253</v>
      </c>
      <c r="M92" s="234"/>
      <c r="N92" s="234"/>
      <c r="O92" s="234"/>
      <c r="P92" s="234"/>
      <c r="Q92" s="234"/>
      <c r="R92" s="234"/>
      <c r="S92" s="234"/>
      <c r="T92" s="544">
        <v>742884.32</v>
      </c>
      <c r="U92" s="534">
        <f t="shared" si="15"/>
        <v>2725.880893846549</v>
      </c>
    </row>
    <row r="93" spans="1:21" ht="28.5" customHeight="1">
      <c r="A93" s="216" t="s">
        <v>751</v>
      </c>
      <c r="B93" s="138" t="s">
        <v>486</v>
      </c>
      <c r="C93" s="138" t="s">
        <v>486</v>
      </c>
      <c r="D93" s="66" t="s">
        <v>21</v>
      </c>
      <c r="E93" s="66" t="s">
        <v>27</v>
      </c>
      <c r="F93" s="66" t="s">
        <v>55</v>
      </c>
      <c r="G93" s="66" t="s">
        <v>122</v>
      </c>
      <c r="H93" s="66" t="s">
        <v>21</v>
      </c>
      <c r="I93" s="66" t="s">
        <v>22</v>
      </c>
      <c r="J93" s="66" t="s">
        <v>23</v>
      </c>
      <c r="K93" s="66" t="s">
        <v>56</v>
      </c>
      <c r="L93" s="536">
        <f>L94</f>
        <v>30000</v>
      </c>
      <c r="M93" s="246" t="e">
        <f>M95+#REF!</f>
        <v>#REF!</v>
      </c>
      <c r="N93" s="246" t="e">
        <f>N95+#REF!</f>
        <v>#REF!</v>
      </c>
      <c r="O93" s="246" t="e">
        <f>O95+#REF!</f>
        <v>#REF!</v>
      </c>
      <c r="P93" s="246" t="e">
        <f>P95+#REF!</f>
        <v>#REF!</v>
      </c>
      <c r="Q93" s="246" t="e">
        <f>Q95+#REF!</f>
        <v>#REF!</v>
      </c>
      <c r="R93" s="246" t="e">
        <f>R95+#REF!</f>
        <v>#REF!</v>
      </c>
      <c r="S93" s="246" t="e">
        <f>S95+#REF!</f>
        <v>#REF!</v>
      </c>
      <c r="T93" s="536">
        <f>T94</f>
        <v>53257.12</v>
      </c>
      <c r="U93" s="533">
        <f t="shared" si="15"/>
        <v>177.52373333333333</v>
      </c>
    </row>
    <row r="94" spans="1:21" ht="81" customHeight="1">
      <c r="A94" s="216" t="s">
        <v>752</v>
      </c>
      <c r="B94" s="224" t="s">
        <v>358</v>
      </c>
      <c r="C94" s="224" t="s">
        <v>358</v>
      </c>
      <c r="D94" s="66" t="s">
        <v>21</v>
      </c>
      <c r="E94" s="66" t="s">
        <v>27</v>
      </c>
      <c r="F94" s="66" t="s">
        <v>55</v>
      </c>
      <c r="G94" s="66" t="s">
        <v>122</v>
      </c>
      <c r="H94" s="66" t="s">
        <v>32</v>
      </c>
      <c r="I94" s="66" t="s">
        <v>123</v>
      </c>
      <c r="J94" s="66" t="s">
        <v>23</v>
      </c>
      <c r="K94" s="66" t="s">
        <v>56</v>
      </c>
      <c r="L94" s="545">
        <f>L95+L96</f>
        <v>30000</v>
      </c>
      <c r="M94" s="247"/>
      <c r="N94" s="247"/>
      <c r="O94" s="247"/>
      <c r="P94" s="247"/>
      <c r="Q94" s="247"/>
      <c r="R94" s="247"/>
      <c r="S94" s="247"/>
      <c r="T94" s="545">
        <f>T95+T96</f>
        <v>53257.12</v>
      </c>
      <c r="U94" s="533">
        <f t="shared" si="15"/>
        <v>177.52373333333333</v>
      </c>
    </row>
    <row r="95" spans="1:21" ht="49.5" customHeight="1">
      <c r="A95" s="217"/>
      <c r="B95" s="62" t="s">
        <v>487</v>
      </c>
      <c r="C95" s="62" t="s">
        <v>487</v>
      </c>
      <c r="D95" s="146" t="s">
        <v>30</v>
      </c>
      <c r="E95" s="146" t="s">
        <v>27</v>
      </c>
      <c r="F95" s="146" t="s">
        <v>55</v>
      </c>
      <c r="G95" s="146" t="s">
        <v>122</v>
      </c>
      <c r="H95" s="146" t="s">
        <v>359</v>
      </c>
      <c r="I95" s="146" t="s">
        <v>147</v>
      </c>
      <c r="J95" s="146" t="s">
        <v>23</v>
      </c>
      <c r="K95" s="146" t="s">
        <v>56</v>
      </c>
      <c r="L95" s="544">
        <v>1000</v>
      </c>
      <c r="M95" s="234"/>
      <c r="N95" s="234"/>
      <c r="O95" s="234"/>
      <c r="P95" s="234"/>
      <c r="Q95" s="234"/>
      <c r="R95" s="234"/>
      <c r="S95" s="234"/>
      <c r="T95" s="544">
        <v>4496.22</v>
      </c>
      <c r="U95" s="534">
        <f t="shared" si="15"/>
        <v>449.622</v>
      </c>
    </row>
    <row r="96" spans="1:21" ht="66" customHeight="1">
      <c r="A96" s="223"/>
      <c r="B96" s="62" t="s">
        <v>676</v>
      </c>
      <c r="C96" s="62" t="s">
        <v>676</v>
      </c>
      <c r="D96" s="146" t="s">
        <v>30</v>
      </c>
      <c r="E96" s="146" t="s">
        <v>27</v>
      </c>
      <c r="F96" s="146" t="s">
        <v>55</v>
      </c>
      <c r="G96" s="146" t="s">
        <v>122</v>
      </c>
      <c r="H96" s="146" t="s">
        <v>459</v>
      </c>
      <c r="I96" s="146" t="s">
        <v>147</v>
      </c>
      <c r="J96" s="146" t="s">
        <v>23</v>
      </c>
      <c r="K96" s="146" t="s">
        <v>56</v>
      </c>
      <c r="L96" s="544">
        <v>29000</v>
      </c>
      <c r="M96" s="247"/>
      <c r="N96" s="247"/>
      <c r="O96" s="247"/>
      <c r="P96" s="247"/>
      <c r="Q96" s="247"/>
      <c r="R96" s="247"/>
      <c r="S96" s="247"/>
      <c r="T96" s="544">
        <v>48760.9</v>
      </c>
      <c r="U96" s="534">
        <f t="shared" si="15"/>
        <v>168.14103448275864</v>
      </c>
    </row>
    <row r="97" spans="1:21" ht="108" customHeight="1">
      <c r="A97" s="216" t="s">
        <v>753</v>
      </c>
      <c r="B97" s="138" t="s">
        <v>360</v>
      </c>
      <c r="C97" s="63" t="s">
        <v>360</v>
      </c>
      <c r="D97" s="160" t="s">
        <v>21</v>
      </c>
      <c r="E97" s="160" t="s">
        <v>27</v>
      </c>
      <c r="F97" s="160" t="s">
        <v>55</v>
      </c>
      <c r="G97" s="160" t="s">
        <v>122</v>
      </c>
      <c r="H97" s="160" t="s">
        <v>283</v>
      </c>
      <c r="I97" s="160" t="s">
        <v>117</v>
      </c>
      <c r="J97" s="160" t="s">
        <v>23</v>
      </c>
      <c r="K97" s="160" t="s">
        <v>56</v>
      </c>
      <c r="L97" s="536">
        <f>L98</f>
        <v>37000</v>
      </c>
      <c r="M97" s="234"/>
      <c r="N97" s="234"/>
      <c r="O97" s="234"/>
      <c r="P97" s="234"/>
      <c r="Q97" s="234"/>
      <c r="R97" s="234"/>
      <c r="S97" s="234"/>
      <c r="T97" s="536">
        <f>T98</f>
        <v>0</v>
      </c>
      <c r="U97" s="533">
        <f t="shared" si="15"/>
        <v>0</v>
      </c>
    </row>
    <row r="98" spans="1:21" ht="116.25" customHeight="1">
      <c r="A98" s="217"/>
      <c r="B98" s="62" t="s">
        <v>360</v>
      </c>
      <c r="C98" s="62" t="s">
        <v>360</v>
      </c>
      <c r="D98" s="146" t="s">
        <v>30</v>
      </c>
      <c r="E98" s="146" t="s">
        <v>27</v>
      </c>
      <c r="F98" s="146" t="s">
        <v>55</v>
      </c>
      <c r="G98" s="146" t="s">
        <v>122</v>
      </c>
      <c r="H98" s="146" t="s">
        <v>283</v>
      </c>
      <c r="I98" s="146" t="s">
        <v>117</v>
      </c>
      <c r="J98" s="146" t="s">
        <v>783</v>
      </c>
      <c r="K98" s="146" t="s">
        <v>56</v>
      </c>
      <c r="L98" s="544">
        <v>37000</v>
      </c>
      <c r="M98" s="230">
        <f aca="true" t="shared" si="19" ref="M98:S98">M99</f>
        <v>0</v>
      </c>
      <c r="N98" s="230">
        <f t="shared" si="19"/>
        <v>0</v>
      </c>
      <c r="O98" s="230">
        <f t="shared" si="19"/>
        <v>0</v>
      </c>
      <c r="P98" s="230">
        <f t="shared" si="19"/>
        <v>0</v>
      </c>
      <c r="Q98" s="230">
        <f t="shared" si="19"/>
        <v>0</v>
      </c>
      <c r="R98" s="230">
        <f t="shared" si="19"/>
        <v>0</v>
      </c>
      <c r="S98" s="230">
        <f t="shared" si="19"/>
        <v>0</v>
      </c>
      <c r="T98" s="544">
        <v>0</v>
      </c>
      <c r="U98" s="534">
        <f>T98/L98*100</f>
        <v>0</v>
      </c>
    </row>
    <row r="99" spans="1:21" ht="66" customHeight="1">
      <c r="A99" s="216" t="s">
        <v>754</v>
      </c>
      <c r="B99" s="63" t="s">
        <v>284</v>
      </c>
      <c r="C99" s="63" t="s">
        <v>284</v>
      </c>
      <c r="D99" s="160" t="s">
        <v>21</v>
      </c>
      <c r="E99" s="160" t="s">
        <v>27</v>
      </c>
      <c r="F99" s="160" t="s">
        <v>55</v>
      </c>
      <c r="G99" s="160" t="s">
        <v>122</v>
      </c>
      <c r="H99" s="160" t="s">
        <v>178</v>
      </c>
      <c r="I99" s="160" t="s">
        <v>117</v>
      </c>
      <c r="J99" s="160" t="s">
        <v>783</v>
      </c>
      <c r="K99" s="160" t="s">
        <v>56</v>
      </c>
      <c r="L99" s="536">
        <f>L100</f>
        <v>7000</v>
      </c>
      <c r="M99" s="234"/>
      <c r="N99" s="234"/>
      <c r="O99" s="234"/>
      <c r="P99" s="234"/>
      <c r="Q99" s="234"/>
      <c r="R99" s="234"/>
      <c r="S99" s="234"/>
      <c r="T99" s="536">
        <f>T100</f>
        <v>-1984.53</v>
      </c>
      <c r="U99" s="533">
        <f>T99/L99*100</f>
        <v>-28.35042857142857</v>
      </c>
    </row>
    <row r="100" spans="1:21" ht="66" customHeight="1">
      <c r="A100" s="223"/>
      <c r="B100" s="163" t="s">
        <v>284</v>
      </c>
      <c r="C100" s="163" t="s">
        <v>284</v>
      </c>
      <c r="D100" s="146" t="s">
        <v>269</v>
      </c>
      <c r="E100" s="146" t="s">
        <v>27</v>
      </c>
      <c r="F100" s="146" t="s">
        <v>55</v>
      </c>
      <c r="G100" s="146" t="s">
        <v>122</v>
      </c>
      <c r="H100" s="146" t="s">
        <v>178</v>
      </c>
      <c r="I100" s="146" t="s">
        <v>117</v>
      </c>
      <c r="J100" s="146" t="s">
        <v>23</v>
      </c>
      <c r="K100" s="146" t="s">
        <v>56</v>
      </c>
      <c r="L100" s="544">
        <v>7000</v>
      </c>
      <c r="M100" s="246">
        <f aca="true" t="shared" si="20" ref="M100:S100">M101+M102</f>
        <v>0</v>
      </c>
      <c r="N100" s="246">
        <f t="shared" si="20"/>
        <v>0</v>
      </c>
      <c r="O100" s="246">
        <f t="shared" si="20"/>
        <v>0</v>
      </c>
      <c r="P100" s="246">
        <f t="shared" si="20"/>
        <v>0</v>
      </c>
      <c r="Q100" s="246">
        <f t="shared" si="20"/>
        <v>0</v>
      </c>
      <c r="R100" s="246">
        <f t="shared" si="20"/>
        <v>0</v>
      </c>
      <c r="S100" s="246">
        <f t="shared" si="20"/>
        <v>0</v>
      </c>
      <c r="T100" s="544">
        <v>-1984.53</v>
      </c>
      <c r="U100" s="534">
        <f t="shared" si="15"/>
        <v>-28.35042857142857</v>
      </c>
    </row>
    <row r="101" spans="1:21" ht="23.25" customHeight="1">
      <c r="A101" s="216" t="s">
        <v>755</v>
      </c>
      <c r="B101" s="164" t="s">
        <v>488</v>
      </c>
      <c r="C101" s="164" t="s">
        <v>488</v>
      </c>
      <c r="D101" s="66" t="s">
        <v>21</v>
      </c>
      <c r="E101" s="66" t="s">
        <v>27</v>
      </c>
      <c r="F101" s="66" t="s">
        <v>55</v>
      </c>
      <c r="G101" s="66" t="s">
        <v>145</v>
      </c>
      <c r="H101" s="66" t="s">
        <v>21</v>
      </c>
      <c r="I101" s="66" t="s">
        <v>117</v>
      </c>
      <c r="J101" s="66" t="s">
        <v>23</v>
      </c>
      <c r="K101" s="66" t="s">
        <v>56</v>
      </c>
      <c r="L101" s="536">
        <f>L102</f>
        <v>470000</v>
      </c>
      <c r="M101" s="234"/>
      <c r="N101" s="234"/>
      <c r="O101" s="234"/>
      <c r="P101" s="234"/>
      <c r="Q101" s="234"/>
      <c r="R101" s="234"/>
      <c r="S101" s="234"/>
      <c r="T101" s="536">
        <f>T102</f>
        <v>675912.59</v>
      </c>
      <c r="U101" s="533">
        <f t="shared" si="15"/>
        <v>143.8111893617021</v>
      </c>
    </row>
    <row r="102" spans="1:21" ht="90" customHeight="1">
      <c r="A102" s="216" t="s">
        <v>756</v>
      </c>
      <c r="B102" s="64" t="s">
        <v>361</v>
      </c>
      <c r="C102" s="64" t="s">
        <v>361</v>
      </c>
      <c r="D102" s="160" t="s">
        <v>21</v>
      </c>
      <c r="E102" s="160" t="s">
        <v>27</v>
      </c>
      <c r="F102" s="160" t="s">
        <v>55</v>
      </c>
      <c r="G102" s="160" t="s">
        <v>145</v>
      </c>
      <c r="H102" s="160" t="s">
        <v>42</v>
      </c>
      <c r="I102" s="160" t="s">
        <v>117</v>
      </c>
      <c r="J102" s="160" t="s">
        <v>23</v>
      </c>
      <c r="K102" s="160" t="s">
        <v>56</v>
      </c>
      <c r="L102" s="536">
        <f>L103</f>
        <v>470000</v>
      </c>
      <c r="M102" s="234"/>
      <c r="N102" s="234"/>
      <c r="O102" s="234"/>
      <c r="P102" s="234"/>
      <c r="Q102" s="234"/>
      <c r="R102" s="234"/>
      <c r="S102" s="234"/>
      <c r="T102" s="536">
        <f>T103</f>
        <v>675912.59</v>
      </c>
      <c r="U102" s="533">
        <f t="shared" si="15"/>
        <v>143.8111893617021</v>
      </c>
    </row>
    <row r="103" spans="1:21" ht="79.5" customHeight="1">
      <c r="A103" s="214"/>
      <c r="B103" s="65" t="s">
        <v>361</v>
      </c>
      <c r="C103" s="65" t="s">
        <v>361</v>
      </c>
      <c r="D103" s="146" t="s">
        <v>279</v>
      </c>
      <c r="E103" s="146" t="s">
        <v>27</v>
      </c>
      <c r="F103" s="146" t="s">
        <v>55</v>
      </c>
      <c r="G103" s="146" t="s">
        <v>145</v>
      </c>
      <c r="H103" s="146" t="s">
        <v>42</v>
      </c>
      <c r="I103" s="146" t="s">
        <v>117</v>
      </c>
      <c r="J103" s="146" t="s">
        <v>783</v>
      </c>
      <c r="K103" s="146" t="s">
        <v>56</v>
      </c>
      <c r="L103" s="544">
        <v>470000</v>
      </c>
      <c r="M103" s="234"/>
      <c r="N103" s="234"/>
      <c r="O103" s="234"/>
      <c r="P103" s="234"/>
      <c r="Q103" s="234"/>
      <c r="R103" s="234"/>
      <c r="S103" s="234"/>
      <c r="T103" s="544">
        <v>675912.59</v>
      </c>
      <c r="U103" s="534">
        <f t="shared" si="15"/>
        <v>143.8111893617021</v>
      </c>
    </row>
    <row r="104" spans="1:21" ht="27" customHeight="1">
      <c r="A104" s="214" t="s">
        <v>757</v>
      </c>
      <c r="B104" s="165" t="s">
        <v>58</v>
      </c>
      <c r="C104" s="165" t="s">
        <v>58</v>
      </c>
      <c r="D104" s="166" t="s">
        <v>21</v>
      </c>
      <c r="E104" s="166" t="s">
        <v>27</v>
      </c>
      <c r="F104" s="166" t="s">
        <v>59</v>
      </c>
      <c r="G104" s="166" t="s">
        <v>22</v>
      </c>
      <c r="H104" s="166" t="s">
        <v>21</v>
      </c>
      <c r="I104" s="166" t="s">
        <v>22</v>
      </c>
      <c r="J104" s="166" t="s">
        <v>23</v>
      </c>
      <c r="K104" s="166" t="s">
        <v>21</v>
      </c>
      <c r="L104" s="537">
        <f>L105+L107</f>
        <v>128000</v>
      </c>
      <c r="M104" s="537">
        <f aca="true" t="shared" si="21" ref="M104:T104">M105+M107</f>
        <v>0</v>
      </c>
      <c r="N104" s="537">
        <f t="shared" si="21"/>
        <v>0</v>
      </c>
      <c r="O104" s="537">
        <f t="shared" si="21"/>
        <v>0</v>
      </c>
      <c r="P104" s="537">
        <f t="shared" si="21"/>
        <v>0</v>
      </c>
      <c r="Q104" s="537">
        <f t="shared" si="21"/>
        <v>0</v>
      </c>
      <c r="R104" s="537">
        <f t="shared" si="21"/>
        <v>0</v>
      </c>
      <c r="S104" s="537">
        <f t="shared" si="21"/>
        <v>0</v>
      </c>
      <c r="T104" s="537">
        <f t="shared" si="21"/>
        <v>244510.91999999998</v>
      </c>
      <c r="U104" s="533">
        <f t="shared" si="15"/>
        <v>191.02415624999998</v>
      </c>
    </row>
    <row r="105" spans="1:21" ht="27" customHeight="1">
      <c r="A105" s="214"/>
      <c r="B105" s="165"/>
      <c r="C105" s="165" t="s">
        <v>222</v>
      </c>
      <c r="D105" s="66" t="s">
        <v>21</v>
      </c>
      <c r="E105" s="66" t="s">
        <v>27</v>
      </c>
      <c r="F105" s="66" t="s">
        <v>59</v>
      </c>
      <c r="G105" s="66" t="s">
        <v>117</v>
      </c>
      <c r="H105" s="66" t="s">
        <v>33</v>
      </c>
      <c r="I105" s="66" t="s">
        <v>147</v>
      </c>
      <c r="J105" s="66" t="s">
        <v>23</v>
      </c>
      <c r="K105" s="66" t="s">
        <v>60</v>
      </c>
      <c r="L105" s="537">
        <f>L106</f>
        <v>0</v>
      </c>
      <c r="M105" s="537">
        <f aca="true" t="shared" si="22" ref="M105:T105">M106</f>
        <v>0</v>
      </c>
      <c r="N105" s="537">
        <f t="shared" si="22"/>
        <v>0</v>
      </c>
      <c r="O105" s="537">
        <f t="shared" si="22"/>
        <v>0</v>
      </c>
      <c r="P105" s="537">
        <f t="shared" si="22"/>
        <v>0</v>
      </c>
      <c r="Q105" s="537">
        <f t="shared" si="22"/>
        <v>0</v>
      </c>
      <c r="R105" s="537">
        <f t="shared" si="22"/>
        <v>0</v>
      </c>
      <c r="S105" s="537">
        <f t="shared" si="22"/>
        <v>0</v>
      </c>
      <c r="T105" s="537">
        <f t="shared" si="22"/>
        <v>115301.28</v>
      </c>
      <c r="U105" s="574" t="e">
        <f>T105/L105*100</f>
        <v>#DIV/0!</v>
      </c>
    </row>
    <row r="106" spans="1:21" ht="27" customHeight="1">
      <c r="A106" s="214"/>
      <c r="B106" s="165"/>
      <c r="C106" s="323" t="s">
        <v>489</v>
      </c>
      <c r="D106" s="146" t="s">
        <v>21</v>
      </c>
      <c r="E106" s="146" t="s">
        <v>27</v>
      </c>
      <c r="F106" s="146" t="s">
        <v>59</v>
      </c>
      <c r="G106" s="146" t="s">
        <v>117</v>
      </c>
      <c r="H106" s="146" t="s">
        <v>33</v>
      </c>
      <c r="I106" s="146" t="s">
        <v>147</v>
      </c>
      <c r="J106" s="146" t="s">
        <v>23</v>
      </c>
      <c r="K106" s="146" t="s">
        <v>60</v>
      </c>
      <c r="L106" s="538">
        <v>0</v>
      </c>
      <c r="M106" s="227"/>
      <c r="N106" s="227"/>
      <c r="O106" s="227"/>
      <c r="P106" s="227"/>
      <c r="Q106" s="227"/>
      <c r="R106" s="227"/>
      <c r="S106" s="227"/>
      <c r="T106" s="538">
        <v>115301.28</v>
      </c>
      <c r="U106" s="535" t="e">
        <f>T106/L106*100</f>
        <v>#DIV/0!</v>
      </c>
    </row>
    <row r="107" spans="1:21" ht="24.75" customHeight="1">
      <c r="A107" s="216" t="s">
        <v>758</v>
      </c>
      <c r="B107" s="56" t="s">
        <v>222</v>
      </c>
      <c r="C107" s="56" t="s">
        <v>61</v>
      </c>
      <c r="D107" s="66" t="s">
        <v>21</v>
      </c>
      <c r="E107" s="66" t="s">
        <v>27</v>
      </c>
      <c r="F107" s="66" t="s">
        <v>59</v>
      </c>
      <c r="G107" s="66" t="s">
        <v>123</v>
      </c>
      <c r="H107" s="66" t="s">
        <v>21</v>
      </c>
      <c r="I107" s="66" t="s">
        <v>22</v>
      </c>
      <c r="J107" s="66" t="s">
        <v>23</v>
      </c>
      <c r="K107" s="66" t="s">
        <v>21</v>
      </c>
      <c r="L107" s="536">
        <f>L108</f>
        <v>128000</v>
      </c>
      <c r="M107" s="234"/>
      <c r="N107" s="234"/>
      <c r="O107" s="234"/>
      <c r="P107" s="234"/>
      <c r="Q107" s="234"/>
      <c r="R107" s="234"/>
      <c r="S107" s="234"/>
      <c r="T107" s="536">
        <f>T108</f>
        <v>129209.64</v>
      </c>
      <c r="U107" s="533">
        <f t="shared" si="15"/>
        <v>100.94503125</v>
      </c>
    </row>
    <row r="108" spans="1:21" ht="26.25" customHeight="1" thickBot="1">
      <c r="A108" s="568"/>
      <c r="B108" s="315" t="s">
        <v>759</v>
      </c>
      <c r="C108" s="315" t="s">
        <v>490</v>
      </c>
      <c r="D108" s="162" t="s">
        <v>21</v>
      </c>
      <c r="E108" s="162" t="s">
        <v>27</v>
      </c>
      <c r="F108" s="162" t="s">
        <v>59</v>
      </c>
      <c r="G108" s="162" t="s">
        <v>123</v>
      </c>
      <c r="H108" s="162" t="s">
        <v>33</v>
      </c>
      <c r="I108" s="162" t="s">
        <v>147</v>
      </c>
      <c r="J108" s="162" t="s">
        <v>23</v>
      </c>
      <c r="K108" s="162" t="s">
        <v>60</v>
      </c>
      <c r="L108" s="569">
        <v>128000</v>
      </c>
      <c r="M108" s="529"/>
      <c r="N108" s="529"/>
      <c r="O108" s="529"/>
      <c r="P108" s="529"/>
      <c r="Q108" s="529"/>
      <c r="R108" s="529"/>
      <c r="S108" s="529"/>
      <c r="T108" s="569">
        <v>129209.64</v>
      </c>
      <c r="U108" s="535">
        <f>T108/L108*100</f>
        <v>100.94503125</v>
      </c>
    </row>
    <row r="109" spans="1:21" ht="27" customHeight="1" thickBot="1">
      <c r="A109" s="531" t="s">
        <v>760</v>
      </c>
      <c r="B109" s="316" t="s">
        <v>61</v>
      </c>
      <c r="C109" s="316" t="s">
        <v>62</v>
      </c>
      <c r="D109" s="562" t="s">
        <v>21</v>
      </c>
      <c r="E109" s="563" t="s">
        <v>63</v>
      </c>
      <c r="F109" s="563" t="s">
        <v>22</v>
      </c>
      <c r="G109" s="563" t="s">
        <v>22</v>
      </c>
      <c r="H109" s="563" t="s">
        <v>21</v>
      </c>
      <c r="I109" s="563" t="s">
        <v>22</v>
      </c>
      <c r="J109" s="563" t="s">
        <v>23</v>
      </c>
      <c r="K109" s="563" t="s">
        <v>21</v>
      </c>
      <c r="L109" s="572">
        <f>L110+L149+L151</f>
        <v>1134007929.99</v>
      </c>
      <c r="M109" s="573"/>
      <c r="N109" s="573"/>
      <c r="O109" s="573"/>
      <c r="P109" s="573"/>
      <c r="Q109" s="573"/>
      <c r="R109" s="573"/>
      <c r="S109" s="573"/>
      <c r="T109" s="572">
        <f>T110+T149+T151</f>
        <v>807494696.6</v>
      </c>
      <c r="U109" s="566">
        <f t="shared" si="15"/>
        <v>71.20714725576221</v>
      </c>
    </row>
    <row r="110" spans="1:21" ht="36" customHeight="1">
      <c r="A110" s="570"/>
      <c r="B110" s="323" t="s">
        <v>490</v>
      </c>
      <c r="C110" s="165" t="s">
        <v>64</v>
      </c>
      <c r="D110" s="317" t="s">
        <v>21</v>
      </c>
      <c r="E110" s="318" t="s">
        <v>63</v>
      </c>
      <c r="F110" s="318" t="s">
        <v>124</v>
      </c>
      <c r="G110" s="318" t="s">
        <v>22</v>
      </c>
      <c r="H110" s="318" t="s">
        <v>21</v>
      </c>
      <c r="I110" s="318" t="s">
        <v>22</v>
      </c>
      <c r="J110" s="318" t="s">
        <v>23</v>
      </c>
      <c r="K110" s="318" t="s">
        <v>21</v>
      </c>
      <c r="L110" s="557">
        <f>L111+L116+L133+L144</f>
        <v>1136872849.64</v>
      </c>
      <c r="M110" s="571"/>
      <c r="N110" s="571"/>
      <c r="O110" s="571"/>
      <c r="P110" s="571"/>
      <c r="Q110" s="571"/>
      <c r="R110" s="571"/>
      <c r="S110" s="571"/>
      <c r="T110" s="557">
        <f>T111+T116+T133+T144</f>
        <v>810075420.86</v>
      </c>
      <c r="U110" s="559">
        <f t="shared" si="15"/>
        <v>71.25470725389536</v>
      </c>
    </row>
    <row r="111" spans="1:21" ht="29.25" customHeight="1">
      <c r="A111" s="214" t="s">
        <v>213</v>
      </c>
      <c r="B111" s="56" t="s">
        <v>62</v>
      </c>
      <c r="C111" s="56" t="s">
        <v>362</v>
      </c>
      <c r="D111" s="66" t="s">
        <v>21</v>
      </c>
      <c r="E111" s="66" t="s">
        <v>63</v>
      </c>
      <c r="F111" s="66" t="s">
        <v>124</v>
      </c>
      <c r="G111" s="66" t="s">
        <v>122</v>
      </c>
      <c r="H111" s="66" t="s">
        <v>21</v>
      </c>
      <c r="I111" s="66" t="s">
        <v>22</v>
      </c>
      <c r="J111" s="66" t="s">
        <v>23</v>
      </c>
      <c r="K111" s="66" t="s">
        <v>241</v>
      </c>
      <c r="L111" s="539">
        <f>L112+L114</f>
        <v>78222000</v>
      </c>
      <c r="M111" s="539">
        <f aca="true" t="shared" si="23" ref="M111:T111">M112+M114</f>
        <v>0</v>
      </c>
      <c r="N111" s="539">
        <f t="shared" si="23"/>
        <v>0</v>
      </c>
      <c r="O111" s="539">
        <f t="shared" si="23"/>
        <v>0</v>
      </c>
      <c r="P111" s="539">
        <f t="shared" si="23"/>
        <v>0</v>
      </c>
      <c r="Q111" s="539">
        <f t="shared" si="23"/>
        <v>0</v>
      </c>
      <c r="R111" s="539">
        <f t="shared" si="23"/>
        <v>0</v>
      </c>
      <c r="S111" s="539">
        <f t="shared" si="23"/>
        <v>0</v>
      </c>
      <c r="T111" s="539">
        <f t="shared" si="23"/>
        <v>78517603.99</v>
      </c>
      <c r="U111" s="533">
        <f t="shared" si="15"/>
        <v>100.37790390171561</v>
      </c>
    </row>
    <row r="112" spans="1:21" ht="27" customHeight="1">
      <c r="A112" s="214" t="s">
        <v>203</v>
      </c>
      <c r="B112" s="56" t="s">
        <v>64</v>
      </c>
      <c r="C112" s="55" t="s">
        <v>65</v>
      </c>
      <c r="D112" s="146" t="s">
        <v>21</v>
      </c>
      <c r="E112" s="146" t="s">
        <v>63</v>
      </c>
      <c r="F112" s="146" t="s">
        <v>124</v>
      </c>
      <c r="G112" s="146" t="s">
        <v>122</v>
      </c>
      <c r="H112" s="146" t="s">
        <v>66</v>
      </c>
      <c r="I112" s="146" t="s">
        <v>22</v>
      </c>
      <c r="J112" s="146" t="s">
        <v>23</v>
      </c>
      <c r="K112" s="146" t="s">
        <v>241</v>
      </c>
      <c r="L112" s="538">
        <f>L113</f>
        <v>78222000</v>
      </c>
      <c r="M112" s="246">
        <f aca="true" t="shared" si="24" ref="M112:S112">M113</f>
        <v>0</v>
      </c>
      <c r="N112" s="246">
        <f t="shared" si="24"/>
        <v>0</v>
      </c>
      <c r="O112" s="246">
        <f t="shared" si="24"/>
        <v>0</v>
      </c>
      <c r="P112" s="246">
        <f t="shared" si="24"/>
        <v>0</v>
      </c>
      <c r="Q112" s="246">
        <f t="shared" si="24"/>
        <v>0</v>
      </c>
      <c r="R112" s="246">
        <f t="shared" si="24"/>
        <v>0</v>
      </c>
      <c r="S112" s="246">
        <f t="shared" si="24"/>
        <v>0</v>
      </c>
      <c r="T112" s="538">
        <f>T113</f>
        <v>68741503.99</v>
      </c>
      <c r="U112" s="534">
        <f t="shared" si="15"/>
        <v>87.88001328270818</v>
      </c>
    </row>
    <row r="113" spans="1:21" ht="28.5" customHeight="1">
      <c r="A113" s="216" t="s">
        <v>761</v>
      </c>
      <c r="B113" s="56" t="s">
        <v>362</v>
      </c>
      <c r="C113" s="55" t="s">
        <v>491</v>
      </c>
      <c r="D113" s="146" t="s">
        <v>30</v>
      </c>
      <c r="E113" s="146" t="s">
        <v>63</v>
      </c>
      <c r="F113" s="146" t="s">
        <v>124</v>
      </c>
      <c r="G113" s="146" t="s">
        <v>214</v>
      </c>
      <c r="H113" s="146" t="s">
        <v>66</v>
      </c>
      <c r="I113" s="146" t="s">
        <v>147</v>
      </c>
      <c r="J113" s="146" t="s">
        <v>23</v>
      </c>
      <c r="K113" s="146" t="s">
        <v>241</v>
      </c>
      <c r="L113" s="538">
        <v>78222000</v>
      </c>
      <c r="M113" s="234"/>
      <c r="N113" s="234"/>
      <c r="O113" s="234"/>
      <c r="P113" s="234"/>
      <c r="Q113" s="234"/>
      <c r="R113" s="234"/>
      <c r="S113" s="234"/>
      <c r="T113" s="538">
        <v>68741503.99</v>
      </c>
      <c r="U113" s="534">
        <f t="shared" si="15"/>
        <v>87.88001328270818</v>
      </c>
    </row>
    <row r="114" spans="1:21" ht="28.5" customHeight="1">
      <c r="A114" s="216"/>
      <c r="B114" s="56"/>
      <c r="C114" s="55" t="s">
        <v>788</v>
      </c>
      <c r="D114" s="146" t="s">
        <v>30</v>
      </c>
      <c r="E114" s="146" t="s">
        <v>63</v>
      </c>
      <c r="F114" s="146" t="s">
        <v>124</v>
      </c>
      <c r="G114" s="146" t="s">
        <v>214</v>
      </c>
      <c r="H114" s="146" t="s">
        <v>784</v>
      </c>
      <c r="I114" s="146" t="s">
        <v>147</v>
      </c>
      <c r="J114" s="146" t="s">
        <v>23</v>
      </c>
      <c r="K114" s="146" t="s">
        <v>241</v>
      </c>
      <c r="L114" s="538">
        <f>L115</f>
        <v>0</v>
      </c>
      <c r="M114" s="538">
        <f aca="true" t="shared" si="25" ref="M114:T114">M115</f>
        <v>0</v>
      </c>
      <c r="N114" s="538">
        <f t="shared" si="25"/>
        <v>0</v>
      </c>
      <c r="O114" s="538">
        <f t="shared" si="25"/>
        <v>0</v>
      </c>
      <c r="P114" s="538">
        <f t="shared" si="25"/>
        <v>0</v>
      </c>
      <c r="Q114" s="538">
        <f t="shared" si="25"/>
        <v>0</v>
      </c>
      <c r="R114" s="538">
        <f t="shared" si="25"/>
        <v>0</v>
      </c>
      <c r="S114" s="538">
        <f t="shared" si="25"/>
        <v>0</v>
      </c>
      <c r="T114" s="538">
        <f t="shared" si="25"/>
        <v>9776100</v>
      </c>
      <c r="U114" s="534" t="e">
        <f t="shared" si="15"/>
        <v>#DIV/0!</v>
      </c>
    </row>
    <row r="115" spans="1:21" ht="28.5" customHeight="1">
      <c r="A115" s="216"/>
      <c r="B115" s="56"/>
      <c r="C115" s="55" t="s">
        <v>789</v>
      </c>
      <c r="D115" s="146" t="s">
        <v>30</v>
      </c>
      <c r="E115" s="146" t="s">
        <v>63</v>
      </c>
      <c r="F115" s="146" t="s">
        <v>124</v>
      </c>
      <c r="G115" s="146" t="s">
        <v>214</v>
      </c>
      <c r="H115" s="146" t="s">
        <v>784</v>
      </c>
      <c r="I115" s="146" t="s">
        <v>147</v>
      </c>
      <c r="J115" s="146" t="s">
        <v>23</v>
      </c>
      <c r="K115" s="146" t="s">
        <v>241</v>
      </c>
      <c r="L115" s="538">
        <v>0</v>
      </c>
      <c r="M115" s="234"/>
      <c r="N115" s="234"/>
      <c r="O115" s="234"/>
      <c r="P115" s="234"/>
      <c r="Q115" s="234"/>
      <c r="R115" s="234"/>
      <c r="S115" s="234"/>
      <c r="T115" s="538">
        <v>9776100</v>
      </c>
      <c r="U115" s="534" t="e">
        <f t="shared" si="15"/>
        <v>#DIV/0!</v>
      </c>
    </row>
    <row r="116" spans="1:21" ht="28.5" customHeight="1">
      <c r="A116" s="214"/>
      <c r="B116" s="55" t="s">
        <v>65</v>
      </c>
      <c r="C116" s="56" t="s">
        <v>492</v>
      </c>
      <c r="D116" s="66" t="s">
        <v>21</v>
      </c>
      <c r="E116" s="66" t="s">
        <v>63</v>
      </c>
      <c r="F116" s="66" t="s">
        <v>124</v>
      </c>
      <c r="G116" s="66" t="s">
        <v>220</v>
      </c>
      <c r="H116" s="66" t="s">
        <v>21</v>
      </c>
      <c r="I116" s="66" t="s">
        <v>22</v>
      </c>
      <c r="J116" s="66" t="s">
        <v>23</v>
      </c>
      <c r="K116" s="66" t="s">
        <v>241</v>
      </c>
      <c r="L116" s="537">
        <f>L117+L119+L121+L123+L125+L127+L129+L131</f>
        <v>737295325.08</v>
      </c>
      <c r="M116" s="238">
        <f aca="true" t="shared" si="26" ref="M116:S116">M119+M117</f>
        <v>0</v>
      </c>
      <c r="N116" s="238">
        <f t="shared" si="26"/>
        <v>0</v>
      </c>
      <c r="O116" s="238">
        <f t="shared" si="26"/>
        <v>0</v>
      </c>
      <c r="P116" s="238">
        <f t="shared" si="26"/>
        <v>0</v>
      </c>
      <c r="Q116" s="238">
        <f t="shared" si="26"/>
        <v>0</v>
      </c>
      <c r="R116" s="238">
        <f t="shared" si="26"/>
        <v>0</v>
      </c>
      <c r="S116" s="238" t="e">
        <f t="shared" si="26"/>
        <v>#REF!</v>
      </c>
      <c r="T116" s="537">
        <f>T117+T119+T121+T123+T125+T127+T129+T131</f>
        <v>524927502.14</v>
      </c>
      <c r="U116" s="533">
        <f t="shared" si="15"/>
        <v>71.19636925448332</v>
      </c>
    </row>
    <row r="117" spans="1:21" ht="113.25" customHeight="1">
      <c r="A117" s="215"/>
      <c r="B117" s="55" t="s">
        <v>491</v>
      </c>
      <c r="C117" s="56" t="s">
        <v>363</v>
      </c>
      <c r="D117" s="66" t="s">
        <v>21</v>
      </c>
      <c r="E117" s="66" t="s">
        <v>63</v>
      </c>
      <c r="F117" s="66" t="s">
        <v>124</v>
      </c>
      <c r="G117" s="66" t="s">
        <v>220</v>
      </c>
      <c r="H117" s="66" t="s">
        <v>271</v>
      </c>
      <c r="I117" s="66" t="s">
        <v>22</v>
      </c>
      <c r="J117" s="66" t="s">
        <v>23</v>
      </c>
      <c r="K117" s="66" t="s">
        <v>241</v>
      </c>
      <c r="L117" s="537">
        <f>L118</f>
        <v>383398083.86</v>
      </c>
      <c r="M117" s="244"/>
      <c r="N117" s="244"/>
      <c r="O117" s="244"/>
      <c r="P117" s="244"/>
      <c r="Q117" s="244"/>
      <c r="R117" s="244"/>
      <c r="S117" s="244" t="e">
        <f>#REF!=SUM(L117:R117)</f>
        <v>#REF!</v>
      </c>
      <c r="T117" s="537">
        <f>T118</f>
        <v>383890895.95</v>
      </c>
      <c r="U117" s="533">
        <f t="shared" si="15"/>
        <v>100.1285379637369</v>
      </c>
    </row>
    <row r="118" spans="1:21" ht="100.5" customHeight="1">
      <c r="A118" s="215"/>
      <c r="B118" s="55" t="s">
        <v>762</v>
      </c>
      <c r="C118" s="55" t="s">
        <v>493</v>
      </c>
      <c r="D118" s="146" t="s">
        <v>30</v>
      </c>
      <c r="E118" s="146" t="s">
        <v>63</v>
      </c>
      <c r="F118" s="146" t="s">
        <v>124</v>
      </c>
      <c r="G118" s="146" t="s">
        <v>220</v>
      </c>
      <c r="H118" s="146" t="s">
        <v>271</v>
      </c>
      <c r="I118" s="146" t="s">
        <v>147</v>
      </c>
      <c r="J118" s="146" t="s">
        <v>23</v>
      </c>
      <c r="K118" s="146" t="s">
        <v>241</v>
      </c>
      <c r="L118" s="540">
        <v>383398083.86</v>
      </c>
      <c r="M118" s="228">
        <f aca="true" t="shared" si="27" ref="M118:S118">M119+M121</f>
        <v>0</v>
      </c>
      <c r="N118" s="228">
        <f t="shared" si="27"/>
        <v>0</v>
      </c>
      <c r="O118" s="228">
        <f t="shared" si="27"/>
        <v>0</v>
      </c>
      <c r="P118" s="228">
        <f t="shared" si="27"/>
        <v>0</v>
      </c>
      <c r="Q118" s="228">
        <f t="shared" si="27"/>
        <v>0</v>
      </c>
      <c r="R118" s="228">
        <f t="shared" si="27"/>
        <v>0</v>
      </c>
      <c r="S118" s="228" t="e">
        <f t="shared" si="27"/>
        <v>#REF!</v>
      </c>
      <c r="T118" s="540">
        <v>383890895.95</v>
      </c>
      <c r="U118" s="534">
        <f t="shared" si="15"/>
        <v>100.1285379637369</v>
      </c>
    </row>
    <row r="119" spans="1:21" ht="91.5" customHeight="1">
      <c r="A119" s="216" t="s">
        <v>763</v>
      </c>
      <c r="B119" s="56" t="s">
        <v>492</v>
      </c>
      <c r="C119" s="56" t="s">
        <v>364</v>
      </c>
      <c r="D119" s="66" t="s">
        <v>21</v>
      </c>
      <c r="E119" s="66" t="s">
        <v>63</v>
      </c>
      <c r="F119" s="66" t="s">
        <v>124</v>
      </c>
      <c r="G119" s="66" t="s">
        <v>220</v>
      </c>
      <c r="H119" s="66" t="s">
        <v>272</v>
      </c>
      <c r="I119" s="66" t="s">
        <v>22</v>
      </c>
      <c r="J119" s="66" t="s">
        <v>23</v>
      </c>
      <c r="K119" s="66" t="s">
        <v>241</v>
      </c>
      <c r="L119" s="537">
        <f>L120</f>
        <v>103858699.95</v>
      </c>
      <c r="M119" s="228">
        <f aca="true" t="shared" si="28" ref="M119:S119">M120</f>
        <v>0</v>
      </c>
      <c r="N119" s="228">
        <f t="shared" si="28"/>
        <v>0</v>
      </c>
      <c r="O119" s="228">
        <f t="shared" si="28"/>
        <v>0</v>
      </c>
      <c r="P119" s="228">
        <f t="shared" si="28"/>
        <v>0</v>
      </c>
      <c r="Q119" s="228">
        <f t="shared" si="28"/>
        <v>0</v>
      </c>
      <c r="R119" s="228">
        <f t="shared" si="28"/>
        <v>0</v>
      </c>
      <c r="S119" s="228" t="e">
        <f t="shared" si="28"/>
        <v>#REF!</v>
      </c>
      <c r="T119" s="537">
        <f>T120</f>
        <v>3863676.17</v>
      </c>
      <c r="U119" s="533">
        <f t="shared" si="15"/>
        <v>3.720127607855735</v>
      </c>
    </row>
    <row r="120" spans="1:21" ht="75" customHeight="1">
      <c r="A120" s="216" t="s">
        <v>764</v>
      </c>
      <c r="B120" s="56" t="s">
        <v>363</v>
      </c>
      <c r="C120" s="55" t="s">
        <v>494</v>
      </c>
      <c r="D120" s="146" t="s">
        <v>30</v>
      </c>
      <c r="E120" s="146" t="s">
        <v>63</v>
      </c>
      <c r="F120" s="146" t="s">
        <v>124</v>
      </c>
      <c r="G120" s="146" t="s">
        <v>220</v>
      </c>
      <c r="H120" s="146" t="s">
        <v>272</v>
      </c>
      <c r="I120" s="146" t="s">
        <v>147</v>
      </c>
      <c r="J120" s="146" t="s">
        <v>23</v>
      </c>
      <c r="K120" s="146" t="s">
        <v>241</v>
      </c>
      <c r="L120" s="538">
        <v>103858699.95</v>
      </c>
      <c r="M120" s="234"/>
      <c r="N120" s="234"/>
      <c r="O120" s="234"/>
      <c r="P120" s="234"/>
      <c r="Q120" s="234"/>
      <c r="R120" s="234"/>
      <c r="S120" s="234" t="e">
        <f>#REF!=SUM(L120:R120)</f>
        <v>#REF!</v>
      </c>
      <c r="T120" s="538">
        <v>3863676.17</v>
      </c>
      <c r="U120" s="534">
        <f t="shared" si="15"/>
        <v>3.720127607855735</v>
      </c>
    </row>
    <row r="121" spans="1:21" ht="53.25" customHeight="1">
      <c r="A121" s="215"/>
      <c r="B121" s="55" t="s">
        <v>493</v>
      </c>
      <c r="C121" s="167" t="s">
        <v>495</v>
      </c>
      <c r="D121" s="66" t="s">
        <v>21</v>
      </c>
      <c r="E121" s="66" t="s">
        <v>63</v>
      </c>
      <c r="F121" s="66" t="s">
        <v>124</v>
      </c>
      <c r="G121" s="66" t="s">
        <v>57</v>
      </c>
      <c r="H121" s="66" t="s">
        <v>496</v>
      </c>
      <c r="I121" s="66" t="s">
        <v>22</v>
      </c>
      <c r="J121" s="66" t="s">
        <v>23</v>
      </c>
      <c r="K121" s="66" t="s">
        <v>241</v>
      </c>
      <c r="L121" s="537">
        <f>L122</f>
        <v>1770400</v>
      </c>
      <c r="M121" s="228">
        <f aca="true" t="shared" si="29" ref="M121:S121">M122</f>
        <v>0</v>
      </c>
      <c r="N121" s="228">
        <f t="shared" si="29"/>
        <v>0</v>
      </c>
      <c r="O121" s="228">
        <f t="shared" si="29"/>
        <v>0</v>
      </c>
      <c r="P121" s="228">
        <f t="shared" si="29"/>
        <v>0</v>
      </c>
      <c r="Q121" s="228">
        <f t="shared" si="29"/>
        <v>0</v>
      </c>
      <c r="R121" s="228">
        <f t="shared" si="29"/>
        <v>0</v>
      </c>
      <c r="S121" s="228">
        <f t="shared" si="29"/>
        <v>0</v>
      </c>
      <c r="T121" s="537">
        <f>T122</f>
        <v>866325</v>
      </c>
      <c r="U121" s="533">
        <f t="shared" si="15"/>
        <v>48.93385675553547</v>
      </c>
    </row>
    <row r="122" spans="1:21" ht="59.25" customHeight="1">
      <c r="A122" s="216" t="s">
        <v>765</v>
      </c>
      <c r="B122" s="56" t="s">
        <v>364</v>
      </c>
      <c r="C122" s="168" t="s">
        <v>495</v>
      </c>
      <c r="D122" s="146" t="s">
        <v>30</v>
      </c>
      <c r="E122" s="146" t="s">
        <v>63</v>
      </c>
      <c r="F122" s="146" t="s">
        <v>124</v>
      </c>
      <c r="G122" s="146" t="s">
        <v>57</v>
      </c>
      <c r="H122" s="146" t="s">
        <v>496</v>
      </c>
      <c r="I122" s="146" t="s">
        <v>147</v>
      </c>
      <c r="J122" s="146" t="s">
        <v>23</v>
      </c>
      <c r="K122" s="146" t="s">
        <v>241</v>
      </c>
      <c r="L122" s="538">
        <v>1770400</v>
      </c>
      <c r="M122" s="234"/>
      <c r="N122" s="234"/>
      <c r="O122" s="234"/>
      <c r="P122" s="234"/>
      <c r="Q122" s="234"/>
      <c r="R122" s="234"/>
      <c r="S122" s="234"/>
      <c r="T122" s="538">
        <v>866325</v>
      </c>
      <c r="U122" s="534">
        <f t="shared" si="15"/>
        <v>48.93385675553547</v>
      </c>
    </row>
    <row r="123" spans="1:21" ht="64.5" customHeight="1">
      <c r="A123" s="215"/>
      <c r="B123" s="55" t="s">
        <v>494</v>
      </c>
      <c r="C123" s="169" t="s">
        <v>303</v>
      </c>
      <c r="D123" s="66" t="s">
        <v>21</v>
      </c>
      <c r="E123" s="66" t="s">
        <v>63</v>
      </c>
      <c r="F123" s="66" t="s">
        <v>124</v>
      </c>
      <c r="G123" s="66" t="s">
        <v>57</v>
      </c>
      <c r="H123" s="66" t="s">
        <v>304</v>
      </c>
      <c r="I123" s="66" t="s">
        <v>22</v>
      </c>
      <c r="J123" s="66" t="s">
        <v>23</v>
      </c>
      <c r="K123" s="66" t="s">
        <v>241</v>
      </c>
      <c r="L123" s="537">
        <f>L124</f>
        <v>7895700</v>
      </c>
      <c r="M123" s="239" t="e">
        <f>M124+#REF!</f>
        <v>#REF!</v>
      </c>
      <c r="N123" s="239" t="e">
        <f>N124+#REF!</f>
        <v>#REF!</v>
      </c>
      <c r="O123" s="239" t="e">
        <f>O124+#REF!</f>
        <v>#REF!</v>
      </c>
      <c r="P123" s="239" t="e">
        <f>P124+#REF!</f>
        <v>#REF!</v>
      </c>
      <c r="Q123" s="239" t="e">
        <f>Q124+#REF!</f>
        <v>#REF!</v>
      </c>
      <c r="R123" s="239" t="e">
        <f>R124+#REF!</f>
        <v>#REF!</v>
      </c>
      <c r="S123" s="239" t="e">
        <f>S124+#REF!</f>
        <v>#REF!</v>
      </c>
      <c r="T123" s="537">
        <f>T124</f>
        <v>3106384.8</v>
      </c>
      <c r="U123" s="533">
        <f t="shared" si="15"/>
        <v>39.342740985599754</v>
      </c>
    </row>
    <row r="124" spans="1:21" ht="62.25" customHeight="1">
      <c r="A124" s="216" t="s">
        <v>766</v>
      </c>
      <c r="B124" s="167" t="s">
        <v>495</v>
      </c>
      <c r="C124" s="168" t="s">
        <v>497</v>
      </c>
      <c r="D124" s="146" t="s">
        <v>30</v>
      </c>
      <c r="E124" s="146" t="s">
        <v>63</v>
      </c>
      <c r="F124" s="146" t="s">
        <v>124</v>
      </c>
      <c r="G124" s="146" t="s">
        <v>57</v>
      </c>
      <c r="H124" s="146" t="s">
        <v>304</v>
      </c>
      <c r="I124" s="146" t="s">
        <v>147</v>
      </c>
      <c r="J124" s="146" t="s">
        <v>23</v>
      </c>
      <c r="K124" s="146" t="s">
        <v>241</v>
      </c>
      <c r="L124" s="538">
        <v>7895700</v>
      </c>
      <c r="M124" s="248"/>
      <c r="N124" s="248"/>
      <c r="O124" s="248"/>
      <c r="P124" s="248"/>
      <c r="Q124" s="248"/>
      <c r="R124" s="248"/>
      <c r="S124" s="248"/>
      <c r="T124" s="538">
        <v>3106384.8</v>
      </c>
      <c r="U124" s="534">
        <f t="shared" si="15"/>
        <v>39.342740985599754</v>
      </c>
    </row>
    <row r="125" spans="1:21" ht="37.5" customHeight="1">
      <c r="A125" s="215"/>
      <c r="B125" s="168" t="s">
        <v>495</v>
      </c>
      <c r="C125" s="170" t="s">
        <v>498</v>
      </c>
      <c r="D125" s="66" t="s">
        <v>21</v>
      </c>
      <c r="E125" s="66" t="s">
        <v>63</v>
      </c>
      <c r="F125" s="66" t="s">
        <v>124</v>
      </c>
      <c r="G125" s="66" t="s">
        <v>57</v>
      </c>
      <c r="H125" s="66" t="s">
        <v>499</v>
      </c>
      <c r="I125" s="66" t="s">
        <v>22</v>
      </c>
      <c r="J125" s="66" t="s">
        <v>23</v>
      </c>
      <c r="K125" s="66" t="s">
        <v>241</v>
      </c>
      <c r="L125" s="537">
        <f>L126</f>
        <v>6286577</v>
      </c>
      <c r="M125" s="248"/>
      <c r="N125" s="248"/>
      <c r="O125" s="248"/>
      <c r="P125" s="248"/>
      <c r="Q125" s="248"/>
      <c r="R125" s="248"/>
      <c r="S125" s="248"/>
      <c r="T125" s="537">
        <f>T126</f>
        <v>6286577</v>
      </c>
      <c r="U125" s="533">
        <f t="shared" si="15"/>
        <v>100</v>
      </c>
    </row>
    <row r="126" spans="1:21" ht="37.5" customHeight="1">
      <c r="A126" s="216" t="s">
        <v>767</v>
      </c>
      <c r="B126" s="169" t="s">
        <v>303</v>
      </c>
      <c r="C126" s="171" t="s">
        <v>500</v>
      </c>
      <c r="D126" s="146" t="s">
        <v>30</v>
      </c>
      <c r="E126" s="146" t="s">
        <v>501</v>
      </c>
      <c r="F126" s="146" t="s">
        <v>124</v>
      </c>
      <c r="G126" s="146" t="s">
        <v>57</v>
      </c>
      <c r="H126" s="146" t="s">
        <v>499</v>
      </c>
      <c r="I126" s="146" t="s">
        <v>147</v>
      </c>
      <c r="J126" s="146" t="s">
        <v>23</v>
      </c>
      <c r="K126" s="146" t="s">
        <v>241</v>
      </c>
      <c r="L126" s="538">
        <v>6286577</v>
      </c>
      <c r="M126" s="249">
        <f aca="true" t="shared" si="30" ref="M126:S126">M129+M131+M133+M141+M127+M137+M135+M139</f>
        <v>0</v>
      </c>
      <c r="N126" s="249">
        <f t="shared" si="30"/>
        <v>0</v>
      </c>
      <c r="O126" s="249">
        <f t="shared" si="30"/>
        <v>0</v>
      </c>
      <c r="P126" s="249">
        <f t="shared" si="30"/>
        <v>0</v>
      </c>
      <c r="Q126" s="249">
        <f t="shared" si="30"/>
        <v>0</v>
      </c>
      <c r="R126" s="249">
        <f t="shared" si="30"/>
        <v>0</v>
      </c>
      <c r="S126" s="249">
        <f t="shared" si="30"/>
        <v>0</v>
      </c>
      <c r="T126" s="538">
        <v>6286577</v>
      </c>
      <c r="U126" s="534">
        <f t="shared" si="15"/>
        <v>100</v>
      </c>
    </row>
    <row r="127" spans="1:21" ht="41.25" customHeight="1">
      <c r="A127" s="216"/>
      <c r="B127" s="168" t="s">
        <v>497</v>
      </c>
      <c r="C127" s="170" t="s">
        <v>503</v>
      </c>
      <c r="D127" s="66" t="s">
        <v>21</v>
      </c>
      <c r="E127" s="66" t="s">
        <v>63</v>
      </c>
      <c r="F127" s="66" t="s">
        <v>124</v>
      </c>
      <c r="G127" s="66" t="s">
        <v>57</v>
      </c>
      <c r="H127" s="66" t="s">
        <v>504</v>
      </c>
      <c r="I127" s="66" t="s">
        <v>22</v>
      </c>
      <c r="J127" s="66" t="s">
        <v>23</v>
      </c>
      <c r="K127" s="66" t="s">
        <v>241</v>
      </c>
      <c r="L127" s="537">
        <f>L128</f>
        <v>300790</v>
      </c>
      <c r="M127" s="248"/>
      <c r="N127" s="248"/>
      <c r="O127" s="248"/>
      <c r="P127" s="248"/>
      <c r="Q127" s="248"/>
      <c r="R127" s="248"/>
      <c r="S127" s="248"/>
      <c r="T127" s="537">
        <f>T128</f>
        <v>300790</v>
      </c>
      <c r="U127" s="533">
        <f t="shared" si="15"/>
        <v>100</v>
      </c>
    </row>
    <row r="128" spans="1:21" ht="43.5" customHeight="1">
      <c r="A128" s="216" t="s">
        <v>768</v>
      </c>
      <c r="B128" s="170" t="s">
        <v>498</v>
      </c>
      <c r="C128" s="171" t="s">
        <v>503</v>
      </c>
      <c r="D128" s="146" t="s">
        <v>30</v>
      </c>
      <c r="E128" s="146" t="s">
        <v>501</v>
      </c>
      <c r="F128" s="146" t="s">
        <v>124</v>
      </c>
      <c r="G128" s="146" t="s">
        <v>57</v>
      </c>
      <c r="H128" s="146" t="s">
        <v>504</v>
      </c>
      <c r="I128" s="146" t="s">
        <v>147</v>
      </c>
      <c r="J128" s="146" t="s">
        <v>23</v>
      </c>
      <c r="K128" s="146" t="s">
        <v>241</v>
      </c>
      <c r="L128" s="538">
        <v>300790</v>
      </c>
      <c r="M128" s="231"/>
      <c r="N128" s="231"/>
      <c r="O128" s="231"/>
      <c r="P128" s="231"/>
      <c r="Q128" s="231"/>
      <c r="R128" s="231"/>
      <c r="S128" s="231"/>
      <c r="T128" s="538">
        <v>300790</v>
      </c>
      <c r="U128" s="534">
        <f t="shared" si="15"/>
        <v>100</v>
      </c>
    </row>
    <row r="129" spans="1:21" ht="33" customHeight="1">
      <c r="A129" s="215"/>
      <c r="B129" s="171" t="s">
        <v>500</v>
      </c>
      <c r="C129" s="172" t="s">
        <v>365</v>
      </c>
      <c r="D129" s="66" t="s">
        <v>21</v>
      </c>
      <c r="E129" s="66" t="s">
        <v>63</v>
      </c>
      <c r="F129" s="66" t="s">
        <v>124</v>
      </c>
      <c r="G129" s="66" t="s">
        <v>57</v>
      </c>
      <c r="H129" s="66" t="s">
        <v>366</v>
      </c>
      <c r="I129" s="66" t="s">
        <v>22</v>
      </c>
      <c r="J129" s="66" t="s">
        <v>23</v>
      </c>
      <c r="K129" s="66" t="s">
        <v>241</v>
      </c>
      <c r="L129" s="537">
        <f>L130</f>
        <v>135656324.27</v>
      </c>
      <c r="M129" s="248"/>
      <c r="N129" s="248"/>
      <c r="O129" s="248"/>
      <c r="P129" s="248"/>
      <c r="Q129" s="248"/>
      <c r="R129" s="248"/>
      <c r="S129" s="248"/>
      <c r="T129" s="537">
        <f>T130</f>
        <v>94068361.19</v>
      </c>
      <c r="U129" s="533">
        <f t="shared" si="15"/>
        <v>69.34314466811993</v>
      </c>
    </row>
    <row r="130" spans="1:21" ht="36.75" customHeight="1">
      <c r="A130" s="216" t="s">
        <v>769</v>
      </c>
      <c r="B130" s="170" t="s">
        <v>503</v>
      </c>
      <c r="C130" s="226" t="s">
        <v>502</v>
      </c>
      <c r="D130" s="146" t="s">
        <v>30</v>
      </c>
      <c r="E130" s="146" t="s">
        <v>63</v>
      </c>
      <c r="F130" s="146" t="s">
        <v>124</v>
      </c>
      <c r="G130" s="146" t="s">
        <v>57</v>
      </c>
      <c r="H130" s="146" t="s">
        <v>366</v>
      </c>
      <c r="I130" s="146" t="s">
        <v>147</v>
      </c>
      <c r="J130" s="146" t="s">
        <v>23</v>
      </c>
      <c r="K130" s="146" t="s">
        <v>241</v>
      </c>
      <c r="L130" s="538">
        <v>135656324.27</v>
      </c>
      <c r="M130" s="234"/>
      <c r="N130" s="234"/>
      <c r="O130" s="234"/>
      <c r="P130" s="234"/>
      <c r="Q130" s="234"/>
      <c r="R130" s="234"/>
      <c r="S130" s="234"/>
      <c r="T130" s="538">
        <v>94068361.19</v>
      </c>
      <c r="U130" s="534">
        <f t="shared" si="15"/>
        <v>69.34314466811993</v>
      </c>
    </row>
    <row r="131" spans="1:21" ht="18" customHeight="1">
      <c r="A131" s="215"/>
      <c r="B131" s="171" t="s">
        <v>503</v>
      </c>
      <c r="C131" s="67" t="s">
        <v>67</v>
      </c>
      <c r="D131" s="66" t="s">
        <v>21</v>
      </c>
      <c r="E131" s="66" t="s">
        <v>63</v>
      </c>
      <c r="F131" s="66" t="s">
        <v>124</v>
      </c>
      <c r="G131" s="66" t="s">
        <v>235</v>
      </c>
      <c r="H131" s="66" t="s">
        <v>68</v>
      </c>
      <c r="I131" s="66" t="s">
        <v>22</v>
      </c>
      <c r="J131" s="66" t="s">
        <v>23</v>
      </c>
      <c r="K131" s="66" t="s">
        <v>241</v>
      </c>
      <c r="L131" s="537">
        <f>L132</f>
        <v>98128750</v>
      </c>
      <c r="M131" s="248"/>
      <c r="N131" s="248"/>
      <c r="O131" s="248"/>
      <c r="P131" s="248"/>
      <c r="Q131" s="248"/>
      <c r="R131" s="248"/>
      <c r="S131" s="248"/>
      <c r="T131" s="537">
        <f>T132</f>
        <v>32544492.03</v>
      </c>
      <c r="U131" s="533">
        <f t="shared" si="15"/>
        <v>33.16509384864273</v>
      </c>
    </row>
    <row r="132" spans="1:21" ht="29.25" customHeight="1">
      <c r="A132" s="216" t="s">
        <v>770</v>
      </c>
      <c r="B132" s="172" t="s">
        <v>365</v>
      </c>
      <c r="C132" s="59" t="s">
        <v>505</v>
      </c>
      <c r="D132" s="146" t="s">
        <v>30</v>
      </c>
      <c r="E132" s="146" t="s">
        <v>63</v>
      </c>
      <c r="F132" s="146" t="s">
        <v>124</v>
      </c>
      <c r="G132" s="146" t="s">
        <v>235</v>
      </c>
      <c r="H132" s="146" t="s">
        <v>68</v>
      </c>
      <c r="I132" s="146" t="s">
        <v>147</v>
      </c>
      <c r="J132" s="146" t="s">
        <v>23</v>
      </c>
      <c r="K132" s="146" t="s">
        <v>241</v>
      </c>
      <c r="L132" s="540">
        <v>98128750</v>
      </c>
      <c r="M132" s="234"/>
      <c r="N132" s="234"/>
      <c r="O132" s="234"/>
      <c r="P132" s="234"/>
      <c r="Q132" s="234"/>
      <c r="R132" s="234"/>
      <c r="S132" s="234"/>
      <c r="T132" s="540">
        <v>32544492.03</v>
      </c>
      <c r="U132" s="534">
        <f t="shared" si="15"/>
        <v>33.16509384864273</v>
      </c>
    </row>
    <row r="133" spans="1:21" ht="36" customHeight="1">
      <c r="A133" s="215"/>
      <c r="B133" s="226" t="s">
        <v>502</v>
      </c>
      <c r="C133" s="56" t="s">
        <v>367</v>
      </c>
      <c r="D133" s="66" t="s">
        <v>21</v>
      </c>
      <c r="E133" s="66" t="s">
        <v>63</v>
      </c>
      <c r="F133" s="66" t="s">
        <v>124</v>
      </c>
      <c r="G133" s="66" t="s">
        <v>106</v>
      </c>
      <c r="H133" s="66" t="s">
        <v>21</v>
      </c>
      <c r="I133" s="66" t="s">
        <v>22</v>
      </c>
      <c r="J133" s="66" t="s">
        <v>23</v>
      </c>
      <c r="K133" s="66" t="s">
        <v>241</v>
      </c>
      <c r="L133" s="546">
        <f>L134+L136+L138+L140+L142</f>
        <v>244814900</v>
      </c>
      <c r="M133" s="248"/>
      <c r="N133" s="248"/>
      <c r="O133" s="248"/>
      <c r="P133" s="248"/>
      <c r="Q133" s="248"/>
      <c r="R133" s="248"/>
      <c r="S133" s="248"/>
      <c r="T133" s="546">
        <f>T134+T136+T138+T140+T142</f>
        <v>190102841.49</v>
      </c>
      <c r="U133" s="533">
        <f t="shared" si="15"/>
        <v>77.65166315040466</v>
      </c>
    </row>
    <row r="134" spans="1:21" ht="27" customHeight="1">
      <c r="A134" s="216" t="s">
        <v>770</v>
      </c>
      <c r="B134" s="67" t="s">
        <v>67</v>
      </c>
      <c r="C134" s="67" t="s">
        <v>69</v>
      </c>
      <c r="D134" s="146" t="s">
        <v>21</v>
      </c>
      <c r="E134" s="146" t="s">
        <v>63</v>
      </c>
      <c r="F134" s="146" t="s">
        <v>124</v>
      </c>
      <c r="G134" s="146" t="s">
        <v>106</v>
      </c>
      <c r="H134" s="146" t="s">
        <v>70</v>
      </c>
      <c r="I134" s="146" t="s">
        <v>22</v>
      </c>
      <c r="J134" s="146" t="s">
        <v>23</v>
      </c>
      <c r="K134" s="146" t="s">
        <v>241</v>
      </c>
      <c r="L134" s="538">
        <f>L135</f>
        <v>15304500</v>
      </c>
      <c r="M134" s="234"/>
      <c r="N134" s="234"/>
      <c r="O134" s="234"/>
      <c r="P134" s="234"/>
      <c r="Q134" s="234"/>
      <c r="R134" s="234"/>
      <c r="S134" s="234"/>
      <c r="T134" s="538">
        <f>T135</f>
        <v>8818429.21</v>
      </c>
      <c r="U134" s="534">
        <f t="shared" si="15"/>
        <v>57.61984520892548</v>
      </c>
    </row>
    <row r="135" spans="1:21" ht="31.5" customHeight="1">
      <c r="A135" s="215"/>
      <c r="B135" s="59" t="s">
        <v>505</v>
      </c>
      <c r="C135" s="59" t="s">
        <v>506</v>
      </c>
      <c r="D135" s="146" t="s">
        <v>30</v>
      </c>
      <c r="E135" s="146" t="s">
        <v>63</v>
      </c>
      <c r="F135" s="146" t="s">
        <v>124</v>
      </c>
      <c r="G135" s="146" t="s">
        <v>106</v>
      </c>
      <c r="H135" s="146" t="s">
        <v>70</v>
      </c>
      <c r="I135" s="146" t="s">
        <v>147</v>
      </c>
      <c r="J135" s="146" t="s">
        <v>23</v>
      </c>
      <c r="K135" s="146" t="s">
        <v>241</v>
      </c>
      <c r="L135" s="538">
        <v>15304500</v>
      </c>
      <c r="M135" s="250"/>
      <c r="N135" s="250"/>
      <c r="O135" s="250"/>
      <c r="P135" s="250"/>
      <c r="Q135" s="250"/>
      <c r="R135" s="250"/>
      <c r="S135" s="250"/>
      <c r="T135" s="538">
        <v>8818429.21</v>
      </c>
      <c r="U135" s="534">
        <f t="shared" si="15"/>
        <v>57.61984520892548</v>
      </c>
    </row>
    <row r="136" spans="1:21" ht="36.75" customHeight="1">
      <c r="A136" s="216" t="s">
        <v>771</v>
      </c>
      <c r="B136" s="56" t="s">
        <v>367</v>
      </c>
      <c r="C136" s="67" t="s">
        <v>215</v>
      </c>
      <c r="D136" s="146" t="s">
        <v>21</v>
      </c>
      <c r="E136" s="146" t="s">
        <v>63</v>
      </c>
      <c r="F136" s="146" t="s">
        <v>124</v>
      </c>
      <c r="G136" s="146" t="s">
        <v>175</v>
      </c>
      <c r="H136" s="146" t="s">
        <v>216</v>
      </c>
      <c r="I136" s="146" t="s">
        <v>22</v>
      </c>
      <c r="J136" s="146" t="s">
        <v>23</v>
      </c>
      <c r="K136" s="146" t="s">
        <v>241</v>
      </c>
      <c r="L136" s="547">
        <f>L137</f>
        <v>442300</v>
      </c>
      <c r="M136" s="234"/>
      <c r="N136" s="234"/>
      <c r="O136" s="234"/>
      <c r="P136" s="234"/>
      <c r="Q136" s="234"/>
      <c r="R136" s="234"/>
      <c r="S136" s="234"/>
      <c r="T136" s="547">
        <f>T137</f>
        <v>207255.66</v>
      </c>
      <c r="U136" s="534">
        <f t="shared" si="15"/>
        <v>46.858616323762156</v>
      </c>
    </row>
    <row r="137" spans="1:21" ht="44.25" customHeight="1">
      <c r="A137" s="216" t="s">
        <v>772</v>
      </c>
      <c r="B137" s="67" t="s">
        <v>69</v>
      </c>
      <c r="C137" s="59" t="s">
        <v>774</v>
      </c>
      <c r="D137" s="146" t="s">
        <v>30</v>
      </c>
      <c r="E137" s="146" t="s">
        <v>63</v>
      </c>
      <c r="F137" s="146" t="s">
        <v>124</v>
      </c>
      <c r="G137" s="146" t="s">
        <v>175</v>
      </c>
      <c r="H137" s="146" t="s">
        <v>216</v>
      </c>
      <c r="I137" s="146" t="s">
        <v>123</v>
      </c>
      <c r="J137" s="146" t="s">
        <v>23</v>
      </c>
      <c r="K137" s="146" t="s">
        <v>241</v>
      </c>
      <c r="L137" s="538">
        <v>442300</v>
      </c>
      <c r="M137" s="248"/>
      <c r="N137" s="248"/>
      <c r="O137" s="248"/>
      <c r="P137" s="248"/>
      <c r="Q137" s="248"/>
      <c r="R137" s="248"/>
      <c r="S137" s="248"/>
      <c r="T137" s="538">
        <v>207255.66</v>
      </c>
      <c r="U137" s="534">
        <f t="shared" si="15"/>
        <v>46.858616323762156</v>
      </c>
    </row>
    <row r="138" spans="1:21" ht="30" customHeight="1">
      <c r="A138" s="214"/>
      <c r="B138" s="59" t="s">
        <v>506</v>
      </c>
      <c r="C138" s="173" t="s">
        <v>368</v>
      </c>
      <c r="D138" s="162" t="s">
        <v>21</v>
      </c>
      <c r="E138" s="162" t="s">
        <v>63</v>
      </c>
      <c r="F138" s="162" t="s">
        <v>124</v>
      </c>
      <c r="G138" s="162" t="s">
        <v>175</v>
      </c>
      <c r="H138" s="162" t="s">
        <v>43</v>
      </c>
      <c r="I138" s="162" t="s">
        <v>22</v>
      </c>
      <c r="J138" s="162" t="s">
        <v>23</v>
      </c>
      <c r="K138" s="162" t="s">
        <v>241</v>
      </c>
      <c r="L138" s="538">
        <f>L139</f>
        <v>200</v>
      </c>
      <c r="M138" s="234"/>
      <c r="N138" s="234"/>
      <c r="O138" s="234"/>
      <c r="P138" s="234"/>
      <c r="Q138" s="234"/>
      <c r="R138" s="234"/>
      <c r="S138" s="234"/>
      <c r="T138" s="538">
        <f>T139</f>
        <v>200</v>
      </c>
      <c r="U138" s="534">
        <f t="shared" si="15"/>
        <v>100</v>
      </c>
    </row>
    <row r="139" spans="1:21" ht="54" customHeight="1">
      <c r="A139" s="216" t="s">
        <v>773</v>
      </c>
      <c r="B139" s="67" t="s">
        <v>215</v>
      </c>
      <c r="C139" s="59" t="s">
        <v>507</v>
      </c>
      <c r="D139" s="146" t="s">
        <v>30</v>
      </c>
      <c r="E139" s="146" t="s">
        <v>63</v>
      </c>
      <c r="F139" s="146" t="s">
        <v>124</v>
      </c>
      <c r="G139" s="146" t="s">
        <v>175</v>
      </c>
      <c r="H139" s="146" t="s">
        <v>43</v>
      </c>
      <c r="I139" s="146" t="s">
        <v>147</v>
      </c>
      <c r="J139" s="146" t="s">
        <v>23</v>
      </c>
      <c r="K139" s="146" t="s">
        <v>241</v>
      </c>
      <c r="L139" s="547">
        <v>200</v>
      </c>
      <c r="M139" s="250"/>
      <c r="N139" s="250"/>
      <c r="O139" s="250"/>
      <c r="P139" s="250"/>
      <c r="Q139" s="250"/>
      <c r="R139" s="250"/>
      <c r="S139" s="250"/>
      <c r="T139" s="547">
        <v>200</v>
      </c>
      <c r="U139" s="534">
        <f t="shared" si="15"/>
        <v>100</v>
      </c>
    </row>
    <row r="140" spans="1:21" ht="37.5" customHeight="1">
      <c r="A140" s="215"/>
      <c r="B140" s="59" t="s">
        <v>774</v>
      </c>
      <c r="C140" s="67" t="s">
        <v>307</v>
      </c>
      <c r="D140" s="146" t="s">
        <v>21</v>
      </c>
      <c r="E140" s="146" t="s">
        <v>63</v>
      </c>
      <c r="F140" s="146" t="s">
        <v>124</v>
      </c>
      <c r="G140" s="146" t="s">
        <v>305</v>
      </c>
      <c r="H140" s="146" t="s">
        <v>306</v>
      </c>
      <c r="I140" s="146" t="s">
        <v>22</v>
      </c>
      <c r="J140" s="146" t="s">
        <v>23</v>
      </c>
      <c r="K140" s="146" t="s">
        <v>241</v>
      </c>
      <c r="L140" s="538">
        <f>L141</f>
        <v>1530900</v>
      </c>
      <c r="M140" s="234"/>
      <c r="N140" s="234"/>
      <c r="O140" s="234"/>
      <c r="P140" s="234"/>
      <c r="Q140" s="234"/>
      <c r="R140" s="234"/>
      <c r="S140" s="234"/>
      <c r="T140" s="538">
        <f>T141</f>
        <v>1131605.06</v>
      </c>
      <c r="U140" s="534">
        <f t="shared" si="15"/>
        <v>73.91763407146124</v>
      </c>
    </row>
    <row r="141" spans="1:21" ht="42" customHeight="1">
      <c r="A141" s="216" t="s">
        <v>775</v>
      </c>
      <c r="B141" s="173" t="s">
        <v>368</v>
      </c>
      <c r="C141" s="59" t="s">
        <v>508</v>
      </c>
      <c r="D141" s="146" t="s">
        <v>30</v>
      </c>
      <c r="E141" s="146" t="s">
        <v>63</v>
      </c>
      <c r="F141" s="146" t="s">
        <v>124</v>
      </c>
      <c r="G141" s="146" t="s">
        <v>305</v>
      </c>
      <c r="H141" s="146" t="s">
        <v>306</v>
      </c>
      <c r="I141" s="146" t="s">
        <v>147</v>
      </c>
      <c r="J141" s="146" t="s">
        <v>23</v>
      </c>
      <c r="K141" s="146" t="s">
        <v>241</v>
      </c>
      <c r="L141" s="547">
        <v>1530900</v>
      </c>
      <c r="M141" s="248"/>
      <c r="N141" s="248"/>
      <c r="O141" s="248"/>
      <c r="P141" s="248"/>
      <c r="Q141" s="248"/>
      <c r="R141" s="248"/>
      <c r="S141" s="248"/>
      <c r="T141" s="547">
        <v>1131605.06</v>
      </c>
      <c r="U141" s="534">
        <f t="shared" si="15"/>
        <v>73.91763407146124</v>
      </c>
    </row>
    <row r="142" spans="1:21" ht="28.5" customHeight="1">
      <c r="A142" s="215"/>
      <c r="B142" s="59" t="s">
        <v>507</v>
      </c>
      <c r="C142" s="56" t="s">
        <v>72</v>
      </c>
      <c r="D142" s="146" t="s">
        <v>21</v>
      </c>
      <c r="E142" s="146" t="s">
        <v>63</v>
      </c>
      <c r="F142" s="146" t="s">
        <v>124</v>
      </c>
      <c r="G142" s="146" t="s">
        <v>217</v>
      </c>
      <c r="H142" s="146" t="s">
        <v>68</v>
      </c>
      <c r="I142" s="146" t="s">
        <v>22</v>
      </c>
      <c r="J142" s="146" t="s">
        <v>23</v>
      </c>
      <c r="K142" s="146" t="s">
        <v>241</v>
      </c>
      <c r="L142" s="538">
        <f>L143</f>
        <v>227537000</v>
      </c>
      <c r="M142" s="234"/>
      <c r="N142" s="234"/>
      <c r="O142" s="234"/>
      <c r="P142" s="234"/>
      <c r="Q142" s="234"/>
      <c r="R142" s="234"/>
      <c r="S142" s="234"/>
      <c r="T142" s="538">
        <f>T143</f>
        <v>179945351.56</v>
      </c>
      <c r="U142" s="534">
        <f t="shared" si="15"/>
        <v>79.08399581606508</v>
      </c>
    </row>
    <row r="143" spans="1:21" ht="21" customHeight="1">
      <c r="A143" s="216" t="s">
        <v>776</v>
      </c>
      <c r="B143" s="67" t="s">
        <v>307</v>
      </c>
      <c r="C143" s="55" t="s">
        <v>509</v>
      </c>
      <c r="D143" s="146" t="s">
        <v>30</v>
      </c>
      <c r="E143" s="146" t="s">
        <v>63</v>
      </c>
      <c r="F143" s="146" t="s">
        <v>124</v>
      </c>
      <c r="G143" s="146" t="s">
        <v>217</v>
      </c>
      <c r="H143" s="146" t="s">
        <v>68</v>
      </c>
      <c r="I143" s="146" t="s">
        <v>147</v>
      </c>
      <c r="J143" s="146" t="s">
        <v>23</v>
      </c>
      <c r="K143" s="146" t="s">
        <v>241</v>
      </c>
      <c r="L143" s="538">
        <v>227537000</v>
      </c>
      <c r="M143" s="239" t="e">
        <f>M144+M146+M148+M150+#REF!</f>
        <v>#REF!</v>
      </c>
      <c r="N143" s="239" t="e">
        <f>N144+N146+N148+N150+#REF!</f>
        <v>#REF!</v>
      </c>
      <c r="O143" s="239" t="e">
        <f>O144+O146+O148+O150+#REF!</f>
        <v>#REF!</v>
      </c>
      <c r="P143" s="239" t="e">
        <f>P144+P146+P148+P150+#REF!</f>
        <v>#REF!</v>
      </c>
      <c r="Q143" s="239" t="e">
        <f>Q144+Q146+Q148+Q150+#REF!</f>
        <v>#REF!</v>
      </c>
      <c r="R143" s="239" t="e">
        <f>R144+R146+R148+R150+#REF!</f>
        <v>#REF!</v>
      </c>
      <c r="S143" s="239" t="e">
        <f>S144+S146+S148+S150+#REF!</f>
        <v>#REF!</v>
      </c>
      <c r="T143" s="538">
        <v>179945351.56</v>
      </c>
      <c r="U143" s="534">
        <f t="shared" si="15"/>
        <v>79.08399581606508</v>
      </c>
    </row>
    <row r="144" spans="1:21" ht="29.25" customHeight="1">
      <c r="A144" s="215"/>
      <c r="B144" s="59" t="s">
        <v>508</v>
      </c>
      <c r="C144" s="56" t="s">
        <v>153</v>
      </c>
      <c r="D144" s="66" t="s">
        <v>21</v>
      </c>
      <c r="E144" s="66" t="s">
        <v>63</v>
      </c>
      <c r="F144" s="66" t="s">
        <v>124</v>
      </c>
      <c r="G144" s="66" t="s">
        <v>219</v>
      </c>
      <c r="H144" s="66" t="s">
        <v>21</v>
      </c>
      <c r="I144" s="66" t="s">
        <v>22</v>
      </c>
      <c r="J144" s="66" t="s">
        <v>23</v>
      </c>
      <c r="K144" s="66" t="s">
        <v>241</v>
      </c>
      <c r="L144" s="537">
        <f>L145+L147</f>
        <v>76540624.56</v>
      </c>
      <c r="M144" s="248"/>
      <c r="N144" s="248"/>
      <c r="O144" s="248"/>
      <c r="P144" s="248"/>
      <c r="Q144" s="248"/>
      <c r="R144" s="248"/>
      <c r="S144" s="248"/>
      <c r="T144" s="537">
        <f>T145+T147</f>
        <v>16527473.24</v>
      </c>
      <c r="U144" s="533">
        <f t="shared" si="15"/>
        <v>21.593073397309627</v>
      </c>
    </row>
    <row r="145" spans="1:21" ht="28.5" customHeight="1">
      <c r="A145" s="216" t="s">
        <v>777</v>
      </c>
      <c r="B145" s="56" t="s">
        <v>72</v>
      </c>
      <c r="C145" s="56" t="s">
        <v>308</v>
      </c>
      <c r="D145" s="146" t="s">
        <v>21</v>
      </c>
      <c r="E145" s="146" t="s">
        <v>63</v>
      </c>
      <c r="F145" s="146" t="s">
        <v>124</v>
      </c>
      <c r="G145" s="146" t="s">
        <v>95</v>
      </c>
      <c r="H145" s="146" t="s">
        <v>309</v>
      </c>
      <c r="I145" s="146" t="s">
        <v>22</v>
      </c>
      <c r="J145" s="146" t="s">
        <v>23</v>
      </c>
      <c r="K145" s="146" t="s">
        <v>241</v>
      </c>
      <c r="L145" s="538">
        <f>L146</f>
        <v>13007000</v>
      </c>
      <c r="M145" s="234"/>
      <c r="N145" s="234"/>
      <c r="O145" s="234"/>
      <c r="P145" s="234"/>
      <c r="Q145" s="234"/>
      <c r="R145" s="234"/>
      <c r="S145" s="234"/>
      <c r="T145" s="538">
        <f>T146</f>
        <v>9489723.83</v>
      </c>
      <c r="U145" s="534">
        <f t="shared" si="15"/>
        <v>72.95859022065042</v>
      </c>
    </row>
    <row r="146" spans="1:21" ht="53.25" customHeight="1">
      <c r="A146" s="215"/>
      <c r="B146" s="55" t="s">
        <v>509</v>
      </c>
      <c r="C146" s="55" t="s">
        <v>510</v>
      </c>
      <c r="D146" s="146" t="s">
        <v>30</v>
      </c>
      <c r="E146" s="146" t="s">
        <v>63</v>
      </c>
      <c r="F146" s="146" t="s">
        <v>124</v>
      </c>
      <c r="G146" s="146" t="s">
        <v>95</v>
      </c>
      <c r="H146" s="146" t="s">
        <v>309</v>
      </c>
      <c r="I146" s="146" t="s">
        <v>147</v>
      </c>
      <c r="J146" s="146" t="s">
        <v>23</v>
      </c>
      <c r="K146" s="146" t="s">
        <v>241</v>
      </c>
      <c r="L146" s="538">
        <v>13007000</v>
      </c>
      <c r="M146" s="234"/>
      <c r="N146" s="234"/>
      <c r="O146" s="234"/>
      <c r="P146" s="234"/>
      <c r="Q146" s="234"/>
      <c r="R146" s="234"/>
      <c r="S146" s="234"/>
      <c r="T146" s="538">
        <v>9489723.83</v>
      </c>
      <c r="U146" s="534">
        <f t="shared" si="15"/>
        <v>72.95859022065042</v>
      </c>
    </row>
    <row r="147" spans="1:21" ht="24" customHeight="1">
      <c r="A147" s="216" t="s">
        <v>778</v>
      </c>
      <c r="B147" s="56" t="s">
        <v>153</v>
      </c>
      <c r="C147" s="67" t="s">
        <v>369</v>
      </c>
      <c r="D147" s="146" t="s">
        <v>21</v>
      </c>
      <c r="E147" s="146" t="s">
        <v>63</v>
      </c>
      <c r="F147" s="146" t="s">
        <v>124</v>
      </c>
      <c r="G147" s="146" t="s">
        <v>96</v>
      </c>
      <c r="H147" s="146" t="s">
        <v>68</v>
      </c>
      <c r="I147" s="146" t="s">
        <v>22</v>
      </c>
      <c r="J147" s="146" t="s">
        <v>23</v>
      </c>
      <c r="K147" s="146" t="s">
        <v>241</v>
      </c>
      <c r="L147" s="283">
        <f>L148</f>
        <v>63533624.56</v>
      </c>
      <c r="M147" s="234"/>
      <c r="N147" s="234"/>
      <c r="O147" s="234"/>
      <c r="P147" s="234"/>
      <c r="Q147" s="234"/>
      <c r="R147" s="234"/>
      <c r="S147" s="234"/>
      <c r="T147" s="283">
        <f>T148</f>
        <v>7037749.41</v>
      </c>
      <c r="U147" s="534">
        <f t="shared" si="15"/>
        <v>11.077204328793924</v>
      </c>
    </row>
    <row r="148" spans="1:21" ht="34.5" customHeight="1">
      <c r="A148" s="216" t="s">
        <v>779</v>
      </c>
      <c r="B148" s="56" t="s">
        <v>308</v>
      </c>
      <c r="C148" s="59" t="s">
        <v>511</v>
      </c>
      <c r="D148" s="146" t="s">
        <v>30</v>
      </c>
      <c r="E148" s="146" t="s">
        <v>63</v>
      </c>
      <c r="F148" s="146" t="s">
        <v>124</v>
      </c>
      <c r="G148" s="146" t="s">
        <v>96</v>
      </c>
      <c r="H148" s="146" t="s">
        <v>68</v>
      </c>
      <c r="I148" s="146" t="s">
        <v>147</v>
      </c>
      <c r="J148" s="146" t="s">
        <v>23</v>
      </c>
      <c r="K148" s="146" t="s">
        <v>241</v>
      </c>
      <c r="L148" s="283">
        <v>63533624.56</v>
      </c>
      <c r="M148" s="248"/>
      <c r="N148" s="248"/>
      <c r="O148" s="248"/>
      <c r="P148" s="248"/>
      <c r="Q148" s="248"/>
      <c r="R148" s="248"/>
      <c r="S148" s="248"/>
      <c r="T148" s="283">
        <v>7037749.41</v>
      </c>
      <c r="U148" s="534">
        <f t="shared" si="15"/>
        <v>11.077204328793924</v>
      </c>
    </row>
    <row r="149" spans="1:21" ht="25.5" customHeight="1">
      <c r="A149" s="313"/>
      <c r="B149" s="55" t="s">
        <v>510</v>
      </c>
      <c r="C149" s="56" t="s">
        <v>371</v>
      </c>
      <c r="D149" s="66" t="s">
        <v>21</v>
      </c>
      <c r="E149" s="66" t="s">
        <v>63</v>
      </c>
      <c r="F149" s="66" t="s">
        <v>118</v>
      </c>
      <c r="G149" s="66" t="s">
        <v>22</v>
      </c>
      <c r="H149" s="66" t="s">
        <v>21</v>
      </c>
      <c r="I149" s="66" t="s">
        <v>22</v>
      </c>
      <c r="J149" s="66" t="s">
        <v>23</v>
      </c>
      <c r="K149" s="66" t="s">
        <v>241</v>
      </c>
      <c r="L149" s="537">
        <f>L150</f>
        <v>545216.06</v>
      </c>
      <c r="M149" s="234"/>
      <c r="N149" s="234"/>
      <c r="O149" s="234"/>
      <c r="P149" s="234"/>
      <c r="Q149" s="234"/>
      <c r="R149" s="234"/>
      <c r="S149" s="251"/>
      <c r="T149" s="537">
        <f>T150</f>
        <v>829411.45</v>
      </c>
      <c r="U149" s="533">
        <f t="shared" si="15"/>
        <v>152.12527855470725</v>
      </c>
    </row>
    <row r="150" spans="1:21" s="14" customFormat="1" ht="18.75" customHeight="1">
      <c r="A150" s="216" t="s">
        <v>780</v>
      </c>
      <c r="B150" s="67" t="s">
        <v>369</v>
      </c>
      <c r="C150" s="55" t="s">
        <v>512</v>
      </c>
      <c r="D150" s="146" t="s">
        <v>30</v>
      </c>
      <c r="E150" s="146" t="s">
        <v>63</v>
      </c>
      <c r="F150" s="146" t="s">
        <v>118</v>
      </c>
      <c r="G150" s="146" t="s">
        <v>127</v>
      </c>
      <c r="H150" s="146" t="s">
        <v>42</v>
      </c>
      <c r="I150" s="146" t="s">
        <v>147</v>
      </c>
      <c r="J150" s="146" t="s">
        <v>23</v>
      </c>
      <c r="K150" s="146" t="s">
        <v>241</v>
      </c>
      <c r="L150" s="538">
        <v>545216.06</v>
      </c>
      <c r="M150" s="252">
        <f aca="true" t="shared" si="31" ref="M150:S150">M151</f>
        <v>0</v>
      </c>
      <c r="N150" s="252">
        <f t="shared" si="31"/>
        <v>0</v>
      </c>
      <c r="O150" s="252">
        <f t="shared" si="31"/>
        <v>0</v>
      </c>
      <c r="P150" s="252">
        <f t="shared" si="31"/>
        <v>0</v>
      </c>
      <c r="Q150" s="252">
        <f t="shared" si="31"/>
        <v>0</v>
      </c>
      <c r="R150" s="252">
        <f t="shared" si="31"/>
        <v>0</v>
      </c>
      <c r="S150" s="252">
        <f t="shared" si="31"/>
        <v>0</v>
      </c>
      <c r="T150" s="538">
        <v>829411.45</v>
      </c>
      <c r="U150" s="534">
        <f t="shared" si="15"/>
        <v>152.12527855470725</v>
      </c>
    </row>
    <row r="151" spans="1:21" s="14" customFormat="1" ht="34.5" customHeight="1">
      <c r="A151" s="313"/>
      <c r="B151" s="59" t="s">
        <v>511</v>
      </c>
      <c r="C151" s="56" t="s">
        <v>513</v>
      </c>
      <c r="D151" s="66" t="s">
        <v>21</v>
      </c>
      <c r="E151" s="66" t="s">
        <v>63</v>
      </c>
      <c r="F151" s="66" t="s">
        <v>73</v>
      </c>
      <c r="G151" s="66" t="s">
        <v>22</v>
      </c>
      <c r="H151" s="66" t="s">
        <v>21</v>
      </c>
      <c r="I151" s="66" t="s">
        <v>22</v>
      </c>
      <c r="J151" s="66" t="s">
        <v>23</v>
      </c>
      <c r="K151" s="66" t="s">
        <v>241</v>
      </c>
      <c r="L151" s="537">
        <f>L152</f>
        <v>-3410135.71</v>
      </c>
      <c r="M151" s="234"/>
      <c r="N151" s="234"/>
      <c r="O151" s="234"/>
      <c r="P151" s="234"/>
      <c r="Q151" s="234"/>
      <c r="R151" s="234"/>
      <c r="S151" s="251"/>
      <c r="T151" s="537">
        <f>T152</f>
        <v>-3410135.71</v>
      </c>
      <c r="U151" s="533">
        <f t="shared" si="15"/>
        <v>100</v>
      </c>
    </row>
    <row r="152" spans="1:21" ht="48" customHeight="1">
      <c r="A152" s="216" t="s">
        <v>781</v>
      </c>
      <c r="B152" s="56" t="s">
        <v>371</v>
      </c>
      <c r="C152" s="56" t="s">
        <v>514</v>
      </c>
      <c r="D152" s="146" t="s">
        <v>30</v>
      </c>
      <c r="E152" s="146" t="s">
        <v>63</v>
      </c>
      <c r="F152" s="146" t="s">
        <v>73</v>
      </c>
      <c r="G152" s="146" t="s">
        <v>94</v>
      </c>
      <c r="H152" s="146" t="s">
        <v>28</v>
      </c>
      <c r="I152" s="146" t="s">
        <v>22</v>
      </c>
      <c r="J152" s="146" t="s">
        <v>23</v>
      </c>
      <c r="K152" s="146" t="s">
        <v>241</v>
      </c>
      <c r="L152" s="538">
        <f>L153</f>
        <v>-3410135.71</v>
      </c>
      <c r="M152" s="250"/>
      <c r="N152" s="250"/>
      <c r="O152" s="250"/>
      <c r="P152" s="250"/>
      <c r="Q152" s="250"/>
      <c r="R152" s="250"/>
      <c r="S152" s="253"/>
      <c r="T152" s="538">
        <f>T153</f>
        <v>-3410135.71</v>
      </c>
      <c r="U152" s="534">
        <f t="shared" si="15"/>
        <v>100</v>
      </c>
    </row>
    <row r="153" spans="1:21" ht="51" customHeight="1" thickBot="1">
      <c r="A153" s="314"/>
      <c r="B153" s="315" t="s">
        <v>512</v>
      </c>
      <c r="C153" s="315" t="s">
        <v>515</v>
      </c>
      <c r="D153" s="162" t="s">
        <v>30</v>
      </c>
      <c r="E153" s="162" t="s">
        <v>63</v>
      </c>
      <c r="F153" s="162" t="s">
        <v>73</v>
      </c>
      <c r="G153" s="162" t="s">
        <v>94</v>
      </c>
      <c r="H153" s="162" t="s">
        <v>28</v>
      </c>
      <c r="I153" s="162" t="s">
        <v>147</v>
      </c>
      <c r="J153" s="162" t="s">
        <v>23</v>
      </c>
      <c r="K153" s="162" t="s">
        <v>241</v>
      </c>
      <c r="L153" s="548">
        <v>-3410135.71</v>
      </c>
      <c r="M153" s="529"/>
      <c r="N153" s="529"/>
      <c r="O153" s="529"/>
      <c r="P153" s="529"/>
      <c r="Q153" s="529"/>
      <c r="R153" s="529"/>
      <c r="S153" s="530"/>
      <c r="T153" s="548">
        <v>-3410135.71</v>
      </c>
      <c r="U153" s="535">
        <f t="shared" si="15"/>
        <v>100</v>
      </c>
    </row>
    <row r="154" spans="1:21" ht="39" customHeight="1" thickBot="1">
      <c r="A154" s="531" t="s">
        <v>782</v>
      </c>
      <c r="B154" s="316" t="s">
        <v>513</v>
      </c>
      <c r="C154" s="316" t="s">
        <v>74</v>
      </c>
      <c r="D154" s="322"/>
      <c r="E154" s="322"/>
      <c r="F154" s="322"/>
      <c r="G154" s="322"/>
      <c r="H154" s="322"/>
      <c r="I154" s="322"/>
      <c r="J154" s="322"/>
      <c r="K154" s="322"/>
      <c r="L154" s="321">
        <f aca="true" t="shared" si="32" ref="L154:T154">L8+L109</f>
        <v>1321829600</v>
      </c>
      <c r="M154" s="321" t="e">
        <f t="shared" si="32"/>
        <v>#REF!</v>
      </c>
      <c r="N154" s="321" t="e">
        <f t="shared" si="32"/>
        <v>#REF!</v>
      </c>
      <c r="O154" s="321" t="e">
        <f t="shared" si="32"/>
        <v>#REF!</v>
      </c>
      <c r="P154" s="321" t="e">
        <f t="shared" si="32"/>
        <v>#REF!</v>
      </c>
      <c r="Q154" s="321" t="e">
        <f t="shared" si="32"/>
        <v>#REF!</v>
      </c>
      <c r="R154" s="321" t="e">
        <f t="shared" si="32"/>
        <v>#REF!</v>
      </c>
      <c r="S154" s="321" t="e">
        <f t="shared" si="32"/>
        <v>#REF!</v>
      </c>
      <c r="T154" s="321">
        <f t="shared" si="32"/>
        <v>947984912.35</v>
      </c>
      <c r="U154" s="532">
        <f t="shared" si="15"/>
        <v>71.71763382738592</v>
      </c>
    </row>
    <row r="155" spans="1:21" ht="18.75">
      <c r="A155" s="296"/>
      <c r="B155" s="7"/>
      <c r="C155" s="225"/>
      <c r="D155" s="297"/>
      <c r="E155" s="297"/>
      <c r="F155" s="297"/>
      <c r="G155" s="297"/>
      <c r="H155" s="297"/>
      <c r="I155" s="297"/>
      <c r="J155" s="297"/>
      <c r="K155" s="297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"/>
      <c r="M156" s="15"/>
      <c r="N156" s="15"/>
      <c r="O156" s="15"/>
      <c r="P156" s="15"/>
      <c r="Q156" s="15"/>
      <c r="R156" s="15"/>
      <c r="S156" s="15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5"/>
      <c r="M157" s="15"/>
      <c r="N157" s="15"/>
      <c r="O157" s="15"/>
      <c r="P157" s="15"/>
      <c r="Q157" s="15"/>
      <c r="R157" s="15"/>
      <c r="S157" s="15"/>
    </row>
    <row r="158" spans="1:20" ht="24.75" customHeight="1">
      <c r="A158" s="6"/>
      <c r="B158" s="7"/>
      <c r="C158" s="6"/>
      <c r="D158" s="8"/>
      <c r="E158" s="8"/>
      <c r="F158" s="8"/>
      <c r="G158" s="8"/>
      <c r="H158" s="8"/>
      <c r="I158" s="8"/>
      <c r="J158" s="446" t="s">
        <v>432</v>
      </c>
      <c r="K158" s="446"/>
      <c r="L158" s="207">
        <f>L159</f>
        <v>227537000</v>
      </c>
      <c r="M158" s="15"/>
      <c r="N158" s="15"/>
      <c r="O158" s="15"/>
      <c r="P158" s="15"/>
      <c r="Q158" s="15"/>
      <c r="R158" s="15"/>
      <c r="S158" s="15"/>
      <c r="T158" s="207"/>
    </row>
    <row r="159" spans="1:20" ht="15.75" customHeight="1">
      <c r="A159" s="6"/>
      <c r="B159" s="7"/>
      <c r="C159" s="6"/>
      <c r="D159" s="8"/>
      <c r="E159" s="8"/>
      <c r="F159" s="8"/>
      <c r="G159" s="8"/>
      <c r="H159" s="8"/>
      <c r="I159" s="8"/>
      <c r="J159" s="447" t="s">
        <v>437</v>
      </c>
      <c r="K159" s="447"/>
      <c r="L159" s="325">
        <v>227537000</v>
      </c>
      <c r="M159" s="15"/>
      <c r="N159" s="15"/>
      <c r="O159" s="15"/>
      <c r="P159" s="15"/>
      <c r="Q159" s="15"/>
      <c r="R159" s="15"/>
      <c r="S159" s="15"/>
      <c r="T159" s="208"/>
    </row>
    <row r="160" spans="1:20" ht="18.75">
      <c r="A160" s="6"/>
      <c r="B160" s="7"/>
      <c r="C160" s="6"/>
      <c r="D160" s="8"/>
      <c r="E160" s="8"/>
      <c r="F160" s="8"/>
      <c r="G160" s="8"/>
      <c r="H160" s="8"/>
      <c r="I160" s="8"/>
      <c r="J160" s="176"/>
      <c r="K160" s="177"/>
      <c r="L160" s="326"/>
      <c r="M160" s="15"/>
      <c r="N160" s="15"/>
      <c r="O160" s="15"/>
      <c r="P160" s="15"/>
      <c r="Q160" s="15"/>
      <c r="R160" s="15"/>
      <c r="S160" s="15"/>
      <c r="T160" s="175"/>
    </row>
    <row r="161" spans="1:20" ht="18.75">
      <c r="A161" s="6"/>
      <c r="B161" s="7"/>
      <c r="C161" s="6"/>
      <c r="D161" s="8"/>
      <c r="E161" s="8"/>
      <c r="F161" s="8"/>
      <c r="G161" s="8"/>
      <c r="H161" s="8"/>
      <c r="I161" s="8"/>
      <c r="J161" s="176"/>
      <c r="K161" s="177"/>
      <c r="L161" s="325"/>
      <c r="M161" s="15"/>
      <c r="N161" s="15"/>
      <c r="O161" s="15"/>
      <c r="P161" s="15"/>
      <c r="Q161" s="15"/>
      <c r="R161" s="15"/>
      <c r="S161" s="15"/>
      <c r="T161" s="208"/>
    </row>
    <row r="162" spans="1:20" ht="18.75">
      <c r="A162" s="6"/>
      <c r="B162" s="7"/>
      <c r="C162" s="6"/>
      <c r="D162" s="8"/>
      <c r="E162" s="8"/>
      <c r="F162" s="8"/>
      <c r="G162" s="8"/>
      <c r="H162" s="8"/>
      <c r="I162" s="8"/>
      <c r="J162" s="209" t="s">
        <v>422</v>
      </c>
      <c r="L162" s="327">
        <f>SUM(L163:L168)</f>
        <v>15304500</v>
      </c>
      <c r="M162" s="15"/>
      <c r="N162" s="15"/>
      <c r="O162" s="15"/>
      <c r="P162" s="15"/>
      <c r="Q162" s="15"/>
      <c r="R162" s="15"/>
      <c r="S162" s="15"/>
      <c r="T162" s="207"/>
    </row>
    <row r="163" spans="1:20" ht="18.75">
      <c r="A163" s="6"/>
      <c r="B163" s="7"/>
      <c r="C163" s="6"/>
      <c r="D163" s="8"/>
      <c r="E163" s="8"/>
      <c r="F163" s="8"/>
      <c r="G163" s="8"/>
      <c r="H163" s="8"/>
      <c r="I163" s="8"/>
      <c r="J163" s="33" t="s">
        <v>433</v>
      </c>
      <c r="L163" s="325">
        <v>3908300</v>
      </c>
      <c r="M163" s="15"/>
      <c r="N163" s="15"/>
      <c r="O163" s="15"/>
      <c r="P163" s="15"/>
      <c r="Q163" s="15"/>
      <c r="R163" s="15"/>
      <c r="S163" s="15"/>
      <c r="T163" s="210"/>
    </row>
    <row r="164" spans="1:20" ht="18.75">
      <c r="A164" s="6"/>
      <c r="B164" s="7"/>
      <c r="C164" s="6"/>
      <c r="D164" s="8"/>
      <c r="E164" s="8"/>
      <c r="F164" s="8"/>
      <c r="G164" s="8"/>
      <c r="H164" s="8"/>
      <c r="I164" s="8"/>
      <c r="J164" s="33" t="s">
        <v>434</v>
      </c>
      <c r="L164" s="325">
        <v>5546500</v>
      </c>
      <c r="M164" s="15"/>
      <c r="N164" s="15"/>
      <c r="O164" s="15"/>
      <c r="P164" s="15"/>
      <c r="Q164" s="15"/>
      <c r="R164" s="15"/>
      <c r="S164" s="15"/>
      <c r="T164" s="210"/>
    </row>
    <row r="165" spans="1:20" ht="18.75">
      <c r="A165" s="6"/>
      <c r="B165" s="7"/>
      <c r="C165" s="6"/>
      <c r="D165" s="8"/>
      <c r="E165" s="8"/>
      <c r="F165" s="8"/>
      <c r="G165" s="8"/>
      <c r="H165" s="8"/>
      <c r="I165" s="8"/>
      <c r="J165" s="33" t="s">
        <v>435</v>
      </c>
      <c r="L165" s="325">
        <v>369000</v>
      </c>
      <c r="M165" s="15"/>
      <c r="N165" s="15"/>
      <c r="O165" s="15"/>
      <c r="P165" s="15"/>
      <c r="Q165" s="15"/>
      <c r="R165" s="15"/>
      <c r="S165" s="15"/>
      <c r="T165" s="210"/>
    </row>
    <row r="166" spans="1:20" ht="18.75">
      <c r="A166" s="6"/>
      <c r="B166" s="7"/>
      <c r="C166" s="6"/>
      <c r="D166" s="8"/>
      <c r="E166" s="8"/>
      <c r="F166" s="8"/>
      <c r="G166" s="8"/>
      <c r="H166" s="8"/>
      <c r="I166" s="8"/>
      <c r="J166" s="33" t="s">
        <v>436</v>
      </c>
      <c r="L166" s="325">
        <v>1502700</v>
      </c>
      <c r="M166" s="15"/>
      <c r="N166" s="15"/>
      <c r="O166" s="15"/>
      <c r="P166" s="15"/>
      <c r="Q166" s="15"/>
      <c r="R166" s="15"/>
      <c r="S166" s="15"/>
      <c r="T166" s="210"/>
    </row>
    <row r="167" spans="1:20" ht="18.75">
      <c r="A167" s="6"/>
      <c r="B167" s="7"/>
      <c r="C167" s="6"/>
      <c r="D167" s="8"/>
      <c r="E167" s="8"/>
      <c r="F167" s="8"/>
      <c r="G167" s="8"/>
      <c r="H167" s="8"/>
      <c r="I167" s="8"/>
      <c r="J167" s="33" t="s">
        <v>421</v>
      </c>
      <c r="L167" s="325">
        <v>3900000</v>
      </c>
      <c r="M167" s="15"/>
      <c r="N167" s="15"/>
      <c r="O167" s="15"/>
      <c r="P167" s="15"/>
      <c r="Q167" s="15"/>
      <c r="R167" s="15"/>
      <c r="S167" s="15"/>
      <c r="T167" s="210"/>
    </row>
    <row r="168" spans="1:20" ht="15" customHeight="1">
      <c r="A168" s="6"/>
      <c r="B168" s="7"/>
      <c r="C168" s="6"/>
      <c r="D168" s="8"/>
      <c r="E168" s="8"/>
      <c r="F168" s="8"/>
      <c r="G168" s="8"/>
      <c r="H168" s="8"/>
      <c r="I168" s="8"/>
      <c r="J168" s="441" t="s">
        <v>421</v>
      </c>
      <c r="K168" s="441"/>
      <c r="L168" s="325">
        <v>78000</v>
      </c>
      <c r="M168" s="15"/>
      <c r="N168" s="15"/>
      <c r="O168" s="15"/>
      <c r="P168" s="15"/>
      <c r="Q168" s="15"/>
      <c r="R168" s="15"/>
      <c r="S168" s="15"/>
      <c r="T168" s="208"/>
    </row>
    <row r="169" spans="1:20" ht="18.75">
      <c r="A169" s="6"/>
      <c r="B169" s="7"/>
      <c r="C169" s="6"/>
      <c r="D169" s="8"/>
      <c r="E169" s="8"/>
      <c r="F169" s="8"/>
      <c r="G169" s="8"/>
      <c r="H169" s="8"/>
      <c r="I169" s="8"/>
      <c r="J169" s="176"/>
      <c r="K169" s="177"/>
      <c r="L169" s="326"/>
      <c r="M169" s="15"/>
      <c r="N169" s="15"/>
      <c r="O169" s="15"/>
      <c r="P169" s="15"/>
      <c r="Q169" s="15"/>
      <c r="R169" s="15"/>
      <c r="S169" s="15"/>
      <c r="T169" s="175"/>
    </row>
    <row r="170" spans="1:20" ht="18.75">
      <c r="A170" s="6"/>
      <c r="B170" s="7"/>
      <c r="C170" s="6"/>
      <c r="D170" s="8"/>
      <c r="E170" s="8"/>
      <c r="F170" s="8"/>
      <c r="G170" s="8"/>
      <c r="H170" s="8"/>
      <c r="I170" s="8"/>
      <c r="J170" s="176"/>
      <c r="K170" s="177"/>
      <c r="L170" s="325"/>
      <c r="M170" s="15"/>
      <c r="N170" s="15"/>
      <c r="O170" s="15"/>
      <c r="P170" s="15"/>
      <c r="Q170" s="15"/>
      <c r="R170" s="15"/>
      <c r="S170" s="15"/>
      <c r="T170" s="208"/>
    </row>
    <row r="171" spans="1:20" ht="18.75">
      <c r="A171" s="6"/>
      <c r="B171" s="7"/>
      <c r="C171" s="6"/>
      <c r="D171" s="8"/>
      <c r="E171" s="8"/>
      <c r="F171" s="8"/>
      <c r="G171" s="8"/>
      <c r="H171" s="8"/>
      <c r="I171" s="8"/>
      <c r="J171" s="209" t="s">
        <v>428</v>
      </c>
      <c r="L171" s="327">
        <f>SUM(L172:L174)</f>
        <v>1530900</v>
      </c>
      <c r="M171" s="15"/>
      <c r="N171" s="15"/>
      <c r="O171" s="15"/>
      <c r="P171" s="15"/>
      <c r="Q171" s="15"/>
      <c r="R171" s="15"/>
      <c r="S171" s="15"/>
      <c r="T171" s="207"/>
    </row>
    <row r="172" spans="1:20" ht="18.75">
      <c r="A172" s="6"/>
      <c r="B172" s="7"/>
      <c r="C172" s="6"/>
      <c r="D172" s="8"/>
      <c r="E172" s="8"/>
      <c r="F172" s="8"/>
      <c r="G172" s="8"/>
      <c r="H172" s="8"/>
      <c r="I172" s="8"/>
      <c r="J172" s="33" t="s">
        <v>429</v>
      </c>
      <c r="L172" s="325">
        <v>385100</v>
      </c>
      <c r="M172" s="15"/>
      <c r="N172" s="15"/>
      <c r="O172" s="15"/>
      <c r="P172" s="15"/>
      <c r="Q172" s="15"/>
      <c r="R172" s="15"/>
      <c r="S172" s="15"/>
      <c r="T172" s="208"/>
    </row>
    <row r="173" spans="1:20" ht="18.75">
      <c r="A173" s="6"/>
      <c r="B173" s="7"/>
      <c r="C173" s="6"/>
      <c r="J173" s="33" t="s">
        <v>419</v>
      </c>
      <c r="L173" s="325">
        <v>1069500</v>
      </c>
      <c r="T173" s="208"/>
    </row>
    <row r="174" spans="1:20" ht="18.75">
      <c r="A174" s="6"/>
      <c r="B174" s="7"/>
      <c r="J174" s="33" t="s">
        <v>420</v>
      </c>
      <c r="L174" s="325">
        <v>76300</v>
      </c>
      <c r="T174" s="208"/>
    </row>
    <row r="175" spans="1:20" ht="18.75">
      <c r="A175" s="6"/>
      <c r="B175" s="7"/>
      <c r="J175" s="179"/>
      <c r="K175" s="177"/>
      <c r="L175" s="326"/>
      <c r="T175" s="175"/>
    </row>
    <row r="176" spans="1:20" ht="18.75">
      <c r="A176" s="6"/>
      <c r="B176" s="7"/>
      <c r="J176" s="179"/>
      <c r="K176" s="177"/>
      <c r="L176" s="325"/>
      <c r="T176" s="208"/>
    </row>
    <row r="177" spans="10:20" ht="15.75">
      <c r="J177" s="209" t="s">
        <v>427</v>
      </c>
      <c r="L177" s="327">
        <f>SUM(L178:L187)</f>
        <v>98128750</v>
      </c>
      <c r="M177" s="207">
        <f aca="true" t="shared" si="33" ref="M177:S177">SUM(M178:M187)</f>
        <v>0</v>
      </c>
      <c r="N177" s="207">
        <f t="shared" si="33"/>
        <v>0</v>
      </c>
      <c r="O177" s="207">
        <f t="shared" si="33"/>
        <v>0</v>
      </c>
      <c r="P177" s="207">
        <f t="shared" si="33"/>
        <v>0</v>
      </c>
      <c r="Q177" s="207">
        <f t="shared" si="33"/>
        <v>0</v>
      </c>
      <c r="R177" s="207">
        <f t="shared" si="33"/>
        <v>0</v>
      </c>
      <c r="S177" s="207">
        <f t="shared" si="33"/>
        <v>0</v>
      </c>
      <c r="T177" s="207"/>
    </row>
    <row r="178" spans="10:20" ht="15.75">
      <c r="J178" s="33" t="s">
        <v>423</v>
      </c>
      <c r="L178" s="325">
        <v>1368000</v>
      </c>
      <c r="T178" s="210"/>
    </row>
    <row r="179" spans="10:20" ht="15.75">
      <c r="J179" s="33" t="s">
        <v>424</v>
      </c>
      <c r="L179" s="325">
        <v>1700000</v>
      </c>
      <c r="T179" s="210"/>
    </row>
    <row r="180" spans="10:20" ht="15.75">
      <c r="J180" s="33" t="s">
        <v>430</v>
      </c>
      <c r="L180" s="325">
        <v>2800600</v>
      </c>
      <c r="T180" s="210"/>
    </row>
    <row r="181" spans="10:20" ht="15.75">
      <c r="J181" s="33" t="s">
        <v>431</v>
      </c>
      <c r="L181" s="325">
        <v>1266400</v>
      </c>
      <c r="T181" s="210"/>
    </row>
    <row r="182" spans="10:20" ht="15.75">
      <c r="J182" s="33" t="s">
        <v>425</v>
      </c>
      <c r="L182" s="325">
        <v>2464000</v>
      </c>
      <c r="T182" s="210"/>
    </row>
    <row r="183" spans="10:20" ht="15.75">
      <c r="J183" s="33" t="s">
        <v>666</v>
      </c>
      <c r="L183" s="325">
        <v>21046800</v>
      </c>
      <c r="T183" s="210"/>
    </row>
    <row r="184" spans="10:20" ht="15.75">
      <c r="J184" s="33" t="s">
        <v>426</v>
      </c>
      <c r="L184" s="325">
        <v>9576000</v>
      </c>
      <c r="T184" s="210"/>
    </row>
    <row r="185" spans="10:20" ht="15.75">
      <c r="J185" s="33" t="s">
        <v>667</v>
      </c>
      <c r="L185" s="325">
        <v>17477950</v>
      </c>
      <c r="T185" s="210"/>
    </row>
    <row r="186" spans="10:20" ht="15.75">
      <c r="J186" s="33" t="s">
        <v>668</v>
      </c>
      <c r="L186" s="325">
        <v>10900000</v>
      </c>
      <c r="T186" s="210"/>
    </row>
    <row r="187" spans="10:20" ht="15.75">
      <c r="J187" s="440" t="s">
        <v>717</v>
      </c>
      <c r="K187" s="440"/>
      <c r="L187" s="325">
        <v>29529000</v>
      </c>
      <c r="T187" s="210"/>
    </row>
    <row r="188" spans="10:20" ht="15.75">
      <c r="J188" s="178"/>
      <c r="K188" s="177"/>
      <c r="L188" s="328"/>
      <c r="T188" s="174"/>
    </row>
    <row r="189" spans="10:20" ht="18.75">
      <c r="J189" s="292"/>
      <c r="K189" s="292"/>
      <c r="L189" s="329"/>
      <c r="M189" s="292"/>
      <c r="N189" s="292"/>
      <c r="O189" s="287"/>
      <c r="P189" s="281"/>
      <c r="Q189" s="282"/>
      <c r="R189" s="283">
        <v>4949900</v>
      </c>
      <c r="S189" s="284">
        <f>R189-P189</f>
        <v>4949900</v>
      </c>
      <c r="T189" s="292"/>
    </row>
    <row r="190" spans="10:20" ht="30" customHeight="1">
      <c r="J190" s="443" t="s">
        <v>714</v>
      </c>
      <c r="K190" s="443"/>
      <c r="L190" s="324">
        <f>SUM(L191:L193)</f>
        <v>63533624.56</v>
      </c>
      <c r="M190" s="293"/>
      <c r="N190" s="293"/>
      <c r="O190" s="287"/>
      <c r="P190" s="281"/>
      <c r="Q190" s="282"/>
      <c r="R190" s="283">
        <v>8583724.56</v>
      </c>
      <c r="S190" s="284">
        <f>R190-P190</f>
        <v>8583724.56</v>
      </c>
      <c r="T190" s="294"/>
    </row>
    <row r="191" spans="10:20" ht="21" customHeight="1">
      <c r="J191" s="437" t="s">
        <v>715</v>
      </c>
      <c r="K191" s="437"/>
      <c r="L191" s="210">
        <v>4949900</v>
      </c>
      <c r="M191" s="293"/>
      <c r="N191" s="293"/>
      <c r="O191" s="287"/>
      <c r="P191" s="281"/>
      <c r="Q191" s="282"/>
      <c r="R191" s="283">
        <v>50000000</v>
      </c>
      <c r="S191" s="284">
        <f>R191-P191</f>
        <v>50000000</v>
      </c>
      <c r="T191" s="210"/>
    </row>
    <row r="192" spans="10:20" ht="20.25" customHeight="1">
      <c r="J192" s="438" t="s">
        <v>713</v>
      </c>
      <c r="K192" s="438"/>
      <c r="L192" s="210">
        <v>8583724.56</v>
      </c>
      <c r="M192" s="288"/>
      <c r="N192" s="289"/>
      <c r="O192" s="287"/>
      <c r="P192" s="285">
        <f>SUM(P189:P191)</f>
        <v>0</v>
      </c>
      <c r="Q192" s="286"/>
      <c r="R192" s="285">
        <f>SUM(R189:R191)</f>
        <v>63533624.56</v>
      </c>
      <c r="S192" s="285">
        <f>SUM(S189:S191)</f>
        <v>63533624.56</v>
      </c>
      <c r="T192" s="210"/>
    </row>
    <row r="193" spans="9:20" ht="29.25" customHeight="1">
      <c r="I193" s="295"/>
      <c r="J193" s="439" t="s">
        <v>716</v>
      </c>
      <c r="K193" s="439"/>
      <c r="L193" s="290">
        <v>50000000</v>
      </c>
      <c r="M193" s="291"/>
      <c r="N193" s="291"/>
      <c r="T193" s="290"/>
    </row>
    <row r="194" ht="15.75">
      <c r="L194" s="137"/>
    </row>
    <row r="195" ht="15.75">
      <c r="L195" s="137"/>
    </row>
    <row r="196" ht="15.75">
      <c r="L196" s="137"/>
    </row>
    <row r="197" ht="15.75">
      <c r="L197" s="137"/>
    </row>
    <row r="198" ht="15.75">
      <c r="L198" s="137"/>
    </row>
    <row r="199" ht="15.75">
      <c r="L199" s="137"/>
    </row>
    <row r="200" ht="15.75">
      <c r="L200" s="137"/>
    </row>
    <row r="201" ht="15.75">
      <c r="L201" s="137"/>
    </row>
    <row r="202" ht="15.75">
      <c r="L202" s="137"/>
    </row>
    <row r="203" ht="15.75">
      <c r="L203" s="137"/>
    </row>
    <row r="204" ht="15.75">
      <c r="L204" s="137"/>
    </row>
    <row r="205" ht="15.75">
      <c r="L205" s="137"/>
    </row>
    <row r="206" ht="15.75">
      <c r="L206" s="137"/>
    </row>
    <row r="207" ht="15.75">
      <c r="L207" s="137"/>
    </row>
    <row r="208" ht="15.75">
      <c r="L208" s="137"/>
    </row>
    <row r="209" ht="15.75">
      <c r="L209" s="137"/>
    </row>
    <row r="210" ht="15.75">
      <c r="L210" s="137"/>
    </row>
    <row r="211" ht="15.75">
      <c r="L211" s="137"/>
    </row>
    <row r="212" ht="15.75">
      <c r="L212" s="137"/>
    </row>
    <row r="213" ht="15.75">
      <c r="L213" s="137"/>
    </row>
    <row r="214" ht="15.75">
      <c r="L214" s="137"/>
    </row>
    <row r="215" ht="15.75">
      <c r="L215" s="137"/>
    </row>
    <row r="216" ht="15.75">
      <c r="L216" s="137"/>
    </row>
    <row r="217" ht="15.75">
      <c r="L217" s="137"/>
    </row>
    <row r="218" ht="15.75">
      <c r="L218" s="137"/>
    </row>
    <row r="219" ht="15.75">
      <c r="L219" s="137"/>
    </row>
    <row r="220" ht="15.75">
      <c r="L220" s="137"/>
    </row>
  </sheetData>
  <sheetProtection/>
  <mergeCells count="23">
    <mergeCell ref="N6:N7"/>
    <mergeCell ref="C6:C7"/>
    <mergeCell ref="A6:A7"/>
    <mergeCell ref="J158:K158"/>
    <mergeCell ref="J159:K159"/>
    <mergeCell ref="A4:T4"/>
    <mergeCell ref="J191:K191"/>
    <mergeCell ref="J192:K192"/>
    <mergeCell ref="J193:K193"/>
    <mergeCell ref="J187:K187"/>
    <mergeCell ref="M6:M7"/>
    <mergeCell ref="J168:K168"/>
    <mergeCell ref="D6:K6"/>
    <mergeCell ref="J190:K190"/>
    <mergeCell ref="L2:U2"/>
    <mergeCell ref="U6:U7"/>
    <mergeCell ref="O6:O7"/>
    <mergeCell ref="P6:P7"/>
    <mergeCell ref="Q6:Q7"/>
    <mergeCell ref="T6:T7"/>
    <mergeCell ref="R6:R7"/>
    <mergeCell ref="S6:S7"/>
    <mergeCell ref="L6:L7"/>
  </mergeCells>
  <hyperlinks>
    <hyperlink ref="B90" r:id="rId1" display="consultantplus://offline/ref=98054EEFBC558BB21A9624E3BB69E118D4553D2843CF7A57337B5FDA5338427C3C37DB4CC4BE6D7AEA997281BB29211E87904687A7751467E8g3L"/>
    <hyperlink ref="B86" r:id="rId2" display="consultantplus://offline/ref=0311FBEF83BFBFB6C09E4544B0CC2436F06C183F7965C33E81E08522433CC8710B62ACC58B1BDBBCDD1BCE212AEA5CC8964E2D6E3152A792pAi0L"/>
    <hyperlink ref="C90" r:id="rId3" display="consultantplus://offline/ref=98054EEFBC558BB21A9624E3BB69E118D4553D2843CF7A57337B5FDA5338427C3C37DB4CC4BE6D7AEA997281BB29211E87904687A7751467E8g3L"/>
    <hyperlink ref="C85" r:id="rId4" display="consultantplus://offline/ref=0311FBEF83BFBFB6C09E4544B0CC2436F06C183F7965C33E81E08522433CC8710B62ACC58B1BDBBCDD1BCE212AEA5CC8964E2D6E3152A792pAi0L"/>
    <hyperlink ref="C98" r:id="rId5" display="consultantplus://offline/ref=19ED4B3ED6077FC286755C106B5B9683B4F3D7AF0CD064992C7E5C779EFB9008A96D843E27101347EA67F34864519443D73BB93470E09055FBmAL"/>
  </hyperlinks>
  <printOptions/>
  <pageMargins left="0.7874015748031497" right="0.2362204724409449" top="0.2362204724409449" bottom="0.07874015748031496" header="0" footer="0"/>
  <pageSetup fitToHeight="0" horizontalDpi="600" verticalDpi="600" orientation="portrait" paperSize="9" scale="43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621"/>
  <sheetViews>
    <sheetView tabSelected="1" view="pageBreakPreview" zoomScaleSheetLayoutView="100" zoomScalePageLayoutView="0" workbookViewId="0" topLeftCell="A1">
      <selection activeCell="J609" sqref="A1:J609"/>
    </sheetView>
  </sheetViews>
  <sheetFormatPr defaultColWidth="9.00390625" defaultRowHeight="12.75"/>
  <cols>
    <col min="1" max="1" width="48.25390625" style="41" customWidth="1"/>
    <col min="2" max="2" width="5.625" style="41" customWidth="1"/>
    <col min="3" max="3" width="3.125" style="41" customWidth="1"/>
    <col min="4" max="4" width="4.125" style="41" customWidth="1"/>
    <col min="5" max="5" width="14.125" style="41" customWidth="1"/>
    <col min="6" max="6" width="5.625" style="41" customWidth="1"/>
    <col min="7" max="7" width="15.375" style="41" customWidth="1"/>
    <col min="8" max="8" width="15.875" style="41" customWidth="1"/>
    <col min="9" max="9" width="17.25390625" style="41" customWidth="1"/>
    <col min="10" max="10" width="9.875" style="41" customWidth="1"/>
    <col min="11" max="11" width="13.625" style="41" customWidth="1"/>
    <col min="12" max="12" width="13.875" style="41" bestFit="1" customWidth="1"/>
    <col min="13" max="16384" width="9.125" style="41" customWidth="1"/>
  </cols>
  <sheetData>
    <row r="1" spans="1:10" ht="12.75">
      <c r="A1" s="39"/>
      <c r="B1" s="39"/>
      <c r="C1" s="39"/>
      <c r="D1" s="39"/>
      <c r="E1" s="39"/>
      <c r="F1" s="39" t="s">
        <v>77</v>
      </c>
      <c r="G1" s="39"/>
      <c r="H1" s="39"/>
      <c r="I1" s="40"/>
      <c r="J1" s="40"/>
    </row>
    <row r="2" spans="1:16" ht="30" customHeight="1">
      <c r="A2" s="39"/>
      <c r="B2" s="39"/>
      <c r="C2" s="39"/>
      <c r="D2" s="39"/>
      <c r="E2" s="39"/>
      <c r="F2" s="448" t="s">
        <v>914</v>
      </c>
      <c r="G2" s="448"/>
      <c r="H2" s="449"/>
      <c r="I2" s="449"/>
      <c r="J2" s="449"/>
      <c r="K2" s="54"/>
      <c r="L2" s="54"/>
      <c r="M2" s="54"/>
      <c r="N2" s="54"/>
      <c r="O2" s="54"/>
      <c r="P2" s="54"/>
    </row>
    <row r="3" spans="1:8" ht="12.75">
      <c r="A3" s="39"/>
      <c r="B3" s="39"/>
      <c r="C3" s="39"/>
      <c r="D3" s="39"/>
      <c r="E3" s="39"/>
      <c r="F3" s="42"/>
      <c r="G3" s="42"/>
      <c r="H3" s="39"/>
    </row>
    <row r="4" spans="1:10" ht="31.5" customHeight="1" thickBot="1">
      <c r="A4" s="462" t="s">
        <v>915</v>
      </c>
      <c r="B4" s="462"/>
      <c r="C4" s="462"/>
      <c r="D4" s="462"/>
      <c r="E4" s="462"/>
      <c r="F4" s="462"/>
      <c r="G4" s="462"/>
      <c r="H4" s="462"/>
      <c r="I4" s="462"/>
      <c r="J4" s="462"/>
    </row>
    <row r="5" spans="1:10" ht="12.75" customHeight="1">
      <c r="A5" s="467" t="s">
        <v>115</v>
      </c>
      <c r="B5" s="473" t="s">
        <v>146</v>
      </c>
      <c r="C5" s="456" t="s">
        <v>116</v>
      </c>
      <c r="D5" s="456" t="s">
        <v>125</v>
      </c>
      <c r="E5" s="453" t="s">
        <v>134</v>
      </c>
      <c r="F5" s="456" t="s">
        <v>135</v>
      </c>
      <c r="G5" s="463" t="s">
        <v>825</v>
      </c>
      <c r="H5" s="459" t="s">
        <v>442</v>
      </c>
      <c r="I5" s="459" t="s">
        <v>790</v>
      </c>
      <c r="J5" s="450" t="s">
        <v>248</v>
      </c>
    </row>
    <row r="6" spans="1:10" ht="12.75">
      <c r="A6" s="468"/>
      <c r="B6" s="474"/>
      <c r="C6" s="457"/>
      <c r="D6" s="457"/>
      <c r="E6" s="454"/>
      <c r="F6" s="457"/>
      <c r="G6" s="464"/>
      <c r="H6" s="460"/>
      <c r="I6" s="460"/>
      <c r="J6" s="451"/>
    </row>
    <row r="7" spans="1:10" ht="12.75">
      <c r="A7" s="468"/>
      <c r="B7" s="474"/>
      <c r="C7" s="457"/>
      <c r="D7" s="457"/>
      <c r="E7" s="454"/>
      <c r="F7" s="457"/>
      <c r="G7" s="464"/>
      <c r="H7" s="460"/>
      <c r="I7" s="460"/>
      <c r="J7" s="451"/>
    </row>
    <row r="8" spans="1:10" ht="12.75">
      <c r="A8" s="468"/>
      <c r="B8" s="474"/>
      <c r="C8" s="457"/>
      <c r="D8" s="457"/>
      <c r="E8" s="454"/>
      <c r="F8" s="457"/>
      <c r="G8" s="464"/>
      <c r="H8" s="460"/>
      <c r="I8" s="460"/>
      <c r="J8" s="451"/>
    </row>
    <row r="9" spans="1:11" ht="12.75">
      <c r="A9" s="468"/>
      <c r="B9" s="474"/>
      <c r="C9" s="457"/>
      <c r="D9" s="457"/>
      <c r="E9" s="454"/>
      <c r="F9" s="457"/>
      <c r="G9" s="464"/>
      <c r="H9" s="460"/>
      <c r="I9" s="460"/>
      <c r="J9" s="451"/>
      <c r="K9" s="51"/>
    </row>
    <row r="10" spans="1:11" ht="13.5" thickBot="1">
      <c r="A10" s="469"/>
      <c r="B10" s="475"/>
      <c r="C10" s="458"/>
      <c r="D10" s="458"/>
      <c r="E10" s="455"/>
      <c r="F10" s="458"/>
      <c r="G10" s="464"/>
      <c r="H10" s="461"/>
      <c r="I10" s="461"/>
      <c r="J10" s="452"/>
      <c r="K10" s="51"/>
    </row>
    <row r="11" spans="1:11" ht="19.5" customHeight="1" thickBot="1">
      <c r="A11" s="205" t="s">
        <v>517</v>
      </c>
      <c r="B11" s="277" t="s">
        <v>30</v>
      </c>
      <c r="C11" s="92"/>
      <c r="D11" s="92"/>
      <c r="E11" s="93"/>
      <c r="F11" s="92"/>
      <c r="G11" s="94">
        <f>G609</f>
        <v>979951446.5000001</v>
      </c>
      <c r="H11" s="94">
        <f>H609</f>
        <v>1431947331.99</v>
      </c>
      <c r="I11" s="203">
        <f>I609</f>
        <v>955486792.8199998</v>
      </c>
      <c r="J11" s="618">
        <f>I11/H11*100</f>
        <v>66.72639219852763</v>
      </c>
      <c r="K11" s="51"/>
    </row>
    <row r="12" spans="1:11" ht="12.75">
      <c r="A12" s="612" t="s">
        <v>130</v>
      </c>
      <c r="B12" s="613" t="s">
        <v>30</v>
      </c>
      <c r="C12" s="614" t="s">
        <v>117</v>
      </c>
      <c r="D12" s="614"/>
      <c r="E12" s="615"/>
      <c r="F12" s="614"/>
      <c r="G12" s="616">
        <f>G57+G29+G60+G63+G13+G21</f>
        <v>39347061.01</v>
      </c>
      <c r="H12" s="616">
        <f>H57+H29+H60+H63+H13+H21</f>
        <v>63985360.699999996</v>
      </c>
      <c r="I12" s="617">
        <f>I57+I29+I60+I63+I13+I21</f>
        <v>46528582.510000005</v>
      </c>
      <c r="J12" s="629">
        <f aca="true" t="shared" si="0" ref="J12:J75">I12/H12*100</f>
        <v>72.71754351460584</v>
      </c>
      <c r="K12" s="51"/>
    </row>
    <row r="13" spans="1:11" ht="24" customHeight="1">
      <c r="A13" s="69" t="s">
        <v>518</v>
      </c>
      <c r="B13" s="632" t="s">
        <v>30</v>
      </c>
      <c r="C13" s="95" t="s">
        <v>117</v>
      </c>
      <c r="D13" s="96" t="s">
        <v>124</v>
      </c>
      <c r="E13" s="96"/>
      <c r="F13" s="96"/>
      <c r="G13" s="595">
        <f>G14+G18</f>
        <v>1894553.43</v>
      </c>
      <c r="H13" s="595">
        <f>H14+H18</f>
        <v>3833679.65</v>
      </c>
      <c r="I13" s="575">
        <f>I14+I18</f>
        <v>2869076.88</v>
      </c>
      <c r="J13" s="630">
        <f t="shared" si="0"/>
        <v>74.83872263557546</v>
      </c>
      <c r="K13" s="51"/>
    </row>
    <row r="14" spans="1:11" ht="18" customHeight="1">
      <c r="A14" s="70" t="s">
        <v>519</v>
      </c>
      <c r="B14" s="650" t="s">
        <v>30</v>
      </c>
      <c r="C14" s="97" t="s">
        <v>117</v>
      </c>
      <c r="D14" s="98" t="s">
        <v>124</v>
      </c>
      <c r="E14" s="98" t="s">
        <v>588</v>
      </c>
      <c r="F14" s="98"/>
      <c r="G14" s="596">
        <f>SUM(G15:G17)</f>
        <v>1894553.43</v>
      </c>
      <c r="H14" s="596">
        <f>SUM(H15:H17)</f>
        <v>3650000</v>
      </c>
      <c r="I14" s="576">
        <f>SUM(I15:I17)</f>
        <v>2685397.23</v>
      </c>
      <c r="J14" s="204">
        <f t="shared" si="0"/>
        <v>73.57252684931507</v>
      </c>
      <c r="K14" s="51"/>
    </row>
    <row r="15" spans="1:11" ht="18.75" customHeight="1">
      <c r="A15" s="71" t="s">
        <v>373</v>
      </c>
      <c r="B15" s="650" t="s">
        <v>30</v>
      </c>
      <c r="C15" s="99" t="s">
        <v>117</v>
      </c>
      <c r="D15" s="100" t="s">
        <v>124</v>
      </c>
      <c r="E15" s="100" t="s">
        <v>588</v>
      </c>
      <c r="F15" s="100" t="s">
        <v>169</v>
      </c>
      <c r="G15" s="597">
        <f>401890.87+489708.9+429060.3+141542.43</f>
        <v>1462202.5</v>
      </c>
      <c r="H15" s="597">
        <v>3023297.23</v>
      </c>
      <c r="I15" s="577">
        <v>2073297.23</v>
      </c>
      <c r="J15" s="204">
        <f t="shared" si="0"/>
        <v>68.57735354059118</v>
      </c>
      <c r="K15" s="51"/>
    </row>
    <row r="16" spans="1:11" ht="42.75" customHeight="1">
      <c r="A16" s="71" t="s">
        <v>520</v>
      </c>
      <c r="B16" s="650" t="s">
        <v>30</v>
      </c>
      <c r="C16" s="99" t="s">
        <v>117</v>
      </c>
      <c r="D16" s="100" t="s">
        <v>124</v>
      </c>
      <c r="E16" s="100" t="s">
        <v>588</v>
      </c>
      <c r="F16" s="100" t="s">
        <v>172</v>
      </c>
      <c r="G16" s="597">
        <f>1820</f>
        <v>1820</v>
      </c>
      <c r="H16" s="597">
        <v>26702.77</v>
      </c>
      <c r="I16" s="577">
        <v>12100</v>
      </c>
      <c r="J16" s="204">
        <f t="shared" si="0"/>
        <v>45.3136509807784</v>
      </c>
      <c r="K16" s="51"/>
    </row>
    <row r="17" spans="1:11" ht="42" customHeight="1">
      <c r="A17" s="71" t="s">
        <v>177</v>
      </c>
      <c r="B17" s="650" t="s">
        <v>30</v>
      </c>
      <c r="C17" s="99" t="s">
        <v>117</v>
      </c>
      <c r="D17" s="100" t="s">
        <v>124</v>
      </c>
      <c r="E17" s="100" t="s">
        <v>588</v>
      </c>
      <c r="F17" s="100" t="s">
        <v>178</v>
      </c>
      <c r="G17" s="597">
        <f>109694.61+144148+128368.26+48320.06</f>
        <v>430530.93</v>
      </c>
      <c r="H17" s="597">
        <v>600000</v>
      </c>
      <c r="I17" s="577">
        <v>600000</v>
      </c>
      <c r="J17" s="204">
        <f t="shared" si="0"/>
        <v>100</v>
      </c>
      <c r="K17" s="51"/>
    </row>
    <row r="18" spans="1:11" ht="65.25" customHeight="1">
      <c r="A18" s="70" t="s">
        <v>808</v>
      </c>
      <c r="B18" s="650" t="s">
        <v>30</v>
      </c>
      <c r="C18" s="97" t="s">
        <v>117</v>
      </c>
      <c r="D18" s="98" t="s">
        <v>124</v>
      </c>
      <c r="E18" s="98" t="s">
        <v>807</v>
      </c>
      <c r="F18" s="98"/>
      <c r="G18" s="596">
        <f>SUM(G19:G20)</f>
        <v>0</v>
      </c>
      <c r="H18" s="596">
        <f>SUM(H19:H20)</f>
        <v>183679.65</v>
      </c>
      <c r="I18" s="576">
        <f>SUM(I19:I20)</f>
        <v>183679.65</v>
      </c>
      <c r="J18" s="204">
        <f t="shared" si="0"/>
        <v>100</v>
      </c>
      <c r="K18" s="51"/>
    </row>
    <row r="19" spans="1:11" ht="18" customHeight="1">
      <c r="A19" s="71" t="s">
        <v>373</v>
      </c>
      <c r="B19" s="650" t="s">
        <v>30</v>
      </c>
      <c r="C19" s="99" t="s">
        <v>117</v>
      </c>
      <c r="D19" s="100" t="s">
        <v>124</v>
      </c>
      <c r="E19" s="100" t="s">
        <v>807</v>
      </c>
      <c r="F19" s="100" t="s">
        <v>169</v>
      </c>
      <c r="G19" s="597">
        <v>0</v>
      </c>
      <c r="H19" s="597">
        <v>141075</v>
      </c>
      <c r="I19" s="577">
        <v>141075</v>
      </c>
      <c r="J19" s="204">
        <f t="shared" si="0"/>
        <v>100</v>
      </c>
      <c r="K19" s="51"/>
    </row>
    <row r="20" spans="1:11" ht="42" customHeight="1">
      <c r="A20" s="71" t="s">
        <v>177</v>
      </c>
      <c r="B20" s="650" t="s">
        <v>30</v>
      </c>
      <c r="C20" s="99" t="s">
        <v>117</v>
      </c>
      <c r="D20" s="100" t="s">
        <v>124</v>
      </c>
      <c r="E20" s="100" t="s">
        <v>807</v>
      </c>
      <c r="F20" s="100" t="s">
        <v>178</v>
      </c>
      <c r="G20" s="597">
        <v>0</v>
      </c>
      <c r="H20" s="597">
        <v>42604.65</v>
      </c>
      <c r="I20" s="577">
        <v>42604.65</v>
      </c>
      <c r="J20" s="204">
        <f t="shared" si="0"/>
        <v>100</v>
      </c>
      <c r="K20" s="51"/>
    </row>
    <row r="21" spans="1:11" ht="40.5" customHeight="1">
      <c r="A21" s="180" t="s">
        <v>521</v>
      </c>
      <c r="B21" s="632" t="s">
        <v>30</v>
      </c>
      <c r="C21" s="95" t="s">
        <v>117</v>
      </c>
      <c r="D21" s="96" t="s">
        <v>126</v>
      </c>
      <c r="E21" s="192"/>
      <c r="F21" s="192"/>
      <c r="G21" s="598">
        <f>G22+G26</f>
        <v>567980.62</v>
      </c>
      <c r="H21" s="598">
        <f>H22+H26</f>
        <v>7595.99</v>
      </c>
      <c r="I21" s="578">
        <f>I22+I26</f>
        <v>7595.99</v>
      </c>
      <c r="J21" s="630">
        <f t="shared" si="0"/>
        <v>100</v>
      </c>
      <c r="K21" s="51"/>
    </row>
    <row r="22" spans="1:12" ht="40.5" customHeight="1">
      <c r="A22" s="70" t="s">
        <v>522</v>
      </c>
      <c r="B22" s="650" t="s">
        <v>30</v>
      </c>
      <c r="C22" s="97" t="s">
        <v>117</v>
      </c>
      <c r="D22" s="98" t="s">
        <v>126</v>
      </c>
      <c r="E22" s="98" t="s">
        <v>589</v>
      </c>
      <c r="F22" s="193"/>
      <c r="G22" s="599">
        <f>SUM(G23:G25)</f>
        <v>482130.26</v>
      </c>
      <c r="H22" s="599">
        <f>SUM(H23:H25)</f>
        <v>7595.99</v>
      </c>
      <c r="I22" s="579">
        <f>SUM(I23:I25)</f>
        <v>7595.99</v>
      </c>
      <c r="J22" s="204">
        <f t="shared" si="0"/>
        <v>100</v>
      </c>
      <c r="K22" s="51"/>
      <c r="L22" s="43"/>
    </row>
    <row r="23" spans="1:12" ht="18.75" customHeight="1">
      <c r="A23" s="71" t="s">
        <v>373</v>
      </c>
      <c r="B23" s="650" t="s">
        <v>30</v>
      </c>
      <c r="C23" s="99" t="s">
        <v>117</v>
      </c>
      <c r="D23" s="100" t="s">
        <v>126</v>
      </c>
      <c r="E23" s="100" t="s">
        <v>589</v>
      </c>
      <c r="F23" s="100" t="s">
        <v>169</v>
      </c>
      <c r="G23" s="600">
        <v>378306.62</v>
      </c>
      <c r="H23" s="600">
        <v>0</v>
      </c>
      <c r="I23" s="580">
        <v>0</v>
      </c>
      <c r="J23" s="204" t="e">
        <f t="shared" si="0"/>
        <v>#DIV/0!</v>
      </c>
      <c r="K23" s="51"/>
      <c r="L23" s="43"/>
    </row>
    <row r="24" spans="1:12" ht="40.5" customHeight="1">
      <c r="A24" s="71" t="s">
        <v>177</v>
      </c>
      <c r="B24" s="650" t="s">
        <v>30</v>
      </c>
      <c r="C24" s="99" t="s">
        <v>117</v>
      </c>
      <c r="D24" s="100" t="s">
        <v>126</v>
      </c>
      <c r="E24" s="100" t="s">
        <v>589</v>
      </c>
      <c r="F24" s="100" t="s">
        <v>178</v>
      </c>
      <c r="G24" s="600">
        <v>103823.64</v>
      </c>
      <c r="H24" s="600">
        <v>0</v>
      </c>
      <c r="I24" s="580">
        <v>0</v>
      </c>
      <c r="J24" s="204" t="e">
        <f t="shared" si="0"/>
        <v>#DIV/0!</v>
      </c>
      <c r="K24" s="51"/>
      <c r="L24" s="43"/>
    </row>
    <row r="25" spans="1:12" ht="15.75" customHeight="1">
      <c r="A25" s="71" t="s">
        <v>417</v>
      </c>
      <c r="B25" s="650" t="s">
        <v>30</v>
      </c>
      <c r="C25" s="99" t="s">
        <v>117</v>
      </c>
      <c r="D25" s="100" t="s">
        <v>126</v>
      </c>
      <c r="E25" s="100" t="s">
        <v>589</v>
      </c>
      <c r="F25" s="100" t="s">
        <v>168</v>
      </c>
      <c r="G25" s="600">
        <v>0</v>
      </c>
      <c r="H25" s="600">
        <v>7595.99</v>
      </c>
      <c r="I25" s="580">
        <v>7595.99</v>
      </c>
      <c r="J25" s="204">
        <f t="shared" si="0"/>
        <v>100</v>
      </c>
      <c r="K25" s="51"/>
      <c r="L25" s="43"/>
    </row>
    <row r="26" spans="1:12" ht="58.5" customHeight="1">
      <c r="A26" s="70" t="s">
        <v>808</v>
      </c>
      <c r="B26" s="650" t="s">
        <v>30</v>
      </c>
      <c r="C26" s="97" t="s">
        <v>117</v>
      </c>
      <c r="D26" s="98" t="s">
        <v>126</v>
      </c>
      <c r="E26" s="98" t="s">
        <v>807</v>
      </c>
      <c r="F26" s="98"/>
      <c r="G26" s="596">
        <f>SUM(G27:G28)</f>
        <v>85850.36</v>
      </c>
      <c r="H26" s="596">
        <f>SUM(H27:H28)</f>
        <v>0</v>
      </c>
      <c r="I26" s="576">
        <f>SUM(I27:I28)</f>
        <v>0</v>
      </c>
      <c r="J26" s="204" t="e">
        <f t="shared" si="0"/>
        <v>#DIV/0!</v>
      </c>
      <c r="K26" s="51"/>
      <c r="L26" s="43"/>
    </row>
    <row r="27" spans="1:12" ht="15.75" customHeight="1">
      <c r="A27" s="71" t="s">
        <v>373</v>
      </c>
      <c r="B27" s="650" t="s">
        <v>30</v>
      </c>
      <c r="C27" s="99" t="s">
        <v>117</v>
      </c>
      <c r="D27" s="100" t="s">
        <v>126</v>
      </c>
      <c r="E27" s="100" t="s">
        <v>807</v>
      </c>
      <c r="F27" s="100" t="s">
        <v>169</v>
      </c>
      <c r="G27" s="597">
        <v>65937.3</v>
      </c>
      <c r="H27" s="600">
        <v>0</v>
      </c>
      <c r="I27" s="580">
        <v>0</v>
      </c>
      <c r="J27" s="204" t="e">
        <f t="shared" si="0"/>
        <v>#DIV/0!</v>
      </c>
      <c r="K27" s="51"/>
      <c r="L27" s="43"/>
    </row>
    <row r="28" spans="1:12" ht="43.5" customHeight="1">
      <c r="A28" s="71" t="s">
        <v>177</v>
      </c>
      <c r="B28" s="650" t="s">
        <v>30</v>
      </c>
      <c r="C28" s="99" t="s">
        <v>117</v>
      </c>
      <c r="D28" s="100" t="s">
        <v>126</v>
      </c>
      <c r="E28" s="100" t="s">
        <v>807</v>
      </c>
      <c r="F28" s="100" t="s">
        <v>178</v>
      </c>
      <c r="G28" s="597">
        <v>19913.06</v>
      </c>
      <c r="H28" s="600">
        <v>0</v>
      </c>
      <c r="I28" s="580">
        <v>0</v>
      </c>
      <c r="J28" s="204" t="e">
        <f t="shared" si="0"/>
        <v>#DIV/0!</v>
      </c>
      <c r="K28" s="51"/>
      <c r="L28" s="43"/>
    </row>
    <row r="29" spans="1:11" ht="37.5" customHeight="1">
      <c r="A29" s="69" t="s">
        <v>142</v>
      </c>
      <c r="B29" s="632" t="s">
        <v>30</v>
      </c>
      <c r="C29" s="95" t="s">
        <v>117</v>
      </c>
      <c r="D29" s="96" t="s">
        <v>127</v>
      </c>
      <c r="E29" s="96"/>
      <c r="F29" s="96"/>
      <c r="G29" s="595">
        <f>G30+G39+G43+G50+G53+G55</f>
        <v>22765629.540000003</v>
      </c>
      <c r="H29" s="595">
        <f>H30+H39+H43+H50+H53+H55</f>
        <v>36684013.769999996</v>
      </c>
      <c r="I29" s="575">
        <f>I30+I39+I43+I50+I53+I55</f>
        <v>24032483.89</v>
      </c>
      <c r="J29" s="630">
        <f t="shared" si="0"/>
        <v>65.51214390191306</v>
      </c>
      <c r="K29" s="51"/>
    </row>
    <row r="30" spans="1:11" ht="39" customHeight="1">
      <c r="A30" s="70" t="s">
        <v>170</v>
      </c>
      <c r="B30" s="650" t="s">
        <v>30</v>
      </c>
      <c r="C30" s="97" t="s">
        <v>117</v>
      </c>
      <c r="D30" s="98" t="s">
        <v>127</v>
      </c>
      <c r="E30" s="98" t="s">
        <v>176</v>
      </c>
      <c r="F30" s="98"/>
      <c r="G30" s="596">
        <f>SUM(G31:G38)</f>
        <v>21615640.560000002</v>
      </c>
      <c r="H30" s="596">
        <f>SUM(H31:H38)</f>
        <v>35021301.419999994</v>
      </c>
      <c r="I30" s="576">
        <f>SUM(I31:I38)</f>
        <v>22618655.31</v>
      </c>
      <c r="J30" s="204">
        <f t="shared" si="0"/>
        <v>64.58542199429206</v>
      </c>
      <c r="K30" s="51"/>
    </row>
    <row r="31" spans="1:11" ht="15" customHeight="1">
      <c r="A31" s="71" t="s">
        <v>373</v>
      </c>
      <c r="B31" s="650" t="s">
        <v>30</v>
      </c>
      <c r="C31" s="99" t="s">
        <v>117</v>
      </c>
      <c r="D31" s="100" t="s">
        <v>127</v>
      </c>
      <c r="E31" s="100" t="s">
        <v>176</v>
      </c>
      <c r="F31" s="100" t="s">
        <v>169</v>
      </c>
      <c r="G31" s="597">
        <f>11973951.68+1228169.89+786667.22+392493.07+531125+199580.74</f>
        <v>15111987.600000001</v>
      </c>
      <c r="H31" s="597">
        <v>25000000</v>
      </c>
      <c r="I31" s="577">
        <v>15903806.03</v>
      </c>
      <c r="J31" s="204">
        <f t="shared" si="0"/>
        <v>63.61522412</v>
      </c>
      <c r="K31" s="51"/>
    </row>
    <row r="32" spans="1:11" ht="39" customHeight="1">
      <c r="A32" s="71" t="s">
        <v>520</v>
      </c>
      <c r="B32" s="650" t="s">
        <v>30</v>
      </c>
      <c r="C32" s="99" t="s">
        <v>117</v>
      </c>
      <c r="D32" s="100" t="s">
        <v>127</v>
      </c>
      <c r="E32" s="100" t="s">
        <v>176</v>
      </c>
      <c r="F32" s="100" t="s">
        <v>172</v>
      </c>
      <c r="G32" s="597">
        <f>181790.9+760+17593.8+19959.27</f>
        <v>220103.96999999997</v>
      </c>
      <c r="H32" s="597">
        <v>300000</v>
      </c>
      <c r="I32" s="577">
        <v>214012.76</v>
      </c>
      <c r="J32" s="204">
        <f t="shared" si="0"/>
        <v>71.33758666666668</v>
      </c>
      <c r="K32" s="51"/>
    </row>
    <row r="33" spans="1:11" ht="45" customHeight="1">
      <c r="A33" s="71" t="s">
        <v>177</v>
      </c>
      <c r="B33" s="650" t="s">
        <v>30</v>
      </c>
      <c r="C33" s="99" t="s">
        <v>117</v>
      </c>
      <c r="D33" s="100" t="s">
        <v>127</v>
      </c>
      <c r="E33" s="100" t="s">
        <v>176</v>
      </c>
      <c r="F33" s="100" t="s">
        <v>178</v>
      </c>
      <c r="G33" s="597">
        <f>3419361.87+331821.53+147121.28+77667.08+157313.84+60584.62</f>
        <v>4193870.22</v>
      </c>
      <c r="H33" s="597">
        <v>7848404.01</v>
      </c>
      <c r="I33" s="577">
        <v>5241654.02</v>
      </c>
      <c r="J33" s="204">
        <f t="shared" si="0"/>
        <v>66.78624104112602</v>
      </c>
      <c r="K33" s="51"/>
    </row>
    <row r="34" spans="1:11" ht="18" customHeight="1">
      <c r="A34" s="71" t="s">
        <v>327</v>
      </c>
      <c r="B34" s="650" t="s">
        <v>30</v>
      </c>
      <c r="C34" s="99" t="s">
        <v>117</v>
      </c>
      <c r="D34" s="100" t="s">
        <v>127</v>
      </c>
      <c r="E34" s="100" t="s">
        <v>176</v>
      </c>
      <c r="F34" s="100" t="s">
        <v>168</v>
      </c>
      <c r="G34" s="597">
        <f>1094330.74+104215.52+165896.17+2786.9+93614.79+1553.16+139439</f>
        <v>1601836.2799999998</v>
      </c>
      <c r="H34" s="597">
        <v>1752897.41</v>
      </c>
      <c r="I34" s="577">
        <v>1254132.23</v>
      </c>
      <c r="J34" s="204">
        <f t="shared" si="0"/>
        <v>71.54624240103134</v>
      </c>
      <c r="K34" s="51"/>
    </row>
    <row r="35" spans="1:11" ht="18" customHeight="1">
      <c r="A35" s="71" t="s">
        <v>318</v>
      </c>
      <c r="B35" s="650" t="s">
        <v>30</v>
      </c>
      <c r="C35" s="99" t="s">
        <v>117</v>
      </c>
      <c r="D35" s="100" t="s">
        <v>127</v>
      </c>
      <c r="E35" s="100" t="s">
        <v>176</v>
      </c>
      <c r="F35" s="100" t="s">
        <v>320</v>
      </c>
      <c r="G35" s="597">
        <f>15646.84+12553.87+192338.95+227926.45</f>
        <v>448466.11</v>
      </c>
      <c r="H35" s="597">
        <v>0</v>
      </c>
      <c r="I35" s="577">
        <v>0</v>
      </c>
      <c r="J35" s="204" t="e">
        <f t="shared" si="0"/>
        <v>#DIV/0!</v>
      </c>
      <c r="K35" s="51"/>
    </row>
    <row r="36" spans="1:11" ht="29.25" customHeight="1">
      <c r="A36" s="71" t="s">
        <v>225</v>
      </c>
      <c r="B36" s="650" t="s">
        <v>30</v>
      </c>
      <c r="C36" s="99" t="s">
        <v>117</v>
      </c>
      <c r="D36" s="100" t="s">
        <v>127</v>
      </c>
      <c r="E36" s="100" t="s">
        <v>176</v>
      </c>
      <c r="F36" s="100" t="s">
        <v>228</v>
      </c>
      <c r="G36" s="597">
        <v>623</v>
      </c>
      <c r="H36" s="597">
        <v>50000</v>
      </c>
      <c r="I36" s="577">
        <v>0</v>
      </c>
      <c r="J36" s="204">
        <f t="shared" si="0"/>
        <v>0</v>
      </c>
      <c r="K36" s="51"/>
    </row>
    <row r="37" spans="1:11" ht="18" customHeight="1">
      <c r="A37" s="71" t="s">
        <v>523</v>
      </c>
      <c r="B37" s="650" t="s">
        <v>30</v>
      </c>
      <c r="C37" s="99" t="s">
        <v>117</v>
      </c>
      <c r="D37" s="100" t="s">
        <v>127</v>
      </c>
      <c r="E37" s="100" t="s">
        <v>176</v>
      </c>
      <c r="F37" s="100" t="s">
        <v>229</v>
      </c>
      <c r="G37" s="597">
        <f>15802+7875+4250</f>
        <v>27927</v>
      </c>
      <c r="H37" s="597">
        <v>50000</v>
      </c>
      <c r="I37" s="577">
        <v>0</v>
      </c>
      <c r="J37" s="204">
        <f t="shared" si="0"/>
        <v>0</v>
      </c>
      <c r="K37" s="51"/>
    </row>
    <row r="38" spans="1:11" ht="18" customHeight="1">
      <c r="A38" s="71" t="s">
        <v>181</v>
      </c>
      <c r="B38" s="650" t="s">
        <v>30</v>
      </c>
      <c r="C38" s="99" t="s">
        <v>117</v>
      </c>
      <c r="D38" s="100" t="s">
        <v>127</v>
      </c>
      <c r="E38" s="100" t="s">
        <v>176</v>
      </c>
      <c r="F38" s="100" t="s">
        <v>182</v>
      </c>
      <c r="G38" s="597">
        <f>10165.01+3.16+658.21</f>
        <v>10826.380000000001</v>
      </c>
      <c r="H38" s="597">
        <v>20000</v>
      </c>
      <c r="I38" s="577">
        <v>5050.27</v>
      </c>
      <c r="J38" s="204">
        <f t="shared" si="0"/>
        <v>25.25135</v>
      </c>
      <c r="K38" s="51"/>
    </row>
    <row r="39" spans="1:11" ht="51" customHeight="1">
      <c r="A39" s="73" t="s">
        <v>164</v>
      </c>
      <c r="B39" s="650" t="s">
        <v>30</v>
      </c>
      <c r="C39" s="101" t="s">
        <v>117</v>
      </c>
      <c r="D39" s="102" t="s">
        <v>127</v>
      </c>
      <c r="E39" s="102" t="s">
        <v>179</v>
      </c>
      <c r="F39" s="102"/>
      <c r="G39" s="596">
        <f>SUM(G40:G42)</f>
        <v>281500</v>
      </c>
      <c r="H39" s="596">
        <f>SUM(H40:H42)</f>
        <v>369000</v>
      </c>
      <c r="I39" s="576">
        <f>SUM(I40:I42)</f>
        <v>250500</v>
      </c>
      <c r="J39" s="204">
        <f t="shared" si="0"/>
        <v>67.88617886178862</v>
      </c>
      <c r="K39" s="51"/>
    </row>
    <row r="40" spans="1:11" ht="19.5" customHeight="1">
      <c r="A40" s="71" t="s">
        <v>373</v>
      </c>
      <c r="B40" s="650" t="s">
        <v>30</v>
      </c>
      <c r="C40" s="99" t="s">
        <v>117</v>
      </c>
      <c r="D40" s="100" t="s">
        <v>127</v>
      </c>
      <c r="E40" s="100" t="s">
        <v>179</v>
      </c>
      <c r="F40" s="100" t="s">
        <v>169</v>
      </c>
      <c r="G40" s="597">
        <f>220557.87+2000</f>
        <v>222557.87</v>
      </c>
      <c r="H40" s="597">
        <v>271157.87</v>
      </c>
      <c r="I40" s="577">
        <v>218193.5</v>
      </c>
      <c r="J40" s="204">
        <f t="shared" si="0"/>
        <v>80.4673307103349</v>
      </c>
      <c r="K40" s="51"/>
    </row>
    <row r="41" spans="1:11" ht="43.5" customHeight="1">
      <c r="A41" s="71" t="s">
        <v>177</v>
      </c>
      <c r="B41" s="650" t="s">
        <v>30</v>
      </c>
      <c r="C41" s="99" t="s">
        <v>117</v>
      </c>
      <c r="D41" s="100" t="s">
        <v>127</v>
      </c>
      <c r="E41" s="100" t="s">
        <v>179</v>
      </c>
      <c r="F41" s="100" t="s">
        <v>178</v>
      </c>
      <c r="G41" s="597">
        <f>52942.13</f>
        <v>52942.13</v>
      </c>
      <c r="H41" s="597">
        <v>72842.13</v>
      </c>
      <c r="I41" s="577">
        <v>7306.5</v>
      </c>
      <c r="J41" s="204">
        <f t="shared" si="0"/>
        <v>10.030596304638538</v>
      </c>
      <c r="K41" s="51"/>
    </row>
    <row r="42" spans="1:11" ht="21" customHeight="1">
      <c r="A42" s="71" t="s">
        <v>328</v>
      </c>
      <c r="B42" s="650" t="s">
        <v>30</v>
      </c>
      <c r="C42" s="99" t="s">
        <v>117</v>
      </c>
      <c r="D42" s="100" t="s">
        <v>127</v>
      </c>
      <c r="E42" s="100" t="s">
        <v>179</v>
      </c>
      <c r="F42" s="100" t="s">
        <v>168</v>
      </c>
      <c r="G42" s="597">
        <f>2000+2000+2000</f>
        <v>6000</v>
      </c>
      <c r="H42" s="597">
        <v>25000</v>
      </c>
      <c r="I42" s="577">
        <v>25000</v>
      </c>
      <c r="J42" s="204">
        <f t="shared" si="0"/>
        <v>100</v>
      </c>
      <c r="K42" s="51"/>
    </row>
    <row r="43" spans="1:11" ht="24" customHeight="1">
      <c r="A43" s="73" t="s">
        <v>374</v>
      </c>
      <c r="B43" s="650" t="s">
        <v>30</v>
      </c>
      <c r="C43" s="101" t="s">
        <v>117</v>
      </c>
      <c r="D43" s="102" t="s">
        <v>127</v>
      </c>
      <c r="E43" s="102" t="s">
        <v>317</v>
      </c>
      <c r="F43" s="102"/>
      <c r="G43" s="596">
        <f>SUM(G44:G49)</f>
        <v>151956.86000000002</v>
      </c>
      <c r="H43" s="596">
        <f>SUM(H44:H49)</f>
        <v>461400</v>
      </c>
      <c r="I43" s="576">
        <f>SUM(I44:I49)</f>
        <v>331016.23</v>
      </c>
      <c r="J43" s="204">
        <f t="shared" si="0"/>
        <v>71.74170567837017</v>
      </c>
      <c r="K43" s="51"/>
    </row>
    <row r="44" spans="1:11" ht="18.75" customHeight="1">
      <c r="A44" s="71" t="s">
        <v>375</v>
      </c>
      <c r="B44" s="650" t="s">
        <v>30</v>
      </c>
      <c r="C44" s="99" t="s">
        <v>117</v>
      </c>
      <c r="D44" s="100" t="s">
        <v>127</v>
      </c>
      <c r="E44" s="100" t="s">
        <v>317</v>
      </c>
      <c r="F44" s="100" t="s">
        <v>169</v>
      </c>
      <c r="G44" s="597">
        <v>33579.07</v>
      </c>
      <c r="H44" s="597">
        <v>230464.49</v>
      </c>
      <c r="I44" s="577">
        <v>191352.65</v>
      </c>
      <c r="J44" s="204">
        <f t="shared" si="0"/>
        <v>83.02912522445432</v>
      </c>
      <c r="K44" s="51"/>
    </row>
    <row r="45" spans="1:11" ht="21" customHeight="1">
      <c r="A45" s="71" t="s">
        <v>373</v>
      </c>
      <c r="B45" s="650" t="s">
        <v>30</v>
      </c>
      <c r="C45" s="99" t="s">
        <v>117</v>
      </c>
      <c r="D45" s="100" t="s">
        <v>127</v>
      </c>
      <c r="E45" s="100" t="s">
        <v>317</v>
      </c>
      <c r="F45" s="100" t="s">
        <v>169</v>
      </c>
      <c r="G45" s="597">
        <v>41223.97</v>
      </c>
      <c r="H45" s="597">
        <v>58602</v>
      </c>
      <c r="I45" s="577">
        <v>41516</v>
      </c>
      <c r="J45" s="204">
        <f t="shared" si="0"/>
        <v>70.84399849834476</v>
      </c>
      <c r="K45" s="51"/>
    </row>
    <row r="46" spans="1:11" ht="43.5" customHeight="1">
      <c r="A46" s="71" t="s">
        <v>520</v>
      </c>
      <c r="B46" s="650" t="s">
        <v>30</v>
      </c>
      <c r="C46" s="99" t="s">
        <v>117</v>
      </c>
      <c r="D46" s="100" t="s">
        <v>127</v>
      </c>
      <c r="E46" s="100" t="s">
        <v>317</v>
      </c>
      <c r="F46" s="100" t="s">
        <v>172</v>
      </c>
      <c r="G46" s="597">
        <v>0</v>
      </c>
      <c r="H46" s="597">
        <v>35280</v>
      </c>
      <c r="I46" s="577">
        <v>24275.42</v>
      </c>
      <c r="J46" s="204">
        <f t="shared" si="0"/>
        <v>68.8078798185941</v>
      </c>
      <c r="K46" s="51"/>
    </row>
    <row r="47" spans="1:11" ht="54.75" customHeight="1">
      <c r="A47" s="71" t="s">
        <v>376</v>
      </c>
      <c r="B47" s="650" t="s">
        <v>30</v>
      </c>
      <c r="C47" s="99" t="s">
        <v>117</v>
      </c>
      <c r="D47" s="100" t="s">
        <v>127</v>
      </c>
      <c r="E47" s="100" t="s">
        <v>317</v>
      </c>
      <c r="F47" s="100" t="s">
        <v>178</v>
      </c>
      <c r="G47" s="597">
        <v>2690.82</v>
      </c>
      <c r="H47" s="597">
        <v>56665.51</v>
      </c>
      <c r="I47" s="577">
        <v>39598.85</v>
      </c>
      <c r="J47" s="204">
        <f t="shared" si="0"/>
        <v>69.88174993924875</v>
      </c>
      <c r="K47" s="51"/>
    </row>
    <row r="48" spans="1:11" ht="40.5" customHeight="1">
      <c r="A48" s="71" t="s">
        <v>177</v>
      </c>
      <c r="B48" s="650" t="s">
        <v>30</v>
      </c>
      <c r="C48" s="99" t="s">
        <v>117</v>
      </c>
      <c r="D48" s="100" t="s">
        <v>127</v>
      </c>
      <c r="E48" s="100" t="s">
        <v>317</v>
      </c>
      <c r="F48" s="100" t="s">
        <v>178</v>
      </c>
      <c r="G48" s="597">
        <v>6800</v>
      </c>
      <c r="H48" s="597">
        <v>17698</v>
      </c>
      <c r="I48" s="577">
        <v>5633.31</v>
      </c>
      <c r="J48" s="204">
        <f t="shared" si="0"/>
        <v>31.830206803028595</v>
      </c>
      <c r="K48" s="51"/>
    </row>
    <row r="49" spans="1:11" ht="15" customHeight="1">
      <c r="A49" s="71" t="s">
        <v>328</v>
      </c>
      <c r="B49" s="650" t="s">
        <v>30</v>
      </c>
      <c r="C49" s="99" t="s">
        <v>117</v>
      </c>
      <c r="D49" s="100" t="s">
        <v>127</v>
      </c>
      <c r="E49" s="100" t="s">
        <v>317</v>
      </c>
      <c r="F49" s="100" t="s">
        <v>168</v>
      </c>
      <c r="G49" s="597">
        <v>67663</v>
      </c>
      <c r="H49" s="597">
        <v>62690</v>
      </c>
      <c r="I49" s="577">
        <v>28640</v>
      </c>
      <c r="J49" s="204">
        <f t="shared" si="0"/>
        <v>45.68511724357952</v>
      </c>
      <c r="K49" s="51"/>
    </row>
    <row r="50" spans="1:11" ht="58.5" customHeight="1">
      <c r="A50" s="70" t="s">
        <v>808</v>
      </c>
      <c r="B50" s="650" t="s">
        <v>30</v>
      </c>
      <c r="C50" s="97" t="s">
        <v>117</v>
      </c>
      <c r="D50" s="98" t="s">
        <v>127</v>
      </c>
      <c r="E50" s="98" t="s">
        <v>807</v>
      </c>
      <c r="F50" s="98"/>
      <c r="G50" s="596">
        <f>SUM(G51:G52)</f>
        <v>693208.64</v>
      </c>
      <c r="H50" s="596">
        <f>SUM(H51:H52)</f>
        <v>832312.3500000001</v>
      </c>
      <c r="I50" s="576">
        <f>SUM(I51:I52)</f>
        <v>832312.3500000001</v>
      </c>
      <c r="J50" s="204">
        <f t="shared" si="0"/>
        <v>100</v>
      </c>
      <c r="K50" s="51"/>
    </row>
    <row r="51" spans="1:11" ht="15" customHeight="1">
      <c r="A51" s="71" t="s">
        <v>373</v>
      </c>
      <c r="B51" s="650" t="s">
        <v>30</v>
      </c>
      <c r="C51" s="99" t="s">
        <v>117</v>
      </c>
      <c r="D51" s="100" t="s">
        <v>127</v>
      </c>
      <c r="E51" s="100" t="s">
        <v>807</v>
      </c>
      <c r="F51" s="100" t="s">
        <v>169</v>
      </c>
      <c r="G51" s="597">
        <v>532418.31</v>
      </c>
      <c r="H51" s="597">
        <v>639256.8</v>
      </c>
      <c r="I51" s="577">
        <v>639256.8</v>
      </c>
      <c r="J51" s="204">
        <f t="shared" si="0"/>
        <v>100</v>
      </c>
      <c r="K51" s="51"/>
    </row>
    <row r="52" spans="1:11" ht="52.5" customHeight="1">
      <c r="A52" s="71" t="s">
        <v>177</v>
      </c>
      <c r="B52" s="650" t="s">
        <v>30</v>
      </c>
      <c r="C52" s="99" t="s">
        <v>117</v>
      </c>
      <c r="D52" s="100" t="s">
        <v>127</v>
      </c>
      <c r="E52" s="100" t="s">
        <v>807</v>
      </c>
      <c r="F52" s="100" t="s">
        <v>178</v>
      </c>
      <c r="G52" s="597">
        <v>160790.33</v>
      </c>
      <c r="H52" s="597">
        <v>193055.55</v>
      </c>
      <c r="I52" s="577">
        <v>193055.55</v>
      </c>
      <c r="J52" s="204">
        <f t="shared" si="0"/>
        <v>100</v>
      </c>
      <c r="K52" s="51"/>
    </row>
    <row r="53" spans="1:11" ht="41.25" customHeight="1">
      <c r="A53" s="70" t="s">
        <v>828</v>
      </c>
      <c r="B53" s="650" t="s">
        <v>30</v>
      </c>
      <c r="C53" s="97" t="s">
        <v>117</v>
      </c>
      <c r="D53" s="98" t="s">
        <v>127</v>
      </c>
      <c r="E53" s="98" t="s">
        <v>827</v>
      </c>
      <c r="F53" s="98"/>
      <c r="G53" s="596">
        <f>G54</f>
        <v>4499</v>
      </c>
      <c r="H53" s="596">
        <f>H54</f>
        <v>0</v>
      </c>
      <c r="I53" s="576">
        <f>I54</f>
        <v>0</v>
      </c>
      <c r="J53" s="204" t="e">
        <f t="shared" si="0"/>
        <v>#DIV/0!</v>
      </c>
      <c r="K53" s="51"/>
    </row>
    <row r="54" spans="1:11" ht="15" customHeight="1">
      <c r="A54" s="71" t="s">
        <v>327</v>
      </c>
      <c r="B54" s="650" t="s">
        <v>30</v>
      </c>
      <c r="C54" s="99" t="s">
        <v>117</v>
      </c>
      <c r="D54" s="100" t="s">
        <v>127</v>
      </c>
      <c r="E54" s="100" t="s">
        <v>827</v>
      </c>
      <c r="F54" s="100" t="s">
        <v>168</v>
      </c>
      <c r="G54" s="597">
        <v>4499</v>
      </c>
      <c r="H54" s="597">
        <v>0</v>
      </c>
      <c r="I54" s="577">
        <v>0</v>
      </c>
      <c r="J54" s="204" t="e">
        <f t="shared" si="0"/>
        <v>#DIV/0!</v>
      </c>
      <c r="K54" s="51"/>
    </row>
    <row r="55" spans="1:11" ht="42" customHeight="1">
      <c r="A55" s="70" t="s">
        <v>830</v>
      </c>
      <c r="B55" s="650" t="s">
        <v>30</v>
      </c>
      <c r="C55" s="97" t="s">
        <v>117</v>
      </c>
      <c r="D55" s="98" t="s">
        <v>127</v>
      </c>
      <c r="E55" s="98" t="s">
        <v>829</v>
      </c>
      <c r="F55" s="98"/>
      <c r="G55" s="596">
        <f>G56</f>
        <v>18824.48</v>
      </c>
      <c r="H55" s="596">
        <f>H56</f>
        <v>0</v>
      </c>
      <c r="I55" s="576">
        <f>I56</f>
        <v>0</v>
      </c>
      <c r="J55" s="204" t="e">
        <f t="shared" si="0"/>
        <v>#DIV/0!</v>
      </c>
      <c r="K55" s="51"/>
    </row>
    <row r="56" spans="1:11" ht="15" customHeight="1">
      <c r="A56" s="71" t="s">
        <v>327</v>
      </c>
      <c r="B56" s="650" t="s">
        <v>30</v>
      </c>
      <c r="C56" s="99" t="s">
        <v>117</v>
      </c>
      <c r="D56" s="100" t="s">
        <v>127</v>
      </c>
      <c r="E56" s="100" t="s">
        <v>829</v>
      </c>
      <c r="F56" s="100" t="s">
        <v>168</v>
      </c>
      <c r="G56" s="597">
        <v>18824.48</v>
      </c>
      <c r="H56" s="597">
        <v>0</v>
      </c>
      <c r="I56" s="577">
        <v>0</v>
      </c>
      <c r="J56" s="204" t="e">
        <f t="shared" si="0"/>
        <v>#DIV/0!</v>
      </c>
      <c r="K56" s="51"/>
    </row>
    <row r="57" spans="1:11" ht="14.25" customHeight="1">
      <c r="A57" s="75" t="s">
        <v>237</v>
      </c>
      <c r="B57" s="632" t="s">
        <v>30</v>
      </c>
      <c r="C57" s="95" t="s">
        <v>117</v>
      </c>
      <c r="D57" s="96" t="s">
        <v>123</v>
      </c>
      <c r="E57" s="96"/>
      <c r="F57" s="96"/>
      <c r="G57" s="595">
        <f aca="true" t="shared" si="1" ref="G57:I58">G58</f>
        <v>5800</v>
      </c>
      <c r="H57" s="595">
        <f t="shared" si="1"/>
        <v>200</v>
      </c>
      <c r="I57" s="575">
        <f t="shared" si="1"/>
        <v>200</v>
      </c>
      <c r="J57" s="630">
        <f t="shared" si="0"/>
        <v>100</v>
      </c>
      <c r="K57" s="51"/>
    </row>
    <row r="58" spans="1:11" ht="36.75" customHeight="1">
      <c r="A58" s="74" t="s">
        <v>377</v>
      </c>
      <c r="B58" s="650" t="s">
        <v>30</v>
      </c>
      <c r="C58" s="97" t="s">
        <v>117</v>
      </c>
      <c r="D58" s="98" t="s">
        <v>123</v>
      </c>
      <c r="E58" s="98" t="s">
        <v>236</v>
      </c>
      <c r="F58" s="98"/>
      <c r="G58" s="596">
        <f t="shared" si="1"/>
        <v>5800</v>
      </c>
      <c r="H58" s="596">
        <f t="shared" si="1"/>
        <v>200</v>
      </c>
      <c r="I58" s="576">
        <f t="shared" si="1"/>
        <v>200</v>
      </c>
      <c r="J58" s="204">
        <f t="shared" si="0"/>
        <v>100</v>
      </c>
      <c r="K58" s="51"/>
    </row>
    <row r="59" spans="1:11" ht="17.25" customHeight="1">
      <c r="A59" s="71" t="s">
        <v>327</v>
      </c>
      <c r="B59" s="650" t="s">
        <v>30</v>
      </c>
      <c r="C59" s="99" t="s">
        <v>117</v>
      </c>
      <c r="D59" s="100" t="s">
        <v>123</v>
      </c>
      <c r="E59" s="100" t="s">
        <v>236</v>
      </c>
      <c r="F59" s="100" t="s">
        <v>168</v>
      </c>
      <c r="G59" s="597">
        <v>5800</v>
      </c>
      <c r="H59" s="597">
        <v>200</v>
      </c>
      <c r="I59" s="577">
        <v>200</v>
      </c>
      <c r="J59" s="204">
        <f t="shared" si="0"/>
        <v>100</v>
      </c>
      <c r="K59" s="51"/>
    </row>
    <row r="60" spans="1:11" ht="12.75">
      <c r="A60" s="75" t="s">
        <v>238</v>
      </c>
      <c r="B60" s="632" t="s">
        <v>30</v>
      </c>
      <c r="C60" s="95" t="s">
        <v>117</v>
      </c>
      <c r="D60" s="96" t="s">
        <v>145</v>
      </c>
      <c r="E60" s="96"/>
      <c r="F60" s="96"/>
      <c r="G60" s="595">
        <f aca="true" t="shared" si="2" ref="G60:I61">G61</f>
        <v>0</v>
      </c>
      <c r="H60" s="595">
        <f t="shared" si="2"/>
        <v>100000</v>
      </c>
      <c r="I60" s="575">
        <f t="shared" si="2"/>
        <v>0</v>
      </c>
      <c r="J60" s="630">
        <f t="shared" si="0"/>
        <v>0</v>
      </c>
      <c r="K60" s="51"/>
    </row>
    <row r="61" spans="1:11" ht="14.25" customHeight="1">
      <c r="A61" s="77" t="s">
        <v>378</v>
      </c>
      <c r="B61" s="650" t="s">
        <v>30</v>
      </c>
      <c r="C61" s="97" t="s">
        <v>117</v>
      </c>
      <c r="D61" s="98" t="s">
        <v>145</v>
      </c>
      <c r="E61" s="98" t="s">
        <v>274</v>
      </c>
      <c r="F61" s="98"/>
      <c r="G61" s="596">
        <f t="shared" si="2"/>
        <v>0</v>
      </c>
      <c r="H61" s="596">
        <f t="shared" si="2"/>
        <v>100000</v>
      </c>
      <c r="I61" s="576">
        <f t="shared" si="2"/>
        <v>0</v>
      </c>
      <c r="J61" s="204">
        <f t="shared" si="0"/>
        <v>0</v>
      </c>
      <c r="K61" s="51"/>
    </row>
    <row r="62" spans="1:11" ht="12.75" customHeight="1">
      <c r="A62" s="78" t="s">
        <v>105</v>
      </c>
      <c r="B62" s="650" t="s">
        <v>30</v>
      </c>
      <c r="C62" s="99" t="s">
        <v>117</v>
      </c>
      <c r="D62" s="100" t="s">
        <v>145</v>
      </c>
      <c r="E62" s="100" t="s">
        <v>274</v>
      </c>
      <c r="F62" s="100" t="s">
        <v>173</v>
      </c>
      <c r="G62" s="597"/>
      <c r="H62" s="597">
        <v>100000</v>
      </c>
      <c r="I62" s="577">
        <v>0</v>
      </c>
      <c r="J62" s="204">
        <f t="shared" si="0"/>
        <v>0</v>
      </c>
      <c r="K62" s="51"/>
    </row>
    <row r="63" spans="1:11" ht="15.75" customHeight="1">
      <c r="A63" s="69" t="s">
        <v>131</v>
      </c>
      <c r="B63" s="632" t="s">
        <v>30</v>
      </c>
      <c r="C63" s="95" t="s">
        <v>117</v>
      </c>
      <c r="D63" s="96" t="s">
        <v>152</v>
      </c>
      <c r="E63" s="96" t="s">
        <v>180</v>
      </c>
      <c r="F63" s="96"/>
      <c r="G63" s="595">
        <f>G64+G71+G73+G81+G90+G97+G99+G105+G114+G116+G102</f>
        <v>14113097.42</v>
      </c>
      <c r="H63" s="595">
        <f>H73+H81+H90+H105+H114+H116+H64+H102</f>
        <v>23359871.29</v>
      </c>
      <c r="I63" s="575">
        <f>I73+I81+I90+I105+I114+I116+I64+I102</f>
        <v>19619225.75</v>
      </c>
      <c r="J63" s="630">
        <f t="shared" si="0"/>
        <v>83.98687435576193</v>
      </c>
      <c r="K63" s="51"/>
    </row>
    <row r="64" spans="1:11" ht="27" customHeight="1">
      <c r="A64" s="181" t="s">
        <v>383</v>
      </c>
      <c r="B64" s="650" t="s">
        <v>30</v>
      </c>
      <c r="C64" s="101" t="s">
        <v>117</v>
      </c>
      <c r="D64" s="102" t="s">
        <v>152</v>
      </c>
      <c r="E64" s="102" t="s">
        <v>590</v>
      </c>
      <c r="F64" s="104"/>
      <c r="G64" s="596">
        <f>SUM(G65:G70)</f>
        <v>3048827.6</v>
      </c>
      <c r="H64" s="596">
        <f>SUM(H65:H70)</f>
        <v>4056000</v>
      </c>
      <c r="I64" s="576">
        <f>SUM(I65:I70)</f>
        <v>3227724.1899999995</v>
      </c>
      <c r="J64" s="204">
        <f t="shared" si="0"/>
        <v>79.57899876725837</v>
      </c>
      <c r="K64" s="51"/>
    </row>
    <row r="65" spans="1:11" ht="15" customHeight="1">
      <c r="A65" s="71" t="s">
        <v>379</v>
      </c>
      <c r="B65" s="650" t="s">
        <v>30</v>
      </c>
      <c r="C65" s="99" t="s">
        <v>117</v>
      </c>
      <c r="D65" s="100" t="s">
        <v>152</v>
      </c>
      <c r="E65" s="100" t="s">
        <v>590</v>
      </c>
      <c r="F65" s="100" t="s">
        <v>230</v>
      </c>
      <c r="G65" s="597">
        <f>2116686.3</f>
        <v>2116686.3</v>
      </c>
      <c r="H65" s="597">
        <v>3000000</v>
      </c>
      <c r="I65" s="577">
        <v>2344789.3</v>
      </c>
      <c r="J65" s="204">
        <f t="shared" si="0"/>
        <v>78.15964333333334</v>
      </c>
      <c r="K65" s="51"/>
    </row>
    <row r="66" spans="1:11" ht="30" customHeight="1">
      <c r="A66" s="71" t="s">
        <v>381</v>
      </c>
      <c r="B66" s="650" t="s">
        <v>30</v>
      </c>
      <c r="C66" s="99" t="s">
        <v>117</v>
      </c>
      <c r="D66" s="100" t="s">
        <v>152</v>
      </c>
      <c r="E66" s="100" t="s">
        <v>590</v>
      </c>
      <c r="F66" s="100" t="s">
        <v>231</v>
      </c>
      <c r="G66" s="597">
        <v>0</v>
      </c>
      <c r="H66" s="597">
        <v>50000</v>
      </c>
      <c r="I66" s="577">
        <v>6099.4</v>
      </c>
      <c r="J66" s="204">
        <f t="shared" si="0"/>
        <v>12.1988</v>
      </c>
      <c r="K66" s="51"/>
    </row>
    <row r="67" spans="1:11" ht="49.5" customHeight="1">
      <c r="A67" s="71" t="s">
        <v>380</v>
      </c>
      <c r="B67" s="650" t="s">
        <v>30</v>
      </c>
      <c r="C67" s="99" t="s">
        <v>117</v>
      </c>
      <c r="D67" s="100" t="s">
        <v>152</v>
      </c>
      <c r="E67" s="100" t="s">
        <v>590</v>
      </c>
      <c r="F67" s="100" t="s">
        <v>71</v>
      </c>
      <c r="G67" s="597">
        <f>600086.5</f>
        <v>600086.5</v>
      </c>
      <c r="H67" s="597">
        <v>906000</v>
      </c>
      <c r="I67" s="577">
        <v>805135.53</v>
      </c>
      <c r="J67" s="204">
        <f t="shared" si="0"/>
        <v>88.86705629139074</v>
      </c>
      <c r="K67" s="51"/>
    </row>
    <row r="68" spans="1:11" ht="17.25" customHeight="1">
      <c r="A68" s="71" t="s">
        <v>417</v>
      </c>
      <c r="B68" s="650" t="s">
        <v>30</v>
      </c>
      <c r="C68" s="99" t="s">
        <v>117</v>
      </c>
      <c r="D68" s="100" t="s">
        <v>152</v>
      </c>
      <c r="E68" s="100" t="s">
        <v>590</v>
      </c>
      <c r="F68" s="100" t="s">
        <v>168</v>
      </c>
      <c r="G68" s="597">
        <f>34048.58+297999</f>
        <v>332047.58</v>
      </c>
      <c r="H68" s="597">
        <v>80000</v>
      </c>
      <c r="I68" s="577">
        <v>71699.96</v>
      </c>
      <c r="J68" s="204">
        <f t="shared" si="0"/>
        <v>89.62495</v>
      </c>
      <c r="K68" s="51"/>
    </row>
    <row r="69" spans="1:11" ht="30" customHeight="1">
      <c r="A69" s="71" t="s">
        <v>227</v>
      </c>
      <c r="B69" s="650" t="s">
        <v>30</v>
      </c>
      <c r="C69" s="99" t="s">
        <v>117</v>
      </c>
      <c r="D69" s="100" t="s">
        <v>152</v>
      </c>
      <c r="E69" s="100" t="s">
        <v>590</v>
      </c>
      <c r="F69" s="100" t="s">
        <v>229</v>
      </c>
      <c r="G69" s="597">
        <v>0</v>
      </c>
      <c r="H69" s="597">
        <v>10000</v>
      </c>
      <c r="I69" s="577">
        <v>0</v>
      </c>
      <c r="J69" s="204">
        <f t="shared" si="0"/>
        <v>0</v>
      </c>
      <c r="K69" s="51"/>
    </row>
    <row r="70" spans="1:11" ht="18" customHeight="1">
      <c r="A70" s="71" t="s">
        <v>181</v>
      </c>
      <c r="B70" s="650" t="s">
        <v>30</v>
      </c>
      <c r="C70" s="99" t="s">
        <v>117</v>
      </c>
      <c r="D70" s="100" t="s">
        <v>152</v>
      </c>
      <c r="E70" s="100" t="s">
        <v>590</v>
      </c>
      <c r="F70" s="100" t="s">
        <v>182</v>
      </c>
      <c r="G70" s="597">
        <v>7.22</v>
      </c>
      <c r="H70" s="597">
        <v>10000</v>
      </c>
      <c r="I70" s="577">
        <v>0</v>
      </c>
      <c r="J70" s="204">
        <f t="shared" si="0"/>
        <v>0</v>
      </c>
      <c r="K70" s="51"/>
    </row>
    <row r="71" spans="1:11" ht="54" customHeight="1">
      <c r="A71" s="79" t="s">
        <v>897</v>
      </c>
      <c r="B71" s="650" t="s">
        <v>30</v>
      </c>
      <c r="C71" s="97" t="s">
        <v>117</v>
      </c>
      <c r="D71" s="98" t="s">
        <v>152</v>
      </c>
      <c r="E71" s="98" t="s">
        <v>898</v>
      </c>
      <c r="F71" s="98"/>
      <c r="G71" s="596">
        <f>G72</f>
        <v>405795</v>
      </c>
      <c r="H71" s="596">
        <f>H72</f>
        <v>0</v>
      </c>
      <c r="I71" s="576">
        <f>I72</f>
        <v>0</v>
      </c>
      <c r="J71" s="204" t="e">
        <f t="shared" si="0"/>
        <v>#DIV/0!</v>
      </c>
      <c r="K71" s="51"/>
    </row>
    <row r="72" spans="1:11" ht="18" customHeight="1">
      <c r="A72" s="71" t="s">
        <v>328</v>
      </c>
      <c r="B72" s="650" t="s">
        <v>30</v>
      </c>
      <c r="C72" s="99" t="s">
        <v>117</v>
      </c>
      <c r="D72" s="100" t="s">
        <v>152</v>
      </c>
      <c r="E72" s="100" t="s">
        <v>898</v>
      </c>
      <c r="F72" s="100" t="s">
        <v>168</v>
      </c>
      <c r="G72" s="597">
        <f>365225+21600+18970</f>
        <v>405795</v>
      </c>
      <c r="H72" s="597">
        <v>0</v>
      </c>
      <c r="I72" s="577">
        <v>0</v>
      </c>
      <c r="J72" s="204" t="e">
        <f t="shared" si="0"/>
        <v>#DIV/0!</v>
      </c>
      <c r="K72" s="51"/>
    </row>
    <row r="73" spans="1:11" ht="29.25" customHeight="1">
      <c r="A73" s="79" t="s">
        <v>7</v>
      </c>
      <c r="B73" s="650" t="s">
        <v>30</v>
      </c>
      <c r="C73" s="97" t="s">
        <v>117</v>
      </c>
      <c r="D73" s="98" t="s">
        <v>152</v>
      </c>
      <c r="E73" s="98" t="s">
        <v>591</v>
      </c>
      <c r="F73" s="98"/>
      <c r="G73" s="596">
        <f>SUM(G74:G80)</f>
        <v>1315170.3599999999</v>
      </c>
      <c r="H73" s="596">
        <f>SUM(H74:H80)</f>
        <v>2081211.5300000003</v>
      </c>
      <c r="I73" s="576">
        <f>SUM(I74:I80)</f>
        <v>1755225.4700000002</v>
      </c>
      <c r="J73" s="204">
        <f t="shared" si="0"/>
        <v>84.33671660467881</v>
      </c>
      <c r="K73" s="51"/>
    </row>
    <row r="74" spans="1:11" ht="18" customHeight="1">
      <c r="A74" s="71" t="s">
        <v>328</v>
      </c>
      <c r="B74" s="650" t="s">
        <v>30</v>
      </c>
      <c r="C74" s="99" t="s">
        <v>117</v>
      </c>
      <c r="D74" s="100" t="s">
        <v>152</v>
      </c>
      <c r="E74" s="100" t="s">
        <v>591</v>
      </c>
      <c r="F74" s="100" t="s">
        <v>168</v>
      </c>
      <c r="G74" s="597">
        <f>209093.19+77623+22610+214590.45</f>
        <v>523916.64</v>
      </c>
      <c r="H74" s="597">
        <v>1139470.09</v>
      </c>
      <c r="I74" s="577">
        <v>862832.4</v>
      </c>
      <c r="J74" s="204">
        <f t="shared" si="0"/>
        <v>75.7222508578527</v>
      </c>
      <c r="K74" s="51"/>
    </row>
    <row r="75" spans="1:11" ht="18" customHeight="1">
      <c r="A75" s="71" t="s">
        <v>318</v>
      </c>
      <c r="B75" s="650" t="s">
        <v>30</v>
      </c>
      <c r="C75" s="99" t="s">
        <v>117</v>
      </c>
      <c r="D75" s="100" t="s">
        <v>152</v>
      </c>
      <c r="E75" s="100" t="s">
        <v>591</v>
      </c>
      <c r="F75" s="100" t="s">
        <v>320</v>
      </c>
      <c r="G75" s="597">
        <f>271973.3+88314.46</f>
        <v>360287.76</v>
      </c>
      <c r="H75" s="597">
        <v>578614.06</v>
      </c>
      <c r="I75" s="577">
        <v>578593.22</v>
      </c>
      <c r="J75" s="204">
        <f t="shared" si="0"/>
        <v>99.99639829007955</v>
      </c>
      <c r="K75" s="51"/>
    </row>
    <row r="76" spans="1:11" ht="28.5" customHeight="1">
      <c r="A76" s="71" t="s">
        <v>810</v>
      </c>
      <c r="B76" s="650" t="s">
        <v>30</v>
      </c>
      <c r="C76" s="99" t="s">
        <v>117</v>
      </c>
      <c r="D76" s="100" t="s">
        <v>152</v>
      </c>
      <c r="E76" s="100" t="s">
        <v>591</v>
      </c>
      <c r="F76" s="100" t="s">
        <v>809</v>
      </c>
      <c r="G76" s="597">
        <v>10000</v>
      </c>
      <c r="H76" s="597">
        <v>0</v>
      </c>
      <c r="I76" s="577">
        <v>0</v>
      </c>
      <c r="J76" s="204" t="e">
        <f aca="true" t="shared" si="3" ref="J76:J139">I76/H76*100</f>
        <v>#DIV/0!</v>
      </c>
      <c r="K76" s="51"/>
    </row>
    <row r="77" spans="1:11" ht="42" customHeight="1">
      <c r="A77" s="80" t="s">
        <v>110</v>
      </c>
      <c r="B77" s="650" t="s">
        <v>30</v>
      </c>
      <c r="C77" s="99" t="s">
        <v>117</v>
      </c>
      <c r="D77" s="100" t="s">
        <v>152</v>
      </c>
      <c r="E77" s="100" t="s">
        <v>591</v>
      </c>
      <c r="F77" s="100" t="s">
        <v>226</v>
      </c>
      <c r="G77" s="597">
        <f>64157.14+2849.43+147268</f>
        <v>214274.57</v>
      </c>
      <c r="H77" s="597">
        <v>158091.38</v>
      </c>
      <c r="I77" s="577">
        <v>155929.85</v>
      </c>
      <c r="J77" s="204">
        <f t="shared" si="3"/>
        <v>98.63273380243756</v>
      </c>
      <c r="K77" s="51"/>
    </row>
    <row r="78" spans="1:11" ht="26.25" customHeight="1">
      <c r="A78" s="71" t="s">
        <v>225</v>
      </c>
      <c r="B78" s="650" t="s">
        <v>30</v>
      </c>
      <c r="C78" s="99" t="s">
        <v>117</v>
      </c>
      <c r="D78" s="100" t="s">
        <v>152</v>
      </c>
      <c r="E78" s="100" t="s">
        <v>591</v>
      </c>
      <c r="F78" s="100" t="s">
        <v>228</v>
      </c>
      <c r="G78" s="597">
        <v>10583</v>
      </c>
      <c r="H78" s="597">
        <v>30000</v>
      </c>
      <c r="I78" s="577">
        <v>28296</v>
      </c>
      <c r="J78" s="204">
        <f t="shared" si="3"/>
        <v>94.32000000000001</v>
      </c>
      <c r="K78" s="51"/>
    </row>
    <row r="79" spans="1:11" ht="30" customHeight="1">
      <c r="A79" s="71" t="s">
        <v>227</v>
      </c>
      <c r="B79" s="650" t="s">
        <v>30</v>
      </c>
      <c r="C79" s="99" t="s">
        <v>117</v>
      </c>
      <c r="D79" s="100" t="s">
        <v>152</v>
      </c>
      <c r="E79" s="100" t="s">
        <v>591</v>
      </c>
      <c r="F79" s="100" t="s">
        <v>229</v>
      </c>
      <c r="G79" s="597">
        <f>75110.37+400+8446</f>
        <v>83956.37</v>
      </c>
      <c r="H79" s="597">
        <v>150000</v>
      </c>
      <c r="I79" s="577">
        <v>104738</v>
      </c>
      <c r="J79" s="204">
        <f t="shared" si="3"/>
        <v>69.82533333333333</v>
      </c>
      <c r="K79" s="51"/>
    </row>
    <row r="80" spans="1:12" ht="19.5" customHeight="1">
      <c r="A80" s="71" t="s">
        <v>181</v>
      </c>
      <c r="B80" s="650" t="s">
        <v>30</v>
      </c>
      <c r="C80" s="99" t="s">
        <v>117</v>
      </c>
      <c r="D80" s="100" t="s">
        <v>152</v>
      </c>
      <c r="E80" s="100" t="s">
        <v>591</v>
      </c>
      <c r="F80" s="100" t="s">
        <v>182</v>
      </c>
      <c r="G80" s="597">
        <f>11990.82+70000+30161.2</f>
        <v>112152.02</v>
      </c>
      <c r="H80" s="597">
        <v>25036</v>
      </c>
      <c r="I80" s="577">
        <v>24836</v>
      </c>
      <c r="J80" s="204">
        <f t="shared" si="3"/>
        <v>99.20115034350535</v>
      </c>
      <c r="K80" s="51"/>
      <c r="L80" s="51"/>
    </row>
    <row r="81" spans="1:11" ht="12" customHeight="1">
      <c r="A81" s="182" t="s">
        <v>524</v>
      </c>
      <c r="B81" s="650" t="s">
        <v>30</v>
      </c>
      <c r="C81" s="97" t="s">
        <v>117</v>
      </c>
      <c r="D81" s="98" t="s">
        <v>152</v>
      </c>
      <c r="E81" s="98" t="s">
        <v>592</v>
      </c>
      <c r="F81" s="98"/>
      <c r="G81" s="596">
        <f>SUM(G82:G89)</f>
        <v>0</v>
      </c>
      <c r="H81" s="596">
        <f>SUM(H82:H89)</f>
        <v>2000000.0000000002</v>
      </c>
      <c r="I81" s="576">
        <f>SUM(I82:I89)</f>
        <v>1902123.1500000001</v>
      </c>
      <c r="J81" s="204">
        <f t="shared" si="3"/>
        <v>95.1061575</v>
      </c>
      <c r="K81" s="51"/>
    </row>
    <row r="82" spans="1:11" ht="18.75" customHeight="1">
      <c r="A82" s="71" t="s">
        <v>379</v>
      </c>
      <c r="B82" s="650" t="s">
        <v>30</v>
      </c>
      <c r="C82" s="99" t="s">
        <v>117</v>
      </c>
      <c r="D82" s="100" t="s">
        <v>152</v>
      </c>
      <c r="E82" s="100" t="s">
        <v>592</v>
      </c>
      <c r="F82" s="100" t="s">
        <v>230</v>
      </c>
      <c r="G82" s="597">
        <v>0</v>
      </c>
      <c r="H82" s="597">
        <v>426723.87</v>
      </c>
      <c r="I82" s="577">
        <v>422017.87</v>
      </c>
      <c r="J82" s="204">
        <f t="shared" si="3"/>
        <v>98.89717910554195</v>
      </c>
      <c r="K82" s="51"/>
    </row>
    <row r="83" spans="1:11" ht="42.75" customHeight="1">
      <c r="A83" s="71" t="s">
        <v>380</v>
      </c>
      <c r="B83" s="650" t="s">
        <v>30</v>
      </c>
      <c r="C83" s="99" t="s">
        <v>117</v>
      </c>
      <c r="D83" s="100" t="s">
        <v>152</v>
      </c>
      <c r="E83" s="100" t="s">
        <v>592</v>
      </c>
      <c r="F83" s="100" t="s">
        <v>71</v>
      </c>
      <c r="G83" s="597">
        <v>0</v>
      </c>
      <c r="H83" s="597">
        <v>107580.77</v>
      </c>
      <c r="I83" s="577">
        <v>66127.17</v>
      </c>
      <c r="J83" s="204">
        <f t="shared" si="3"/>
        <v>61.46746300477306</v>
      </c>
      <c r="K83" s="51"/>
    </row>
    <row r="84" spans="1:11" ht="17.25" customHeight="1">
      <c r="A84" s="71" t="s">
        <v>328</v>
      </c>
      <c r="B84" s="650" t="s">
        <v>30</v>
      </c>
      <c r="C84" s="99" t="s">
        <v>117</v>
      </c>
      <c r="D84" s="100" t="s">
        <v>152</v>
      </c>
      <c r="E84" s="100" t="s">
        <v>592</v>
      </c>
      <c r="F84" s="100" t="s">
        <v>168</v>
      </c>
      <c r="G84" s="597">
        <v>0</v>
      </c>
      <c r="H84" s="597">
        <v>742931.73</v>
      </c>
      <c r="I84" s="577">
        <v>695772.1</v>
      </c>
      <c r="J84" s="204">
        <f t="shared" si="3"/>
        <v>93.65222562240005</v>
      </c>
      <c r="K84" s="51"/>
    </row>
    <row r="85" spans="1:11" ht="15.75" customHeight="1">
      <c r="A85" s="71" t="s">
        <v>318</v>
      </c>
      <c r="B85" s="650" t="s">
        <v>30</v>
      </c>
      <c r="C85" s="99" t="s">
        <v>117</v>
      </c>
      <c r="D85" s="100" t="s">
        <v>152</v>
      </c>
      <c r="E85" s="100" t="s">
        <v>592</v>
      </c>
      <c r="F85" s="100" t="s">
        <v>320</v>
      </c>
      <c r="G85" s="597">
        <v>0</v>
      </c>
      <c r="H85" s="597">
        <v>426295.65</v>
      </c>
      <c r="I85" s="577">
        <v>421738.03</v>
      </c>
      <c r="J85" s="204">
        <f t="shared" si="3"/>
        <v>98.93087813586651</v>
      </c>
      <c r="K85" s="51"/>
    </row>
    <row r="86" spans="1:11" ht="24.75" customHeight="1">
      <c r="A86" s="71" t="s">
        <v>189</v>
      </c>
      <c r="B86" s="650" t="s">
        <v>30</v>
      </c>
      <c r="C86" s="99" t="s">
        <v>117</v>
      </c>
      <c r="D86" s="100" t="s">
        <v>152</v>
      </c>
      <c r="E86" s="100" t="s">
        <v>592</v>
      </c>
      <c r="F86" s="100" t="s">
        <v>190</v>
      </c>
      <c r="G86" s="597">
        <v>0</v>
      </c>
      <c r="H86" s="597">
        <v>228295.3</v>
      </c>
      <c r="I86" s="577">
        <v>228295.3</v>
      </c>
      <c r="J86" s="204">
        <f t="shared" si="3"/>
        <v>100</v>
      </c>
      <c r="K86" s="51"/>
    </row>
    <row r="87" spans="1:11" ht="24.75" customHeight="1">
      <c r="A87" s="71" t="s">
        <v>225</v>
      </c>
      <c r="B87" s="650" t="s">
        <v>30</v>
      </c>
      <c r="C87" s="99" t="s">
        <v>117</v>
      </c>
      <c r="D87" s="100" t="s">
        <v>152</v>
      </c>
      <c r="E87" s="100" t="s">
        <v>592</v>
      </c>
      <c r="F87" s="100" t="s">
        <v>228</v>
      </c>
      <c r="G87" s="597">
        <v>0</v>
      </c>
      <c r="H87" s="597">
        <v>14212</v>
      </c>
      <c r="I87" s="577">
        <v>14212</v>
      </c>
      <c r="J87" s="204">
        <f t="shared" si="3"/>
        <v>100</v>
      </c>
      <c r="K87" s="51"/>
    </row>
    <row r="88" spans="1:11" ht="13.5" customHeight="1">
      <c r="A88" s="71" t="s">
        <v>791</v>
      </c>
      <c r="B88" s="650" t="s">
        <v>30</v>
      </c>
      <c r="C88" s="99" t="s">
        <v>117</v>
      </c>
      <c r="D88" s="100" t="s">
        <v>152</v>
      </c>
      <c r="E88" s="100" t="s">
        <v>592</v>
      </c>
      <c r="F88" s="100" t="s">
        <v>229</v>
      </c>
      <c r="G88" s="597">
        <v>0</v>
      </c>
      <c r="H88" s="597">
        <v>21152.6</v>
      </c>
      <c r="I88" s="577">
        <v>21152.6</v>
      </c>
      <c r="J88" s="204">
        <f t="shared" si="3"/>
        <v>100</v>
      </c>
      <c r="K88" s="51"/>
    </row>
    <row r="89" spans="1:11" ht="16.5" customHeight="1">
      <c r="A89" s="71" t="s">
        <v>181</v>
      </c>
      <c r="B89" s="650" t="s">
        <v>30</v>
      </c>
      <c r="C89" s="99" t="s">
        <v>117</v>
      </c>
      <c r="D89" s="100" t="s">
        <v>152</v>
      </c>
      <c r="E89" s="100" t="s">
        <v>592</v>
      </c>
      <c r="F89" s="100" t="s">
        <v>182</v>
      </c>
      <c r="G89" s="597">
        <v>0</v>
      </c>
      <c r="H89" s="597">
        <v>32808.08</v>
      </c>
      <c r="I89" s="577">
        <v>32808.08</v>
      </c>
      <c r="J89" s="204">
        <f t="shared" si="3"/>
        <v>100</v>
      </c>
      <c r="K89" s="51"/>
    </row>
    <row r="90" spans="1:11" ht="39" customHeight="1">
      <c r="A90" s="79" t="s">
        <v>525</v>
      </c>
      <c r="B90" s="650" t="s">
        <v>30</v>
      </c>
      <c r="C90" s="97" t="s">
        <v>117</v>
      </c>
      <c r="D90" s="98" t="s">
        <v>152</v>
      </c>
      <c r="E90" s="98" t="s">
        <v>109</v>
      </c>
      <c r="F90" s="98"/>
      <c r="G90" s="596">
        <f>SUM(G91:G96)</f>
        <v>467187.05000000005</v>
      </c>
      <c r="H90" s="596">
        <f>SUM(H91:H96)</f>
        <v>404659.76</v>
      </c>
      <c r="I90" s="576">
        <f>SUM(I91:I96)</f>
        <v>394659.76</v>
      </c>
      <c r="J90" s="204">
        <f t="shared" si="3"/>
        <v>97.52878813549437</v>
      </c>
      <c r="K90" s="51"/>
    </row>
    <row r="91" spans="1:11" ht="21" customHeight="1">
      <c r="A91" s="71" t="s">
        <v>328</v>
      </c>
      <c r="B91" s="650" t="s">
        <v>30</v>
      </c>
      <c r="C91" s="99" t="s">
        <v>117</v>
      </c>
      <c r="D91" s="100" t="s">
        <v>152</v>
      </c>
      <c r="E91" s="100" t="s">
        <v>109</v>
      </c>
      <c r="F91" s="100" t="s">
        <v>168</v>
      </c>
      <c r="G91" s="597">
        <f>227130.37+146504.78</f>
        <v>373635.15</v>
      </c>
      <c r="H91" s="597">
        <v>100000</v>
      </c>
      <c r="I91" s="577">
        <v>90000</v>
      </c>
      <c r="J91" s="204">
        <f t="shared" si="3"/>
        <v>90</v>
      </c>
      <c r="K91" s="51"/>
    </row>
    <row r="92" spans="1:11" ht="21" customHeight="1">
      <c r="A92" s="71" t="s">
        <v>318</v>
      </c>
      <c r="B92" s="650" t="s">
        <v>30</v>
      </c>
      <c r="C92" s="99" t="s">
        <v>117</v>
      </c>
      <c r="D92" s="100" t="s">
        <v>152</v>
      </c>
      <c r="E92" s="100" t="s">
        <v>109</v>
      </c>
      <c r="F92" s="100" t="s">
        <v>320</v>
      </c>
      <c r="G92" s="597">
        <f>16004.33+73583.3</f>
        <v>89587.63</v>
      </c>
      <c r="H92" s="597">
        <v>233238.24</v>
      </c>
      <c r="I92" s="577">
        <v>233238.24</v>
      </c>
      <c r="J92" s="204">
        <f t="shared" si="3"/>
        <v>100</v>
      </c>
      <c r="K92" s="51"/>
    </row>
    <row r="93" spans="1:11" ht="33" customHeight="1">
      <c r="A93" s="71" t="s">
        <v>810</v>
      </c>
      <c r="B93" s="650" t="s">
        <v>30</v>
      </c>
      <c r="C93" s="99" t="s">
        <v>117</v>
      </c>
      <c r="D93" s="100" t="s">
        <v>152</v>
      </c>
      <c r="E93" s="100" t="s">
        <v>109</v>
      </c>
      <c r="F93" s="100" t="s">
        <v>809</v>
      </c>
      <c r="G93" s="597">
        <v>0</v>
      </c>
      <c r="H93" s="597">
        <v>25000</v>
      </c>
      <c r="I93" s="577">
        <v>25000</v>
      </c>
      <c r="J93" s="204">
        <f t="shared" si="3"/>
        <v>100</v>
      </c>
      <c r="K93" s="51"/>
    </row>
    <row r="94" spans="1:11" ht="32.25" customHeight="1">
      <c r="A94" s="80" t="s">
        <v>110</v>
      </c>
      <c r="B94" s="650" t="s">
        <v>30</v>
      </c>
      <c r="C94" s="99" t="s">
        <v>117</v>
      </c>
      <c r="D94" s="100" t="s">
        <v>152</v>
      </c>
      <c r="E94" s="100" t="s">
        <v>109</v>
      </c>
      <c r="F94" s="100" t="s">
        <v>226</v>
      </c>
      <c r="G94" s="597">
        <f>2000+1964.27</f>
        <v>3964.27</v>
      </c>
      <c r="H94" s="597">
        <v>46421.52</v>
      </c>
      <c r="I94" s="577">
        <v>46421.52</v>
      </c>
      <c r="J94" s="204">
        <f t="shared" si="3"/>
        <v>100</v>
      </c>
      <c r="K94" s="51"/>
    </row>
    <row r="95" spans="1:11" ht="18" customHeight="1">
      <c r="A95" s="71" t="s">
        <v>791</v>
      </c>
      <c r="B95" s="650" t="s">
        <v>30</v>
      </c>
      <c r="C95" s="99" t="s">
        <v>117</v>
      </c>
      <c r="D95" s="100" t="s">
        <v>152</v>
      </c>
      <c r="E95" s="100" t="s">
        <v>109</v>
      </c>
      <c r="F95" s="100" t="s">
        <v>229</v>
      </c>
      <c r="G95" s="597"/>
      <c r="H95" s="597">
        <v>0</v>
      </c>
      <c r="I95" s="577">
        <v>0</v>
      </c>
      <c r="J95" s="204" t="e">
        <f t="shared" si="3"/>
        <v>#DIV/0!</v>
      </c>
      <c r="K95" s="51"/>
    </row>
    <row r="96" spans="1:11" ht="18" customHeight="1">
      <c r="A96" s="71" t="s">
        <v>181</v>
      </c>
      <c r="B96" s="650" t="s">
        <v>30</v>
      </c>
      <c r="C96" s="99" t="s">
        <v>117</v>
      </c>
      <c r="D96" s="100" t="s">
        <v>152</v>
      </c>
      <c r="E96" s="100" t="s">
        <v>109</v>
      </c>
      <c r="F96" s="100" t="s">
        <v>182</v>
      </c>
      <c r="G96" s="597"/>
      <c r="H96" s="597">
        <v>0</v>
      </c>
      <c r="I96" s="577">
        <v>0</v>
      </c>
      <c r="J96" s="204" t="e">
        <f t="shared" si="3"/>
        <v>#DIV/0!</v>
      </c>
      <c r="K96" s="51"/>
    </row>
    <row r="97" spans="1:11" ht="30.75" customHeight="1">
      <c r="A97" s="79" t="s">
        <v>834</v>
      </c>
      <c r="B97" s="650" t="s">
        <v>30</v>
      </c>
      <c r="C97" s="97" t="s">
        <v>117</v>
      </c>
      <c r="D97" s="98" t="s">
        <v>152</v>
      </c>
      <c r="E97" s="98" t="s">
        <v>833</v>
      </c>
      <c r="F97" s="98"/>
      <c r="G97" s="596">
        <f>G98</f>
        <v>294000</v>
      </c>
      <c r="H97" s="596">
        <f>H98</f>
        <v>0</v>
      </c>
      <c r="I97" s="576">
        <f>I98</f>
        <v>0</v>
      </c>
      <c r="J97" s="204" t="e">
        <f t="shared" si="3"/>
        <v>#DIV/0!</v>
      </c>
      <c r="K97" s="51"/>
    </row>
    <row r="98" spans="1:11" ht="18" customHeight="1">
      <c r="A98" s="71" t="s">
        <v>328</v>
      </c>
      <c r="B98" s="650" t="s">
        <v>30</v>
      </c>
      <c r="C98" s="99" t="s">
        <v>117</v>
      </c>
      <c r="D98" s="100" t="s">
        <v>152</v>
      </c>
      <c r="E98" s="100" t="s">
        <v>833</v>
      </c>
      <c r="F98" s="100" t="s">
        <v>168</v>
      </c>
      <c r="G98" s="597">
        <v>294000</v>
      </c>
      <c r="H98" s="597">
        <v>0</v>
      </c>
      <c r="I98" s="577">
        <v>0</v>
      </c>
      <c r="J98" s="204" t="e">
        <f t="shared" si="3"/>
        <v>#DIV/0!</v>
      </c>
      <c r="K98" s="51"/>
    </row>
    <row r="99" spans="1:11" ht="25.5" customHeight="1">
      <c r="A99" s="79" t="s">
        <v>836</v>
      </c>
      <c r="B99" s="650" t="s">
        <v>30</v>
      </c>
      <c r="C99" s="97" t="s">
        <v>117</v>
      </c>
      <c r="D99" s="98" t="s">
        <v>152</v>
      </c>
      <c r="E99" s="98" t="s">
        <v>835</v>
      </c>
      <c r="F99" s="98"/>
      <c r="G99" s="596">
        <f>SUM(G100:G101)</f>
        <v>769452.51</v>
      </c>
      <c r="H99" s="596">
        <f>SUM(H100:H101)</f>
        <v>0</v>
      </c>
      <c r="I99" s="576">
        <f>SUM(I100:I101)</f>
        <v>0</v>
      </c>
      <c r="J99" s="204" t="e">
        <f t="shared" si="3"/>
        <v>#DIV/0!</v>
      </c>
      <c r="K99" s="51"/>
    </row>
    <row r="100" spans="1:11" ht="18" customHeight="1">
      <c r="A100" s="71" t="s">
        <v>379</v>
      </c>
      <c r="B100" s="650" t="s">
        <v>30</v>
      </c>
      <c r="C100" s="99" t="s">
        <v>117</v>
      </c>
      <c r="D100" s="100" t="s">
        <v>152</v>
      </c>
      <c r="E100" s="100" t="s">
        <v>835</v>
      </c>
      <c r="F100" s="100" t="s">
        <v>230</v>
      </c>
      <c r="G100" s="597">
        <v>599877.59</v>
      </c>
      <c r="H100" s="597">
        <v>0</v>
      </c>
      <c r="I100" s="577">
        <v>0</v>
      </c>
      <c r="J100" s="204" t="e">
        <f t="shared" si="3"/>
        <v>#DIV/0!</v>
      </c>
      <c r="K100" s="51"/>
    </row>
    <row r="101" spans="1:11" ht="41.25" customHeight="1">
      <c r="A101" s="71" t="s">
        <v>380</v>
      </c>
      <c r="B101" s="650" t="s">
        <v>30</v>
      </c>
      <c r="C101" s="99" t="s">
        <v>117</v>
      </c>
      <c r="D101" s="100" t="s">
        <v>152</v>
      </c>
      <c r="E101" s="100" t="s">
        <v>835</v>
      </c>
      <c r="F101" s="100" t="s">
        <v>71</v>
      </c>
      <c r="G101" s="597">
        <v>169574.92</v>
      </c>
      <c r="H101" s="597">
        <v>0</v>
      </c>
      <c r="I101" s="577">
        <v>0</v>
      </c>
      <c r="J101" s="204" t="e">
        <f t="shared" si="3"/>
        <v>#DIV/0!</v>
      </c>
      <c r="K101" s="51"/>
    </row>
    <row r="102" spans="1:11" ht="28.5" customHeight="1">
      <c r="A102" s="70" t="s">
        <v>526</v>
      </c>
      <c r="B102" s="650" t="s">
        <v>30</v>
      </c>
      <c r="C102" s="97" t="s">
        <v>117</v>
      </c>
      <c r="D102" s="98" t="s">
        <v>152</v>
      </c>
      <c r="E102" s="98" t="s">
        <v>319</v>
      </c>
      <c r="F102" s="98"/>
      <c r="G102" s="596">
        <f>G103+G104</f>
        <v>1739272.06</v>
      </c>
      <c r="H102" s="596">
        <f>H103+H104</f>
        <v>3445000</v>
      </c>
      <c r="I102" s="576">
        <f>I103+I104</f>
        <v>2581841.39</v>
      </c>
      <c r="J102" s="204">
        <f t="shared" si="3"/>
        <v>74.94459767779391</v>
      </c>
      <c r="K102" s="51"/>
    </row>
    <row r="103" spans="1:11" ht="16.5" customHeight="1">
      <c r="A103" s="71" t="s">
        <v>328</v>
      </c>
      <c r="B103" s="650" t="s">
        <v>30</v>
      </c>
      <c r="C103" s="99" t="s">
        <v>117</v>
      </c>
      <c r="D103" s="100" t="s">
        <v>152</v>
      </c>
      <c r="E103" s="100" t="s">
        <v>319</v>
      </c>
      <c r="F103" s="100" t="s">
        <v>168</v>
      </c>
      <c r="G103" s="597">
        <f>36845.27</f>
        <v>36845.27</v>
      </c>
      <c r="H103" s="597">
        <v>112731.84</v>
      </c>
      <c r="I103" s="577">
        <v>56327.16</v>
      </c>
      <c r="J103" s="204">
        <f t="shared" si="3"/>
        <v>49.965617522077174</v>
      </c>
      <c r="K103" s="51"/>
    </row>
    <row r="104" spans="1:11" ht="19.5" customHeight="1">
      <c r="A104" s="71" t="s">
        <v>318</v>
      </c>
      <c r="B104" s="650" t="s">
        <v>30</v>
      </c>
      <c r="C104" s="99" t="s">
        <v>117</v>
      </c>
      <c r="D104" s="100" t="s">
        <v>152</v>
      </c>
      <c r="E104" s="100" t="s">
        <v>319</v>
      </c>
      <c r="F104" s="100" t="s">
        <v>320</v>
      </c>
      <c r="G104" s="597">
        <f>1702426.79</f>
        <v>1702426.79</v>
      </c>
      <c r="H104" s="597">
        <v>3332268.16</v>
      </c>
      <c r="I104" s="577">
        <v>2525514.23</v>
      </c>
      <c r="J104" s="204">
        <f t="shared" si="3"/>
        <v>75.78964563284126</v>
      </c>
      <c r="K104" s="51"/>
    </row>
    <row r="105" spans="1:11" ht="27" customHeight="1">
      <c r="A105" s="183" t="s">
        <v>382</v>
      </c>
      <c r="B105" s="650" t="s">
        <v>30</v>
      </c>
      <c r="C105" s="97" t="s">
        <v>117</v>
      </c>
      <c r="D105" s="98" t="s">
        <v>152</v>
      </c>
      <c r="E105" s="98" t="s">
        <v>183</v>
      </c>
      <c r="F105" s="98"/>
      <c r="G105" s="596">
        <f>SUM(G106:G113)</f>
        <v>6073392.840000001</v>
      </c>
      <c r="H105" s="596">
        <f>SUM(H106:H113)</f>
        <v>11368000</v>
      </c>
      <c r="I105" s="576">
        <f>SUM(I106:I113)</f>
        <v>9756052.79</v>
      </c>
      <c r="J105" s="204">
        <f t="shared" si="3"/>
        <v>85.8203095531316</v>
      </c>
      <c r="K105" s="50">
        <f>I105+I102</f>
        <v>12337894.18</v>
      </c>
    </row>
    <row r="106" spans="1:11" ht="18" customHeight="1">
      <c r="A106" s="71" t="s">
        <v>379</v>
      </c>
      <c r="B106" s="650" t="s">
        <v>30</v>
      </c>
      <c r="C106" s="99" t="s">
        <v>117</v>
      </c>
      <c r="D106" s="100" t="s">
        <v>152</v>
      </c>
      <c r="E106" s="100" t="s">
        <v>183</v>
      </c>
      <c r="F106" s="100" t="s">
        <v>230</v>
      </c>
      <c r="G106" s="597">
        <f>3840135.28</f>
        <v>3840135.28</v>
      </c>
      <c r="H106" s="597">
        <v>6510000</v>
      </c>
      <c r="I106" s="577">
        <v>5551508.04</v>
      </c>
      <c r="J106" s="204">
        <f t="shared" si="3"/>
        <v>85.27662119815669</v>
      </c>
      <c r="K106" s="51"/>
    </row>
    <row r="107" spans="1:11" ht="33" customHeight="1">
      <c r="A107" s="71" t="s">
        <v>381</v>
      </c>
      <c r="B107" s="650" t="s">
        <v>30</v>
      </c>
      <c r="C107" s="99" t="s">
        <v>117</v>
      </c>
      <c r="D107" s="100" t="s">
        <v>152</v>
      </c>
      <c r="E107" s="100" t="s">
        <v>183</v>
      </c>
      <c r="F107" s="100" t="s">
        <v>231</v>
      </c>
      <c r="G107" s="597">
        <f>21076</f>
        <v>21076</v>
      </c>
      <c r="H107" s="597">
        <v>25900</v>
      </c>
      <c r="I107" s="577">
        <v>19258.4</v>
      </c>
      <c r="J107" s="204">
        <f t="shared" si="3"/>
        <v>74.35675675675675</v>
      </c>
      <c r="K107" s="51"/>
    </row>
    <row r="108" spans="1:11" ht="39.75" customHeight="1">
      <c r="A108" s="71" t="s">
        <v>380</v>
      </c>
      <c r="B108" s="650" t="s">
        <v>30</v>
      </c>
      <c r="C108" s="99" t="s">
        <v>117</v>
      </c>
      <c r="D108" s="100" t="s">
        <v>152</v>
      </c>
      <c r="E108" s="100" t="s">
        <v>183</v>
      </c>
      <c r="F108" s="100" t="s">
        <v>71</v>
      </c>
      <c r="G108" s="597">
        <f>1132848.74</f>
        <v>1132848.74</v>
      </c>
      <c r="H108" s="597">
        <v>1946000</v>
      </c>
      <c r="I108" s="577">
        <v>1871324.65</v>
      </c>
      <c r="J108" s="204">
        <f t="shared" si="3"/>
        <v>96.16262332990749</v>
      </c>
      <c r="K108" s="51"/>
    </row>
    <row r="109" spans="1:11" ht="18.75" customHeight="1">
      <c r="A109" s="71" t="s">
        <v>417</v>
      </c>
      <c r="B109" s="650" t="s">
        <v>30</v>
      </c>
      <c r="C109" s="99" t="s">
        <v>117</v>
      </c>
      <c r="D109" s="100" t="s">
        <v>152</v>
      </c>
      <c r="E109" s="100" t="s">
        <v>183</v>
      </c>
      <c r="F109" s="100" t="s">
        <v>168</v>
      </c>
      <c r="G109" s="597">
        <f>811761.23</f>
        <v>811761.23</v>
      </c>
      <c r="H109" s="597">
        <v>2793495</v>
      </c>
      <c r="I109" s="577">
        <v>2256158.7</v>
      </c>
      <c r="J109" s="204">
        <f t="shared" si="3"/>
        <v>80.76473020356221</v>
      </c>
      <c r="K109" s="51"/>
    </row>
    <row r="110" spans="1:11" ht="30" customHeight="1">
      <c r="A110" s="71" t="s">
        <v>189</v>
      </c>
      <c r="B110" s="650" t="s">
        <v>30</v>
      </c>
      <c r="C110" s="99" t="s">
        <v>117</v>
      </c>
      <c r="D110" s="100" t="s">
        <v>152</v>
      </c>
      <c r="E110" s="100" t="s">
        <v>183</v>
      </c>
      <c r="F110" s="100" t="s">
        <v>190</v>
      </c>
      <c r="G110" s="597">
        <f>205880.48</f>
        <v>205880.48</v>
      </c>
      <c r="H110" s="597">
        <v>0</v>
      </c>
      <c r="I110" s="577">
        <v>0</v>
      </c>
      <c r="J110" s="204" t="e">
        <f t="shared" si="3"/>
        <v>#DIV/0!</v>
      </c>
      <c r="K110" s="51"/>
    </row>
    <row r="111" spans="1:11" ht="31.5" customHeight="1">
      <c r="A111" s="71" t="s">
        <v>225</v>
      </c>
      <c r="B111" s="650" t="s">
        <v>30</v>
      </c>
      <c r="C111" s="99" t="s">
        <v>117</v>
      </c>
      <c r="D111" s="100" t="s">
        <v>152</v>
      </c>
      <c r="E111" s="100" t="s">
        <v>183</v>
      </c>
      <c r="F111" s="100" t="s">
        <v>228</v>
      </c>
      <c r="G111" s="597">
        <f>52252</f>
        <v>52252</v>
      </c>
      <c r="H111" s="597">
        <v>60000</v>
      </c>
      <c r="I111" s="577">
        <v>49777</v>
      </c>
      <c r="J111" s="204">
        <f t="shared" si="3"/>
        <v>82.96166666666667</v>
      </c>
      <c r="K111" s="51"/>
    </row>
    <row r="112" spans="1:11" ht="27" customHeight="1">
      <c r="A112" s="71" t="s">
        <v>227</v>
      </c>
      <c r="B112" s="650" t="s">
        <v>30</v>
      </c>
      <c r="C112" s="99" t="s">
        <v>117</v>
      </c>
      <c r="D112" s="100" t="s">
        <v>152</v>
      </c>
      <c r="E112" s="100" t="s">
        <v>183</v>
      </c>
      <c r="F112" s="100" t="s">
        <v>229</v>
      </c>
      <c r="G112" s="597">
        <f>9299</f>
        <v>9299</v>
      </c>
      <c r="H112" s="597">
        <v>25605</v>
      </c>
      <c r="I112" s="577">
        <v>1026</v>
      </c>
      <c r="J112" s="204">
        <f t="shared" si="3"/>
        <v>4.007029876977153</v>
      </c>
      <c r="K112" s="51"/>
    </row>
    <row r="113" spans="1:11" ht="19.5" customHeight="1">
      <c r="A113" s="71" t="s">
        <v>181</v>
      </c>
      <c r="B113" s="650" t="s">
        <v>30</v>
      </c>
      <c r="C113" s="99" t="s">
        <v>117</v>
      </c>
      <c r="D113" s="100" t="s">
        <v>152</v>
      </c>
      <c r="E113" s="100" t="s">
        <v>183</v>
      </c>
      <c r="F113" s="100" t="s">
        <v>182</v>
      </c>
      <c r="G113" s="597">
        <f>140.11</f>
        <v>140.11</v>
      </c>
      <c r="H113" s="597">
        <v>7000</v>
      </c>
      <c r="I113" s="577">
        <v>7000</v>
      </c>
      <c r="J113" s="204">
        <f t="shared" si="3"/>
        <v>100</v>
      </c>
      <c r="K113" s="51"/>
    </row>
    <row r="114" spans="1:11" ht="51" customHeight="1">
      <c r="A114" s="183" t="s">
        <v>832</v>
      </c>
      <c r="B114" s="650" t="s">
        <v>30</v>
      </c>
      <c r="C114" s="97" t="s">
        <v>117</v>
      </c>
      <c r="D114" s="98" t="s">
        <v>152</v>
      </c>
      <c r="E114" s="98" t="s">
        <v>831</v>
      </c>
      <c r="F114" s="98"/>
      <c r="G114" s="596">
        <f>G115</f>
        <v>0</v>
      </c>
      <c r="H114" s="596">
        <f>H115</f>
        <v>0</v>
      </c>
      <c r="I114" s="576">
        <f>I115</f>
        <v>0</v>
      </c>
      <c r="J114" s="204" t="e">
        <f t="shared" si="3"/>
        <v>#DIV/0!</v>
      </c>
      <c r="K114" s="51"/>
    </row>
    <row r="115" spans="1:11" ht="19.5" customHeight="1">
      <c r="A115" s="71" t="s">
        <v>417</v>
      </c>
      <c r="B115" s="650" t="s">
        <v>30</v>
      </c>
      <c r="C115" s="99" t="s">
        <v>117</v>
      </c>
      <c r="D115" s="100" t="s">
        <v>152</v>
      </c>
      <c r="E115" s="100" t="s">
        <v>831</v>
      </c>
      <c r="F115" s="100" t="s">
        <v>168</v>
      </c>
      <c r="G115" s="597"/>
      <c r="H115" s="597">
        <v>0</v>
      </c>
      <c r="I115" s="577">
        <v>0</v>
      </c>
      <c r="J115" s="204" t="e">
        <f t="shared" si="3"/>
        <v>#DIV/0!</v>
      </c>
      <c r="K115" s="51"/>
    </row>
    <row r="116" spans="1:11" ht="40.5" customHeight="1">
      <c r="A116" s="72" t="s">
        <v>527</v>
      </c>
      <c r="B116" s="650" t="s">
        <v>30</v>
      </c>
      <c r="C116" s="105" t="s">
        <v>117</v>
      </c>
      <c r="D116" s="98" t="s">
        <v>152</v>
      </c>
      <c r="E116" s="98" t="s">
        <v>593</v>
      </c>
      <c r="F116" s="104"/>
      <c r="G116" s="596">
        <f>SUM(G117:G117)</f>
        <v>0</v>
      </c>
      <c r="H116" s="596">
        <f>SUM(H117:H117)</f>
        <v>5000</v>
      </c>
      <c r="I116" s="576">
        <f>SUM(I117:I117)</f>
        <v>1599</v>
      </c>
      <c r="J116" s="204">
        <f t="shared" si="3"/>
        <v>31.979999999999997</v>
      </c>
      <c r="K116" s="51"/>
    </row>
    <row r="117" spans="1:11" ht="17.25" customHeight="1">
      <c r="A117" s="71" t="s">
        <v>417</v>
      </c>
      <c r="B117" s="650" t="s">
        <v>30</v>
      </c>
      <c r="C117" s="106" t="s">
        <v>117</v>
      </c>
      <c r="D117" s="104" t="s">
        <v>152</v>
      </c>
      <c r="E117" s="100" t="s">
        <v>593</v>
      </c>
      <c r="F117" s="104" t="s">
        <v>168</v>
      </c>
      <c r="G117" s="597">
        <v>0</v>
      </c>
      <c r="H117" s="597">
        <v>5000</v>
      </c>
      <c r="I117" s="577">
        <v>1599</v>
      </c>
      <c r="J117" s="204">
        <f t="shared" si="3"/>
        <v>31.979999999999997</v>
      </c>
      <c r="K117" s="51"/>
    </row>
    <row r="118" spans="1:11" ht="12.75" customHeight="1">
      <c r="A118" s="330" t="s">
        <v>160</v>
      </c>
      <c r="B118" s="331" t="s">
        <v>30</v>
      </c>
      <c r="C118" s="332" t="s">
        <v>124</v>
      </c>
      <c r="D118" s="333"/>
      <c r="E118" s="334"/>
      <c r="F118" s="335"/>
      <c r="G118" s="601">
        <f aca="true" t="shared" si="4" ref="G118:I119">G119</f>
        <v>572773.8300000001</v>
      </c>
      <c r="H118" s="601">
        <f t="shared" si="4"/>
        <v>442300</v>
      </c>
      <c r="I118" s="581">
        <f t="shared" si="4"/>
        <v>207255.66</v>
      </c>
      <c r="J118" s="628">
        <f t="shared" si="3"/>
        <v>46.858616323762156</v>
      </c>
      <c r="K118" s="51"/>
    </row>
    <row r="119" spans="1:11" ht="16.5" customHeight="1">
      <c r="A119" s="81" t="s">
        <v>161</v>
      </c>
      <c r="B119" s="632" t="s">
        <v>30</v>
      </c>
      <c r="C119" s="336" t="s">
        <v>124</v>
      </c>
      <c r="D119" s="337" t="s">
        <v>126</v>
      </c>
      <c r="E119" s="338"/>
      <c r="F119" s="339"/>
      <c r="G119" s="602">
        <f t="shared" si="4"/>
        <v>572773.8300000001</v>
      </c>
      <c r="H119" s="602">
        <f t="shared" si="4"/>
        <v>442300</v>
      </c>
      <c r="I119" s="582">
        <f t="shared" si="4"/>
        <v>207255.66</v>
      </c>
      <c r="J119" s="630">
        <f t="shared" si="3"/>
        <v>46.858616323762156</v>
      </c>
      <c r="K119" s="51"/>
    </row>
    <row r="120" spans="1:11" ht="27" customHeight="1">
      <c r="A120" s="74" t="s">
        <v>154</v>
      </c>
      <c r="B120" s="650" t="s">
        <v>30</v>
      </c>
      <c r="C120" s="340" t="s">
        <v>124</v>
      </c>
      <c r="D120" s="341" t="s">
        <v>126</v>
      </c>
      <c r="E120" s="338" t="s">
        <v>594</v>
      </c>
      <c r="F120" s="338"/>
      <c r="G120" s="603">
        <f>SUM(G121:G124)</f>
        <v>572773.8300000001</v>
      </c>
      <c r="H120" s="603">
        <f>SUM(H121:H124)</f>
        <v>442300</v>
      </c>
      <c r="I120" s="583">
        <f>SUM(I121:I124)</f>
        <v>207255.66</v>
      </c>
      <c r="J120" s="204">
        <f t="shared" si="3"/>
        <v>46.858616323762156</v>
      </c>
      <c r="K120" s="51"/>
    </row>
    <row r="121" spans="1:11" ht="18" customHeight="1">
      <c r="A121" s="71" t="s">
        <v>373</v>
      </c>
      <c r="B121" s="650" t="s">
        <v>30</v>
      </c>
      <c r="C121" s="342" t="s">
        <v>124</v>
      </c>
      <c r="D121" s="343" t="s">
        <v>126</v>
      </c>
      <c r="E121" s="344" t="s">
        <v>594</v>
      </c>
      <c r="F121" s="343" t="s">
        <v>169</v>
      </c>
      <c r="G121" s="597">
        <f>201008.51+83700+83517.55+75884.58</f>
        <v>444110.64</v>
      </c>
      <c r="H121" s="597">
        <v>339708</v>
      </c>
      <c r="I121" s="577">
        <v>110063.66</v>
      </c>
      <c r="J121" s="204">
        <f t="shared" si="3"/>
        <v>32.39949015036443</v>
      </c>
      <c r="K121" s="51"/>
    </row>
    <row r="122" spans="1:11" ht="42.75" customHeight="1">
      <c r="A122" s="71" t="s">
        <v>892</v>
      </c>
      <c r="B122" s="650" t="s">
        <v>30</v>
      </c>
      <c r="C122" s="342" t="s">
        <v>124</v>
      </c>
      <c r="D122" s="343" t="s">
        <v>126</v>
      </c>
      <c r="E122" s="344" t="s">
        <v>594</v>
      </c>
      <c r="F122" s="343" t="s">
        <v>172</v>
      </c>
      <c r="G122" s="597">
        <v>8756.2</v>
      </c>
      <c r="H122" s="597">
        <v>0</v>
      </c>
      <c r="I122" s="577">
        <v>0</v>
      </c>
      <c r="J122" s="204" t="e">
        <f t="shared" si="3"/>
        <v>#DIV/0!</v>
      </c>
      <c r="K122" s="51"/>
    </row>
    <row r="123" spans="1:11" ht="45" customHeight="1">
      <c r="A123" s="71" t="s">
        <v>177</v>
      </c>
      <c r="B123" s="650" t="s">
        <v>30</v>
      </c>
      <c r="C123" s="342" t="s">
        <v>124</v>
      </c>
      <c r="D123" s="343" t="s">
        <v>126</v>
      </c>
      <c r="E123" s="344" t="s">
        <v>594</v>
      </c>
      <c r="F123" s="104" t="s">
        <v>178</v>
      </c>
      <c r="G123" s="597">
        <f>59798.48+16098.05+25222.24+18788.22</f>
        <v>119906.99</v>
      </c>
      <c r="H123" s="597">
        <v>5400</v>
      </c>
      <c r="I123" s="577">
        <v>0</v>
      </c>
      <c r="J123" s="204">
        <f t="shared" si="3"/>
        <v>0</v>
      </c>
      <c r="K123" s="51"/>
    </row>
    <row r="124" spans="1:11" ht="20.25" customHeight="1">
      <c r="A124" s="71" t="s">
        <v>417</v>
      </c>
      <c r="B124" s="650" t="s">
        <v>30</v>
      </c>
      <c r="C124" s="342" t="s">
        <v>124</v>
      </c>
      <c r="D124" s="343" t="s">
        <v>126</v>
      </c>
      <c r="E124" s="344" t="s">
        <v>594</v>
      </c>
      <c r="F124" s="104" t="s">
        <v>168</v>
      </c>
      <c r="G124" s="597">
        <v>0</v>
      </c>
      <c r="H124" s="597">
        <v>97192</v>
      </c>
      <c r="I124" s="577">
        <v>97192</v>
      </c>
      <c r="J124" s="204">
        <f t="shared" si="3"/>
        <v>100</v>
      </c>
      <c r="K124" s="51"/>
    </row>
    <row r="125" spans="1:11" ht="23.25" customHeight="1">
      <c r="A125" s="345" t="s">
        <v>242</v>
      </c>
      <c r="B125" s="346" t="s">
        <v>30</v>
      </c>
      <c r="C125" s="108" t="s">
        <v>126</v>
      </c>
      <c r="D125" s="109"/>
      <c r="E125" s="107"/>
      <c r="F125" s="109"/>
      <c r="G125" s="594">
        <f>G126</f>
        <v>938302.6099999999</v>
      </c>
      <c r="H125" s="594">
        <f>H126</f>
        <v>500000</v>
      </c>
      <c r="I125" s="584">
        <f>I126</f>
        <v>296799</v>
      </c>
      <c r="J125" s="628">
        <f t="shared" si="3"/>
        <v>59.35979999999999</v>
      </c>
      <c r="K125" s="51"/>
    </row>
    <row r="126" spans="1:11" ht="27" customHeight="1">
      <c r="A126" s="82" t="s">
        <v>243</v>
      </c>
      <c r="B126" s="632" t="s">
        <v>30</v>
      </c>
      <c r="C126" s="95" t="s">
        <v>126</v>
      </c>
      <c r="D126" s="96" t="s">
        <v>147</v>
      </c>
      <c r="E126" s="98"/>
      <c r="F126" s="96"/>
      <c r="G126" s="595">
        <f>G127+G130+G132+G134</f>
        <v>938302.6099999999</v>
      </c>
      <c r="H126" s="595">
        <f>H127+H130+H132+H134</f>
        <v>500000</v>
      </c>
      <c r="I126" s="575">
        <f>I127+I130+I132+I134</f>
        <v>296799</v>
      </c>
      <c r="J126" s="630">
        <f t="shared" si="3"/>
        <v>59.35979999999999</v>
      </c>
      <c r="K126" s="51"/>
    </row>
    <row r="127" spans="1:11" ht="27.75" customHeight="1">
      <c r="A127" s="74" t="s">
        <v>837</v>
      </c>
      <c r="B127" s="650" t="s">
        <v>30</v>
      </c>
      <c r="C127" s="97" t="s">
        <v>126</v>
      </c>
      <c r="D127" s="98" t="s">
        <v>147</v>
      </c>
      <c r="E127" s="98" t="s">
        <v>274</v>
      </c>
      <c r="F127" s="98"/>
      <c r="G127" s="596">
        <f>SUM(G128:G129)</f>
        <v>22134.1</v>
      </c>
      <c r="H127" s="596">
        <f>SUM(H128:H129)</f>
        <v>0</v>
      </c>
      <c r="I127" s="576">
        <f>SUM(I128:I129)</f>
        <v>0</v>
      </c>
      <c r="J127" s="204" t="e">
        <f t="shared" si="3"/>
        <v>#DIV/0!</v>
      </c>
      <c r="K127" s="51"/>
    </row>
    <row r="128" spans="1:11" ht="18" customHeight="1">
      <c r="A128" s="71" t="s">
        <v>328</v>
      </c>
      <c r="B128" s="650" t="s">
        <v>30</v>
      </c>
      <c r="C128" s="99" t="s">
        <v>126</v>
      </c>
      <c r="D128" s="100" t="s">
        <v>147</v>
      </c>
      <c r="E128" s="100" t="s">
        <v>274</v>
      </c>
      <c r="F128" s="100" t="s">
        <v>168</v>
      </c>
      <c r="G128" s="597">
        <v>19450</v>
      </c>
      <c r="H128" s="597">
        <v>0</v>
      </c>
      <c r="I128" s="577">
        <v>0</v>
      </c>
      <c r="J128" s="204" t="e">
        <f t="shared" si="3"/>
        <v>#DIV/0!</v>
      </c>
      <c r="K128" s="51"/>
    </row>
    <row r="129" spans="1:11" ht="18" customHeight="1">
      <c r="A129" s="71" t="s">
        <v>181</v>
      </c>
      <c r="B129" s="650" t="s">
        <v>30</v>
      </c>
      <c r="C129" s="99" t="s">
        <v>126</v>
      </c>
      <c r="D129" s="100" t="s">
        <v>147</v>
      </c>
      <c r="E129" s="100" t="s">
        <v>274</v>
      </c>
      <c r="F129" s="100" t="s">
        <v>182</v>
      </c>
      <c r="G129" s="597">
        <v>2684.1</v>
      </c>
      <c r="H129" s="597">
        <v>0</v>
      </c>
      <c r="I129" s="577">
        <v>0</v>
      </c>
      <c r="J129" s="204" t="e">
        <f t="shared" si="3"/>
        <v>#DIV/0!</v>
      </c>
      <c r="K129" s="51"/>
    </row>
    <row r="130" spans="1:11" ht="27" customHeight="1">
      <c r="A130" s="74" t="s">
        <v>839</v>
      </c>
      <c r="B130" s="650" t="s">
        <v>30</v>
      </c>
      <c r="C130" s="97" t="s">
        <v>126</v>
      </c>
      <c r="D130" s="98" t="s">
        <v>147</v>
      </c>
      <c r="E130" s="98" t="s">
        <v>838</v>
      </c>
      <c r="F130" s="98"/>
      <c r="G130" s="596">
        <f>G131</f>
        <v>866009.94</v>
      </c>
      <c r="H130" s="596">
        <f>H131</f>
        <v>0</v>
      </c>
      <c r="I130" s="576">
        <f>I131</f>
        <v>0</v>
      </c>
      <c r="J130" s="204" t="e">
        <f t="shared" si="3"/>
        <v>#DIV/0!</v>
      </c>
      <c r="K130" s="51"/>
    </row>
    <row r="131" spans="1:11" ht="18" customHeight="1">
      <c r="A131" s="71" t="s">
        <v>328</v>
      </c>
      <c r="B131" s="650" t="s">
        <v>30</v>
      </c>
      <c r="C131" s="99" t="s">
        <v>126</v>
      </c>
      <c r="D131" s="100" t="s">
        <v>147</v>
      </c>
      <c r="E131" s="100" t="s">
        <v>838</v>
      </c>
      <c r="F131" s="100" t="s">
        <v>168</v>
      </c>
      <c r="G131" s="597">
        <f>282272.34+583737.6</f>
        <v>866009.94</v>
      </c>
      <c r="H131" s="597">
        <v>0</v>
      </c>
      <c r="I131" s="577">
        <v>0</v>
      </c>
      <c r="J131" s="204" t="e">
        <f t="shared" si="3"/>
        <v>#DIV/0!</v>
      </c>
      <c r="K131" s="51"/>
    </row>
    <row r="132" spans="1:11" ht="24" customHeight="1">
      <c r="A132" s="76" t="s">
        <v>528</v>
      </c>
      <c r="B132" s="650" t="s">
        <v>30</v>
      </c>
      <c r="C132" s="97" t="s">
        <v>126</v>
      </c>
      <c r="D132" s="98" t="s">
        <v>147</v>
      </c>
      <c r="E132" s="98" t="s">
        <v>595</v>
      </c>
      <c r="F132" s="98"/>
      <c r="G132" s="596">
        <f>G133</f>
        <v>50158.57</v>
      </c>
      <c r="H132" s="596">
        <f>H133</f>
        <v>495000</v>
      </c>
      <c r="I132" s="576">
        <f>I133</f>
        <v>294557</v>
      </c>
      <c r="J132" s="204">
        <f t="shared" si="3"/>
        <v>59.50646464646465</v>
      </c>
      <c r="K132" s="51"/>
    </row>
    <row r="133" spans="1:11" ht="15.75" customHeight="1">
      <c r="A133" s="71" t="s">
        <v>328</v>
      </c>
      <c r="B133" s="650" t="s">
        <v>30</v>
      </c>
      <c r="C133" s="99" t="s">
        <v>126</v>
      </c>
      <c r="D133" s="100" t="s">
        <v>147</v>
      </c>
      <c r="E133" s="100" t="s">
        <v>595</v>
      </c>
      <c r="F133" s="100" t="s">
        <v>168</v>
      </c>
      <c r="G133" s="597">
        <f>2923.3+47235.27</f>
        <v>50158.57</v>
      </c>
      <c r="H133" s="597">
        <v>495000</v>
      </c>
      <c r="I133" s="577">
        <v>294557</v>
      </c>
      <c r="J133" s="204">
        <f t="shared" si="3"/>
        <v>59.50646464646465</v>
      </c>
      <c r="K133" s="51"/>
    </row>
    <row r="134" spans="1:11" ht="39" customHeight="1">
      <c r="A134" s="74" t="s">
        <v>529</v>
      </c>
      <c r="B134" s="650" t="s">
        <v>30</v>
      </c>
      <c r="C134" s="97" t="s">
        <v>126</v>
      </c>
      <c r="D134" s="98" t="s">
        <v>147</v>
      </c>
      <c r="E134" s="98" t="s">
        <v>596</v>
      </c>
      <c r="F134" s="98"/>
      <c r="G134" s="596">
        <f>G135</f>
        <v>0</v>
      </c>
      <c r="H134" s="596">
        <f>H135</f>
        <v>5000</v>
      </c>
      <c r="I134" s="576">
        <f>I135</f>
        <v>2242</v>
      </c>
      <c r="J134" s="204">
        <f t="shared" si="3"/>
        <v>44.84</v>
      </c>
      <c r="K134" s="51"/>
    </row>
    <row r="135" spans="1:11" ht="17.25" customHeight="1">
      <c r="A135" s="71" t="s">
        <v>328</v>
      </c>
      <c r="B135" s="650" t="s">
        <v>30</v>
      </c>
      <c r="C135" s="99" t="s">
        <v>126</v>
      </c>
      <c r="D135" s="100" t="s">
        <v>147</v>
      </c>
      <c r="E135" s="100" t="s">
        <v>596</v>
      </c>
      <c r="F135" s="100" t="s">
        <v>168</v>
      </c>
      <c r="G135" s="597"/>
      <c r="H135" s="597">
        <v>5000</v>
      </c>
      <c r="I135" s="577">
        <v>2242</v>
      </c>
      <c r="J135" s="204">
        <f t="shared" si="3"/>
        <v>44.84</v>
      </c>
      <c r="K135" s="51"/>
    </row>
    <row r="136" spans="1:11" ht="16.5" customHeight="1">
      <c r="A136" s="347" t="s">
        <v>143</v>
      </c>
      <c r="B136" s="346" t="s">
        <v>30</v>
      </c>
      <c r="C136" s="109" t="s">
        <v>127</v>
      </c>
      <c r="D136" s="109"/>
      <c r="E136" s="107"/>
      <c r="F136" s="109"/>
      <c r="G136" s="594">
        <f>G137+G140+G146+G166+G143</f>
        <v>22155162.259999998</v>
      </c>
      <c r="H136" s="594">
        <f>H137+H140+H146+H166+H143</f>
        <v>68045497.91999999</v>
      </c>
      <c r="I136" s="584">
        <f>I137+I140+I146+I166+I143</f>
        <v>18676989.09</v>
      </c>
      <c r="J136" s="628">
        <f t="shared" si="3"/>
        <v>27.44779546173391</v>
      </c>
      <c r="K136" s="51"/>
    </row>
    <row r="137" spans="1:11" ht="16.5" customHeight="1">
      <c r="A137" s="83" t="s">
        <v>813</v>
      </c>
      <c r="B137" s="632" t="s">
        <v>30</v>
      </c>
      <c r="C137" s="112" t="s">
        <v>127</v>
      </c>
      <c r="D137" s="96" t="s">
        <v>117</v>
      </c>
      <c r="E137" s="98"/>
      <c r="F137" s="96"/>
      <c r="G137" s="595">
        <f aca="true" t="shared" si="5" ref="G137:I138">G138</f>
        <v>0</v>
      </c>
      <c r="H137" s="595">
        <f t="shared" si="5"/>
        <v>172500</v>
      </c>
      <c r="I137" s="575">
        <f t="shared" si="5"/>
        <v>0</v>
      </c>
      <c r="J137" s="630">
        <f t="shared" si="3"/>
        <v>0</v>
      </c>
      <c r="K137" s="51"/>
    </row>
    <row r="138" spans="1:11" ht="42.75" customHeight="1">
      <c r="A138" s="74" t="s">
        <v>812</v>
      </c>
      <c r="B138" s="650" t="s">
        <v>30</v>
      </c>
      <c r="C138" s="113" t="s">
        <v>127</v>
      </c>
      <c r="D138" s="98" t="s">
        <v>117</v>
      </c>
      <c r="E138" s="98" t="s">
        <v>811</v>
      </c>
      <c r="F138" s="98"/>
      <c r="G138" s="596">
        <f t="shared" si="5"/>
        <v>0</v>
      </c>
      <c r="H138" s="596">
        <f t="shared" si="5"/>
        <v>172500</v>
      </c>
      <c r="I138" s="576">
        <f t="shared" si="5"/>
        <v>0</v>
      </c>
      <c r="J138" s="204">
        <f t="shared" si="3"/>
        <v>0</v>
      </c>
      <c r="K138" s="51"/>
    </row>
    <row r="139" spans="1:11" ht="16.5" customHeight="1">
      <c r="A139" s="71" t="s">
        <v>167</v>
      </c>
      <c r="B139" s="650" t="s">
        <v>30</v>
      </c>
      <c r="C139" s="114" t="s">
        <v>127</v>
      </c>
      <c r="D139" s="100" t="s">
        <v>117</v>
      </c>
      <c r="E139" s="100" t="s">
        <v>811</v>
      </c>
      <c r="F139" s="100" t="s">
        <v>166</v>
      </c>
      <c r="G139" s="597">
        <v>0</v>
      </c>
      <c r="H139" s="597">
        <v>172500</v>
      </c>
      <c r="I139" s="577">
        <v>0</v>
      </c>
      <c r="J139" s="204">
        <f t="shared" si="3"/>
        <v>0</v>
      </c>
      <c r="K139" s="51"/>
    </row>
    <row r="140" spans="1:11" ht="18" customHeight="1">
      <c r="A140" s="83" t="s">
        <v>8</v>
      </c>
      <c r="B140" s="632" t="s">
        <v>30</v>
      </c>
      <c r="C140" s="112" t="s">
        <v>127</v>
      </c>
      <c r="D140" s="96" t="s">
        <v>123</v>
      </c>
      <c r="E140" s="98"/>
      <c r="F140" s="96"/>
      <c r="G140" s="595">
        <f aca="true" t="shared" si="6" ref="G140:I141">G141</f>
        <v>559310</v>
      </c>
      <c r="H140" s="595">
        <f t="shared" si="6"/>
        <v>1502700</v>
      </c>
      <c r="I140" s="575">
        <f t="shared" si="6"/>
        <v>1075100</v>
      </c>
      <c r="J140" s="630">
        <f aca="true" t="shared" si="7" ref="J140:J203">I140/H140*100</f>
        <v>71.5445531376855</v>
      </c>
      <c r="K140" s="51"/>
    </row>
    <row r="141" spans="1:11" ht="51" customHeight="1">
      <c r="A141" s="74" t="s">
        <v>384</v>
      </c>
      <c r="B141" s="650" t="s">
        <v>30</v>
      </c>
      <c r="C141" s="113" t="s">
        <v>127</v>
      </c>
      <c r="D141" s="98" t="s">
        <v>123</v>
      </c>
      <c r="E141" s="98" t="s">
        <v>597</v>
      </c>
      <c r="F141" s="98"/>
      <c r="G141" s="596">
        <f t="shared" si="6"/>
        <v>559310</v>
      </c>
      <c r="H141" s="596">
        <f t="shared" si="6"/>
        <v>1502700</v>
      </c>
      <c r="I141" s="576">
        <f t="shared" si="6"/>
        <v>1075100</v>
      </c>
      <c r="J141" s="204">
        <f t="shared" si="7"/>
        <v>71.5445531376855</v>
      </c>
      <c r="K141" s="51"/>
    </row>
    <row r="142" spans="1:11" ht="16.5" customHeight="1">
      <c r="A142" s="71" t="s">
        <v>328</v>
      </c>
      <c r="B142" s="650" t="s">
        <v>30</v>
      </c>
      <c r="C142" s="114" t="s">
        <v>127</v>
      </c>
      <c r="D142" s="100" t="s">
        <v>123</v>
      </c>
      <c r="E142" s="100" t="s">
        <v>597</v>
      </c>
      <c r="F142" s="100" t="s">
        <v>168</v>
      </c>
      <c r="G142" s="597">
        <v>559310</v>
      </c>
      <c r="H142" s="597">
        <v>1502700</v>
      </c>
      <c r="I142" s="577">
        <v>1075100</v>
      </c>
      <c r="J142" s="204">
        <f t="shared" si="7"/>
        <v>71.5445531376855</v>
      </c>
      <c r="K142" s="51"/>
    </row>
    <row r="143" spans="1:11" ht="16.5" customHeight="1">
      <c r="A143" s="83" t="s">
        <v>677</v>
      </c>
      <c r="B143" s="632" t="s">
        <v>30</v>
      </c>
      <c r="C143" s="112" t="s">
        <v>127</v>
      </c>
      <c r="D143" s="96" t="s">
        <v>119</v>
      </c>
      <c r="E143" s="98"/>
      <c r="F143" s="96"/>
      <c r="G143" s="602">
        <f aca="true" t="shared" si="8" ref="G143:I144">G144</f>
        <v>0</v>
      </c>
      <c r="H143" s="602">
        <f t="shared" si="8"/>
        <v>100000</v>
      </c>
      <c r="I143" s="582">
        <f t="shared" si="8"/>
        <v>0</v>
      </c>
      <c r="J143" s="630">
        <f t="shared" si="7"/>
        <v>0</v>
      </c>
      <c r="K143" s="51"/>
    </row>
    <row r="144" spans="1:11" ht="23.25" customHeight="1">
      <c r="A144" s="79" t="s">
        <v>549</v>
      </c>
      <c r="B144" s="650" t="s">
        <v>30</v>
      </c>
      <c r="C144" s="113" t="s">
        <v>127</v>
      </c>
      <c r="D144" s="98" t="s">
        <v>119</v>
      </c>
      <c r="E144" s="98" t="s">
        <v>678</v>
      </c>
      <c r="F144" s="98"/>
      <c r="G144" s="597">
        <f t="shared" si="8"/>
        <v>0</v>
      </c>
      <c r="H144" s="597">
        <f t="shared" si="8"/>
        <v>100000</v>
      </c>
      <c r="I144" s="577">
        <f t="shared" si="8"/>
        <v>0</v>
      </c>
      <c r="J144" s="204">
        <f t="shared" si="7"/>
        <v>0</v>
      </c>
      <c r="K144" s="51"/>
    </row>
    <row r="145" spans="1:11" ht="54.75" customHeight="1">
      <c r="A145" s="71" t="s">
        <v>330</v>
      </c>
      <c r="B145" s="650" t="s">
        <v>30</v>
      </c>
      <c r="C145" s="114" t="s">
        <v>127</v>
      </c>
      <c r="D145" s="100" t="s">
        <v>119</v>
      </c>
      <c r="E145" s="100" t="s">
        <v>678</v>
      </c>
      <c r="F145" s="100" t="s">
        <v>268</v>
      </c>
      <c r="G145" s="597">
        <v>0</v>
      </c>
      <c r="H145" s="597">
        <v>100000</v>
      </c>
      <c r="I145" s="577">
        <v>0</v>
      </c>
      <c r="J145" s="204">
        <f t="shared" si="7"/>
        <v>0</v>
      </c>
      <c r="K145" s="51"/>
    </row>
    <row r="146" spans="1:11" ht="16.5" customHeight="1">
      <c r="A146" s="83" t="s">
        <v>107</v>
      </c>
      <c r="B146" s="632" t="s">
        <v>30</v>
      </c>
      <c r="C146" s="112" t="s">
        <v>127</v>
      </c>
      <c r="D146" s="96" t="s">
        <v>120</v>
      </c>
      <c r="E146" s="98"/>
      <c r="F146" s="96"/>
      <c r="G146" s="595">
        <f>G147+G149+G151+G153+G162+G164+G156+G158+G160</f>
        <v>14325603.65</v>
      </c>
      <c r="H146" s="595">
        <f>H147+H149+H151+H153+H162+H164+H156+H158+H160</f>
        <v>65230297.92999999</v>
      </c>
      <c r="I146" s="575">
        <f>I147+I149+I151+I153+I162+I164+I156+I158+I160</f>
        <v>17601889.09</v>
      </c>
      <c r="J146" s="630">
        <f t="shared" si="7"/>
        <v>26.98422305059676</v>
      </c>
      <c r="K146" s="51"/>
    </row>
    <row r="147" spans="1:11" ht="65.25" customHeight="1">
      <c r="A147" s="184" t="s">
        <v>851</v>
      </c>
      <c r="B147" s="650" t="s">
        <v>30</v>
      </c>
      <c r="C147" s="113" t="s">
        <v>127</v>
      </c>
      <c r="D147" s="98" t="s">
        <v>120</v>
      </c>
      <c r="E147" s="98" t="s">
        <v>902</v>
      </c>
      <c r="F147" s="98"/>
      <c r="G147" s="596">
        <f>G148</f>
        <v>200000</v>
      </c>
      <c r="H147" s="596">
        <f>H148</f>
        <v>0</v>
      </c>
      <c r="I147" s="576">
        <f>I148</f>
        <v>0</v>
      </c>
      <c r="J147" s="204" t="e">
        <f t="shared" si="7"/>
        <v>#DIV/0!</v>
      </c>
      <c r="K147" s="51"/>
    </row>
    <row r="148" spans="1:11" ht="16.5" customHeight="1">
      <c r="A148" s="71" t="s">
        <v>417</v>
      </c>
      <c r="B148" s="650" t="s">
        <v>30</v>
      </c>
      <c r="C148" s="114" t="s">
        <v>127</v>
      </c>
      <c r="D148" s="100" t="s">
        <v>120</v>
      </c>
      <c r="E148" s="100" t="s">
        <v>902</v>
      </c>
      <c r="F148" s="100" t="s">
        <v>168</v>
      </c>
      <c r="G148" s="597">
        <v>200000</v>
      </c>
      <c r="H148" s="597">
        <v>0</v>
      </c>
      <c r="I148" s="577">
        <v>0</v>
      </c>
      <c r="J148" s="204" t="e">
        <f t="shared" si="7"/>
        <v>#DIV/0!</v>
      </c>
      <c r="K148" s="51"/>
    </row>
    <row r="149" spans="1:11" ht="66" customHeight="1">
      <c r="A149" s="184" t="s">
        <v>530</v>
      </c>
      <c r="B149" s="650" t="s">
        <v>30</v>
      </c>
      <c r="C149" s="113" t="s">
        <v>127</v>
      </c>
      <c r="D149" s="98" t="s">
        <v>120</v>
      </c>
      <c r="E149" s="98" t="s">
        <v>598</v>
      </c>
      <c r="F149" s="98"/>
      <c r="G149" s="596">
        <f>G150</f>
        <v>0</v>
      </c>
      <c r="H149" s="596">
        <f>H150</f>
        <v>10900000</v>
      </c>
      <c r="I149" s="576">
        <f>I150</f>
        <v>136381.38</v>
      </c>
      <c r="J149" s="204">
        <f t="shared" si="7"/>
        <v>1.2512053211009173</v>
      </c>
      <c r="K149" s="51"/>
    </row>
    <row r="150" spans="1:11" ht="16.5" customHeight="1">
      <c r="A150" s="71" t="s">
        <v>417</v>
      </c>
      <c r="B150" s="650" t="s">
        <v>30</v>
      </c>
      <c r="C150" s="114" t="s">
        <v>127</v>
      </c>
      <c r="D150" s="100" t="s">
        <v>120</v>
      </c>
      <c r="E150" s="100" t="s">
        <v>598</v>
      </c>
      <c r="F150" s="100" t="s">
        <v>168</v>
      </c>
      <c r="G150" s="597">
        <v>0</v>
      </c>
      <c r="H150" s="597">
        <v>10900000</v>
      </c>
      <c r="I150" s="577">
        <v>136381.38</v>
      </c>
      <c r="J150" s="204">
        <f t="shared" si="7"/>
        <v>1.2512053211009173</v>
      </c>
      <c r="K150" s="51"/>
    </row>
    <row r="151" spans="1:11" ht="66" customHeight="1">
      <c r="A151" s="184" t="s">
        <v>680</v>
      </c>
      <c r="B151" s="650" t="s">
        <v>30</v>
      </c>
      <c r="C151" s="113" t="s">
        <v>127</v>
      </c>
      <c r="D151" s="98" t="s">
        <v>120</v>
      </c>
      <c r="E151" s="98" t="s">
        <v>679</v>
      </c>
      <c r="F151" s="98"/>
      <c r="G151" s="596">
        <f>G152</f>
        <v>0</v>
      </c>
      <c r="H151" s="596">
        <f>H152</f>
        <v>29722597.9</v>
      </c>
      <c r="I151" s="576">
        <f>I152</f>
        <v>0</v>
      </c>
      <c r="J151" s="204">
        <f t="shared" si="7"/>
        <v>0</v>
      </c>
      <c r="K151" s="51"/>
    </row>
    <row r="152" spans="1:11" ht="13.5" customHeight="1">
      <c r="A152" s="71" t="s">
        <v>417</v>
      </c>
      <c r="B152" s="650" t="s">
        <v>30</v>
      </c>
      <c r="C152" s="114" t="s">
        <v>127</v>
      </c>
      <c r="D152" s="100" t="s">
        <v>120</v>
      </c>
      <c r="E152" s="100" t="s">
        <v>679</v>
      </c>
      <c r="F152" s="100" t="s">
        <v>168</v>
      </c>
      <c r="G152" s="604">
        <v>0</v>
      </c>
      <c r="H152" s="604">
        <v>29722597.9</v>
      </c>
      <c r="I152" s="585">
        <v>0</v>
      </c>
      <c r="J152" s="204">
        <f t="shared" si="7"/>
        <v>0</v>
      </c>
      <c r="K152" s="51"/>
    </row>
    <row r="153" spans="1:11" ht="24" customHeight="1">
      <c r="A153" s="70" t="s">
        <v>531</v>
      </c>
      <c r="B153" s="650" t="s">
        <v>30</v>
      </c>
      <c r="C153" s="113" t="s">
        <v>127</v>
      </c>
      <c r="D153" s="98" t="s">
        <v>120</v>
      </c>
      <c r="E153" s="98" t="s">
        <v>599</v>
      </c>
      <c r="F153" s="98"/>
      <c r="G153" s="596">
        <f>G154+G155</f>
        <v>11702476.25</v>
      </c>
      <c r="H153" s="596">
        <f>H154+H155</f>
        <v>16599400</v>
      </c>
      <c r="I153" s="576">
        <f>I154+I155</f>
        <v>12189209.629999999</v>
      </c>
      <c r="J153" s="204">
        <f t="shared" si="7"/>
        <v>73.43162782992155</v>
      </c>
      <c r="K153" s="51"/>
    </row>
    <row r="154" spans="1:11" ht="15" customHeight="1">
      <c r="A154" s="71" t="s">
        <v>417</v>
      </c>
      <c r="B154" s="650" t="s">
        <v>30</v>
      </c>
      <c r="C154" s="114" t="s">
        <v>127</v>
      </c>
      <c r="D154" s="100" t="s">
        <v>120</v>
      </c>
      <c r="E154" s="100" t="s">
        <v>599</v>
      </c>
      <c r="F154" s="100" t="s">
        <v>168</v>
      </c>
      <c r="G154" s="597">
        <f>779202.52+1999750+399223.74+6669264</f>
        <v>9847440.26</v>
      </c>
      <c r="H154" s="597">
        <v>14299400</v>
      </c>
      <c r="I154" s="577">
        <v>10602801.2</v>
      </c>
      <c r="J154" s="204">
        <f t="shared" si="7"/>
        <v>74.14857406604473</v>
      </c>
      <c r="K154" s="51"/>
    </row>
    <row r="155" spans="1:11" ht="12" customHeight="1">
      <c r="A155" s="71" t="s">
        <v>318</v>
      </c>
      <c r="B155" s="650" t="s">
        <v>30</v>
      </c>
      <c r="C155" s="114" t="s">
        <v>127</v>
      </c>
      <c r="D155" s="100" t="s">
        <v>120</v>
      </c>
      <c r="E155" s="100" t="s">
        <v>599</v>
      </c>
      <c r="F155" s="100" t="s">
        <v>320</v>
      </c>
      <c r="G155" s="597">
        <f>477155.16+223757.12+763169+289548.8+101405.91</f>
        <v>1855035.99</v>
      </c>
      <c r="H155" s="597">
        <v>2300000</v>
      </c>
      <c r="I155" s="577">
        <v>1586408.43</v>
      </c>
      <c r="J155" s="204">
        <f t="shared" si="7"/>
        <v>68.97427956521739</v>
      </c>
      <c r="K155" s="51"/>
    </row>
    <row r="156" spans="1:11" ht="42" customHeight="1">
      <c r="A156" s="70" t="s">
        <v>683</v>
      </c>
      <c r="B156" s="650" t="s">
        <v>30</v>
      </c>
      <c r="C156" s="113" t="s">
        <v>127</v>
      </c>
      <c r="D156" s="98" t="s">
        <v>120</v>
      </c>
      <c r="E156" s="98" t="s">
        <v>682</v>
      </c>
      <c r="F156" s="98"/>
      <c r="G156" s="605">
        <f>G157</f>
        <v>0</v>
      </c>
      <c r="H156" s="605">
        <f>H157</f>
        <v>3426361.73</v>
      </c>
      <c r="I156" s="586">
        <f>I157</f>
        <v>890000</v>
      </c>
      <c r="J156" s="204">
        <f t="shared" si="7"/>
        <v>25.97507414957031</v>
      </c>
      <c r="K156" s="51"/>
    </row>
    <row r="157" spans="1:11" ht="12" customHeight="1">
      <c r="A157" s="71" t="s">
        <v>417</v>
      </c>
      <c r="B157" s="650" t="s">
        <v>30</v>
      </c>
      <c r="C157" s="114" t="s">
        <v>127</v>
      </c>
      <c r="D157" s="100" t="s">
        <v>120</v>
      </c>
      <c r="E157" s="100" t="s">
        <v>682</v>
      </c>
      <c r="F157" s="100" t="s">
        <v>168</v>
      </c>
      <c r="G157" s="597">
        <v>0</v>
      </c>
      <c r="H157" s="597">
        <v>3426361.73</v>
      </c>
      <c r="I157" s="577">
        <v>890000</v>
      </c>
      <c r="J157" s="204">
        <f t="shared" si="7"/>
        <v>25.97507414957031</v>
      </c>
      <c r="K157" s="51"/>
    </row>
    <row r="158" spans="1:11" ht="42.75" customHeight="1">
      <c r="A158" s="70" t="s">
        <v>546</v>
      </c>
      <c r="B158" s="650" t="s">
        <v>30</v>
      </c>
      <c r="C158" s="113" t="s">
        <v>127</v>
      </c>
      <c r="D158" s="98" t="s">
        <v>120</v>
      </c>
      <c r="E158" s="98" t="s">
        <v>684</v>
      </c>
      <c r="F158" s="110"/>
      <c r="G158" s="605">
        <f>G159</f>
        <v>0</v>
      </c>
      <c r="H158" s="605">
        <f>H159</f>
        <v>335594.33</v>
      </c>
      <c r="I158" s="586">
        <f>I159</f>
        <v>160947.08</v>
      </c>
      <c r="J158" s="204">
        <f t="shared" si="7"/>
        <v>47.958819804851885</v>
      </c>
      <c r="K158" s="51"/>
    </row>
    <row r="159" spans="1:11" ht="18.75" customHeight="1">
      <c r="A159" s="71" t="s">
        <v>417</v>
      </c>
      <c r="B159" s="650" t="s">
        <v>30</v>
      </c>
      <c r="C159" s="114" t="s">
        <v>127</v>
      </c>
      <c r="D159" s="100" t="s">
        <v>120</v>
      </c>
      <c r="E159" s="100" t="s">
        <v>684</v>
      </c>
      <c r="F159" s="104" t="s">
        <v>168</v>
      </c>
      <c r="G159" s="597">
        <v>0</v>
      </c>
      <c r="H159" s="597">
        <v>335594.33</v>
      </c>
      <c r="I159" s="577">
        <v>160947.08</v>
      </c>
      <c r="J159" s="204">
        <f t="shared" si="7"/>
        <v>47.958819804851885</v>
      </c>
      <c r="K159" s="51"/>
    </row>
    <row r="160" spans="1:11" ht="45" customHeight="1">
      <c r="A160" s="70" t="s">
        <v>792</v>
      </c>
      <c r="B160" s="650" t="s">
        <v>30</v>
      </c>
      <c r="C160" s="113" t="s">
        <v>127</v>
      </c>
      <c r="D160" s="98" t="s">
        <v>120</v>
      </c>
      <c r="E160" s="98" t="s">
        <v>681</v>
      </c>
      <c r="F160" s="110"/>
      <c r="G160" s="605">
        <f>G161</f>
        <v>0</v>
      </c>
      <c r="H160" s="605">
        <f>H161</f>
        <v>45992.97</v>
      </c>
      <c r="I160" s="586">
        <f>I161</f>
        <v>25000</v>
      </c>
      <c r="J160" s="204">
        <f t="shared" si="7"/>
        <v>54.35613312208366</v>
      </c>
      <c r="K160" s="51"/>
    </row>
    <row r="161" spans="1:11" ht="18.75" customHeight="1">
      <c r="A161" s="71" t="s">
        <v>417</v>
      </c>
      <c r="B161" s="650" t="s">
        <v>30</v>
      </c>
      <c r="C161" s="114" t="s">
        <v>127</v>
      </c>
      <c r="D161" s="100" t="s">
        <v>120</v>
      </c>
      <c r="E161" s="100" t="s">
        <v>681</v>
      </c>
      <c r="F161" s="104" t="s">
        <v>168</v>
      </c>
      <c r="G161" s="597"/>
      <c r="H161" s="597">
        <v>45992.97</v>
      </c>
      <c r="I161" s="577">
        <v>25000</v>
      </c>
      <c r="J161" s="204">
        <f t="shared" si="7"/>
        <v>54.35613312208366</v>
      </c>
      <c r="K161" s="51"/>
    </row>
    <row r="162" spans="1:11" ht="32.25" customHeight="1">
      <c r="A162" s="70" t="s">
        <v>644</v>
      </c>
      <c r="B162" s="650" t="s">
        <v>30</v>
      </c>
      <c r="C162" s="113" t="s">
        <v>127</v>
      </c>
      <c r="D162" s="98" t="s">
        <v>120</v>
      </c>
      <c r="E162" s="98" t="s">
        <v>600</v>
      </c>
      <c r="F162" s="100"/>
      <c r="G162" s="596">
        <f>G163</f>
        <v>2423127.4</v>
      </c>
      <c r="H162" s="596">
        <f>H163</f>
        <v>3962595.29</v>
      </c>
      <c r="I162" s="576">
        <f>I163</f>
        <v>3962595.29</v>
      </c>
      <c r="J162" s="204">
        <f t="shared" si="7"/>
        <v>100</v>
      </c>
      <c r="K162" s="51"/>
    </row>
    <row r="163" spans="1:11" ht="54" customHeight="1">
      <c r="A163" s="80" t="s">
        <v>83</v>
      </c>
      <c r="B163" s="650" t="s">
        <v>30</v>
      </c>
      <c r="C163" s="114" t="s">
        <v>127</v>
      </c>
      <c r="D163" s="100" t="s">
        <v>120</v>
      </c>
      <c r="E163" s="100" t="s">
        <v>600</v>
      </c>
      <c r="F163" s="100" t="s">
        <v>100</v>
      </c>
      <c r="G163" s="597">
        <v>2423127.4</v>
      </c>
      <c r="H163" s="597">
        <v>3962595.29</v>
      </c>
      <c r="I163" s="577">
        <v>3962595.29</v>
      </c>
      <c r="J163" s="204">
        <f t="shared" si="7"/>
        <v>100</v>
      </c>
      <c r="K163" s="51"/>
    </row>
    <row r="164" spans="1:11" ht="44.25" customHeight="1">
      <c r="A164" s="70" t="s">
        <v>711</v>
      </c>
      <c r="B164" s="650" t="s">
        <v>30</v>
      </c>
      <c r="C164" s="113" t="s">
        <v>127</v>
      </c>
      <c r="D164" s="98" t="s">
        <v>120</v>
      </c>
      <c r="E164" s="98" t="s">
        <v>600</v>
      </c>
      <c r="F164" s="100"/>
      <c r="G164" s="596">
        <f>G165</f>
        <v>0</v>
      </c>
      <c r="H164" s="596">
        <f>H165</f>
        <v>237755.71</v>
      </c>
      <c r="I164" s="576">
        <f>I165</f>
        <v>237755.71</v>
      </c>
      <c r="J164" s="204">
        <f t="shared" si="7"/>
        <v>100</v>
      </c>
      <c r="K164" s="51"/>
    </row>
    <row r="165" spans="1:11" ht="63" customHeight="1">
      <c r="A165" s="80" t="s">
        <v>83</v>
      </c>
      <c r="B165" s="650" t="s">
        <v>30</v>
      </c>
      <c r="C165" s="114" t="s">
        <v>127</v>
      </c>
      <c r="D165" s="100" t="s">
        <v>120</v>
      </c>
      <c r="E165" s="100" t="s">
        <v>600</v>
      </c>
      <c r="F165" s="100" t="s">
        <v>100</v>
      </c>
      <c r="G165" s="597">
        <v>0</v>
      </c>
      <c r="H165" s="597">
        <v>237755.71</v>
      </c>
      <c r="I165" s="577">
        <v>237755.71</v>
      </c>
      <c r="J165" s="204">
        <f t="shared" si="7"/>
        <v>100</v>
      </c>
      <c r="K165" s="51"/>
    </row>
    <row r="166" spans="1:11" ht="15" customHeight="1">
      <c r="A166" s="83" t="s">
        <v>150</v>
      </c>
      <c r="B166" s="632" t="s">
        <v>30</v>
      </c>
      <c r="C166" s="112" t="s">
        <v>127</v>
      </c>
      <c r="D166" s="96" t="s">
        <v>121</v>
      </c>
      <c r="E166" s="98"/>
      <c r="F166" s="96"/>
      <c r="G166" s="595">
        <f>G167+G169+G171+G173+G175</f>
        <v>7270248.609999999</v>
      </c>
      <c r="H166" s="595">
        <f>H167+H169+H171+H173+H175</f>
        <v>1039999.99</v>
      </c>
      <c r="I166" s="575">
        <f>I167+I169+I171+I173+I175</f>
        <v>0</v>
      </c>
      <c r="J166" s="630">
        <f t="shared" si="7"/>
        <v>0</v>
      </c>
      <c r="K166" s="51"/>
    </row>
    <row r="167" spans="1:11" ht="50.25" customHeight="1">
      <c r="A167" s="74" t="s">
        <v>815</v>
      </c>
      <c r="B167" s="650" t="s">
        <v>30</v>
      </c>
      <c r="C167" s="113" t="s">
        <v>127</v>
      </c>
      <c r="D167" s="98" t="s">
        <v>121</v>
      </c>
      <c r="E167" s="98" t="s">
        <v>814</v>
      </c>
      <c r="F167" s="98"/>
      <c r="G167" s="596">
        <f>G168</f>
        <v>0</v>
      </c>
      <c r="H167" s="596">
        <f>H168</f>
        <v>999999.99</v>
      </c>
      <c r="I167" s="576">
        <f>I168</f>
        <v>0</v>
      </c>
      <c r="J167" s="204">
        <f t="shared" si="7"/>
        <v>0</v>
      </c>
      <c r="K167" s="51"/>
    </row>
    <row r="168" spans="1:11" ht="20.25" customHeight="1">
      <c r="A168" s="71" t="s">
        <v>417</v>
      </c>
      <c r="B168" s="650" t="s">
        <v>30</v>
      </c>
      <c r="C168" s="114" t="s">
        <v>127</v>
      </c>
      <c r="D168" s="100" t="s">
        <v>121</v>
      </c>
      <c r="E168" s="100" t="s">
        <v>814</v>
      </c>
      <c r="F168" s="100" t="s">
        <v>168</v>
      </c>
      <c r="G168" s="597">
        <v>0</v>
      </c>
      <c r="H168" s="597">
        <v>999999.99</v>
      </c>
      <c r="I168" s="577">
        <v>0</v>
      </c>
      <c r="J168" s="204">
        <f t="shared" si="7"/>
        <v>0</v>
      </c>
      <c r="K168" s="51"/>
    </row>
    <row r="169" spans="1:11" ht="40.5" customHeight="1">
      <c r="A169" s="74" t="s">
        <v>841</v>
      </c>
      <c r="B169" s="650" t="s">
        <v>30</v>
      </c>
      <c r="C169" s="113" t="s">
        <v>127</v>
      </c>
      <c r="D169" s="98" t="s">
        <v>121</v>
      </c>
      <c r="E169" s="98" t="s">
        <v>840</v>
      </c>
      <c r="F169" s="98"/>
      <c r="G169" s="596">
        <f>G170</f>
        <v>287700</v>
      </c>
      <c r="H169" s="596">
        <f>H170</f>
        <v>0</v>
      </c>
      <c r="I169" s="576">
        <f>I170</f>
        <v>0</v>
      </c>
      <c r="J169" s="204" t="e">
        <f t="shared" si="7"/>
        <v>#DIV/0!</v>
      </c>
      <c r="K169" s="51"/>
    </row>
    <row r="170" spans="1:11" ht="20.25" customHeight="1">
      <c r="A170" s="71" t="s">
        <v>417</v>
      </c>
      <c r="B170" s="650" t="s">
        <v>30</v>
      </c>
      <c r="C170" s="114" t="s">
        <v>127</v>
      </c>
      <c r="D170" s="100" t="s">
        <v>121</v>
      </c>
      <c r="E170" s="100" t="s">
        <v>840</v>
      </c>
      <c r="F170" s="100" t="s">
        <v>168</v>
      </c>
      <c r="G170" s="597">
        <f>70000+126000+91700</f>
        <v>287700</v>
      </c>
      <c r="H170" s="597">
        <v>0</v>
      </c>
      <c r="I170" s="577">
        <v>0</v>
      </c>
      <c r="J170" s="204" t="e">
        <f t="shared" si="7"/>
        <v>#DIV/0!</v>
      </c>
      <c r="K170" s="51"/>
    </row>
    <row r="171" spans="1:11" ht="54.75" customHeight="1">
      <c r="A171" s="74" t="s">
        <v>843</v>
      </c>
      <c r="B171" s="650" t="s">
        <v>30</v>
      </c>
      <c r="C171" s="113" t="s">
        <v>127</v>
      </c>
      <c r="D171" s="98" t="s">
        <v>121</v>
      </c>
      <c r="E171" s="98" t="s">
        <v>842</v>
      </c>
      <c r="F171" s="98"/>
      <c r="G171" s="596">
        <f>G172</f>
        <v>3747247.75</v>
      </c>
      <c r="H171" s="596">
        <f>H172</f>
        <v>0</v>
      </c>
      <c r="I171" s="576">
        <f>I172</f>
        <v>0</v>
      </c>
      <c r="J171" s="204" t="e">
        <f t="shared" si="7"/>
        <v>#DIV/0!</v>
      </c>
      <c r="K171" s="51"/>
    </row>
    <row r="172" spans="1:11" ht="20.25" customHeight="1">
      <c r="A172" s="71" t="s">
        <v>417</v>
      </c>
      <c r="B172" s="650" t="s">
        <v>30</v>
      </c>
      <c r="C172" s="114" t="s">
        <v>127</v>
      </c>
      <c r="D172" s="100" t="s">
        <v>121</v>
      </c>
      <c r="E172" s="100" t="s">
        <v>842</v>
      </c>
      <c r="F172" s="100" t="s">
        <v>168</v>
      </c>
      <c r="G172" s="597">
        <f>255679+354551+1995103.71+661164.04+480750</f>
        <v>3747247.75</v>
      </c>
      <c r="H172" s="597">
        <v>0</v>
      </c>
      <c r="I172" s="577">
        <v>0</v>
      </c>
      <c r="J172" s="204" t="e">
        <f t="shared" si="7"/>
        <v>#DIV/0!</v>
      </c>
      <c r="K172" s="51"/>
    </row>
    <row r="173" spans="1:11" ht="30" customHeight="1">
      <c r="A173" s="74" t="s">
        <v>845</v>
      </c>
      <c r="B173" s="650" t="s">
        <v>30</v>
      </c>
      <c r="C173" s="113" t="s">
        <v>127</v>
      </c>
      <c r="D173" s="98" t="s">
        <v>121</v>
      </c>
      <c r="E173" s="98" t="s">
        <v>844</v>
      </c>
      <c r="F173" s="98"/>
      <c r="G173" s="596">
        <f>G174</f>
        <v>3202947.85</v>
      </c>
      <c r="H173" s="596">
        <f>H174</f>
        <v>0</v>
      </c>
      <c r="I173" s="576">
        <f>I174</f>
        <v>0</v>
      </c>
      <c r="J173" s="204" t="e">
        <f t="shared" si="7"/>
        <v>#DIV/0!</v>
      </c>
      <c r="K173" s="51"/>
    </row>
    <row r="174" spans="1:11" ht="55.5" customHeight="1">
      <c r="A174" s="80" t="s">
        <v>83</v>
      </c>
      <c r="B174" s="650" t="s">
        <v>30</v>
      </c>
      <c r="C174" s="114" t="s">
        <v>127</v>
      </c>
      <c r="D174" s="100" t="s">
        <v>121</v>
      </c>
      <c r="E174" s="100" t="s">
        <v>844</v>
      </c>
      <c r="F174" s="100" t="s">
        <v>100</v>
      </c>
      <c r="G174" s="597">
        <v>3202947.85</v>
      </c>
      <c r="H174" s="597">
        <v>0</v>
      </c>
      <c r="I174" s="577">
        <v>0</v>
      </c>
      <c r="J174" s="204" t="e">
        <f t="shared" si="7"/>
        <v>#DIV/0!</v>
      </c>
      <c r="K174" s="51"/>
    </row>
    <row r="175" spans="1:11" ht="39" customHeight="1">
      <c r="A175" s="74" t="s">
        <v>532</v>
      </c>
      <c r="B175" s="650" t="s">
        <v>30</v>
      </c>
      <c r="C175" s="113" t="s">
        <v>127</v>
      </c>
      <c r="D175" s="98" t="s">
        <v>121</v>
      </c>
      <c r="E175" s="98" t="s">
        <v>385</v>
      </c>
      <c r="F175" s="98"/>
      <c r="G175" s="596">
        <f>G176</f>
        <v>32353.01</v>
      </c>
      <c r="H175" s="596">
        <f>H176</f>
        <v>40000</v>
      </c>
      <c r="I175" s="576">
        <f>I176</f>
        <v>0</v>
      </c>
      <c r="J175" s="204">
        <f t="shared" si="7"/>
        <v>0</v>
      </c>
      <c r="K175" s="51"/>
    </row>
    <row r="176" spans="1:11" ht="57" customHeight="1">
      <c r="A176" s="80" t="s">
        <v>83</v>
      </c>
      <c r="B176" s="650" t="s">
        <v>30</v>
      </c>
      <c r="C176" s="114" t="s">
        <v>127</v>
      </c>
      <c r="D176" s="100" t="s">
        <v>121</v>
      </c>
      <c r="E176" s="100" t="s">
        <v>385</v>
      </c>
      <c r="F176" s="100" t="s">
        <v>100</v>
      </c>
      <c r="G176" s="597">
        <v>32353.01</v>
      </c>
      <c r="H176" s="597">
        <v>40000</v>
      </c>
      <c r="I176" s="577">
        <v>0</v>
      </c>
      <c r="J176" s="204">
        <f t="shared" si="7"/>
        <v>0</v>
      </c>
      <c r="K176" s="51"/>
    </row>
    <row r="177" spans="1:11" ht="15" customHeight="1">
      <c r="A177" s="89" t="s">
        <v>386</v>
      </c>
      <c r="B177" s="346" t="s">
        <v>30</v>
      </c>
      <c r="C177" s="109" t="s">
        <v>123</v>
      </c>
      <c r="D177" s="109"/>
      <c r="E177" s="107"/>
      <c r="F177" s="109"/>
      <c r="G177" s="594">
        <f>G178+G214+G235+G294</f>
        <v>417625742.74000007</v>
      </c>
      <c r="H177" s="594">
        <f>H178+H214+H235+H294</f>
        <v>650637220.44</v>
      </c>
      <c r="I177" s="584">
        <f>I178+I214+I235+I294</f>
        <v>421481032.45</v>
      </c>
      <c r="J177" s="628">
        <f t="shared" si="7"/>
        <v>64.77972965717656</v>
      </c>
      <c r="K177" s="51"/>
    </row>
    <row r="178" spans="1:11" ht="18" customHeight="1">
      <c r="A178" s="655" t="s">
        <v>108</v>
      </c>
      <c r="B178" s="632" t="s">
        <v>30</v>
      </c>
      <c r="C178" s="656" t="s">
        <v>123</v>
      </c>
      <c r="D178" s="656" t="s">
        <v>117</v>
      </c>
      <c r="E178" s="638"/>
      <c r="F178" s="194"/>
      <c r="G178" s="648">
        <f>G179+G186+G194+G196+G198+G202+G204+G206+G208+G210+G212</f>
        <v>391312733.62000006</v>
      </c>
      <c r="H178" s="648">
        <f>H179+H186+H194+H196+H198+H202+H204+H206+H208</f>
        <v>573797408.94</v>
      </c>
      <c r="I178" s="649">
        <f>I179+I186+I194+I196+I198+I202+I204+I206+I208</f>
        <v>390179529.25</v>
      </c>
      <c r="J178" s="634">
        <f t="shared" si="7"/>
        <v>67.99952791191494</v>
      </c>
      <c r="K178" s="51"/>
    </row>
    <row r="179" spans="1:11" ht="44.25" customHeight="1">
      <c r="A179" s="79" t="s">
        <v>387</v>
      </c>
      <c r="B179" s="650" t="s">
        <v>30</v>
      </c>
      <c r="C179" s="113" t="s">
        <v>123</v>
      </c>
      <c r="D179" s="113" t="s">
        <v>117</v>
      </c>
      <c r="E179" s="113" t="s">
        <v>601</v>
      </c>
      <c r="F179" s="100"/>
      <c r="G179" s="596">
        <f>SUM(G180:G185)</f>
        <v>382641674.11</v>
      </c>
      <c r="H179" s="596">
        <f>SUM(H180:H185)</f>
        <v>561817175.96</v>
      </c>
      <c r="I179" s="576">
        <f>SUM(I180:I185)</f>
        <v>382503940.75</v>
      </c>
      <c r="J179" s="204">
        <f t="shared" si="7"/>
        <v>68.08334759370783</v>
      </c>
      <c r="K179" s="51"/>
    </row>
    <row r="180" spans="1:11" ht="42" customHeight="1">
      <c r="A180" s="71" t="s">
        <v>533</v>
      </c>
      <c r="B180" s="650" t="s">
        <v>30</v>
      </c>
      <c r="C180" s="114" t="s">
        <v>123</v>
      </c>
      <c r="D180" s="114" t="s">
        <v>117</v>
      </c>
      <c r="E180" s="114" t="s">
        <v>601</v>
      </c>
      <c r="F180" s="100" t="s">
        <v>9</v>
      </c>
      <c r="G180" s="597">
        <v>0</v>
      </c>
      <c r="H180" s="597">
        <v>2500327.76</v>
      </c>
      <c r="I180" s="577">
        <v>2500327.76</v>
      </c>
      <c r="J180" s="204">
        <f t="shared" si="7"/>
        <v>100</v>
      </c>
      <c r="K180" s="51"/>
    </row>
    <row r="181" spans="1:11" ht="37.5" customHeight="1">
      <c r="A181" s="71" t="s">
        <v>534</v>
      </c>
      <c r="B181" s="650" t="s">
        <v>30</v>
      </c>
      <c r="C181" s="114" t="s">
        <v>123</v>
      </c>
      <c r="D181" s="114" t="s">
        <v>117</v>
      </c>
      <c r="E181" s="114" t="s">
        <v>601</v>
      </c>
      <c r="F181" s="100" t="s">
        <v>9</v>
      </c>
      <c r="G181" s="597">
        <f>2622978.9+27689997.03</f>
        <v>30312975.93</v>
      </c>
      <c r="H181" s="597">
        <v>3679344.11</v>
      </c>
      <c r="I181" s="577">
        <v>3679344.11</v>
      </c>
      <c r="J181" s="204">
        <f t="shared" si="7"/>
        <v>100</v>
      </c>
      <c r="K181" s="51"/>
    </row>
    <row r="182" spans="1:11" ht="43.5" customHeight="1">
      <c r="A182" s="71" t="s">
        <v>535</v>
      </c>
      <c r="B182" s="650" t="s">
        <v>30</v>
      </c>
      <c r="C182" s="114" t="s">
        <v>123</v>
      </c>
      <c r="D182" s="114" t="s">
        <v>117</v>
      </c>
      <c r="E182" s="114" t="s">
        <v>601</v>
      </c>
      <c r="F182" s="100" t="s">
        <v>9</v>
      </c>
      <c r="G182" s="597">
        <f>18385948.8+212250114.91</f>
        <v>230636063.71</v>
      </c>
      <c r="H182" s="597">
        <v>457426917.73</v>
      </c>
      <c r="I182" s="577">
        <v>278113682.52</v>
      </c>
      <c r="J182" s="204">
        <f t="shared" si="7"/>
        <v>60.79958824901487</v>
      </c>
      <c r="K182" s="51"/>
    </row>
    <row r="183" spans="1:11" ht="17.25" customHeight="1">
      <c r="A183" s="71" t="s">
        <v>793</v>
      </c>
      <c r="B183" s="650" t="s">
        <v>30</v>
      </c>
      <c r="C183" s="114" t="s">
        <v>123</v>
      </c>
      <c r="D183" s="114" t="s">
        <v>117</v>
      </c>
      <c r="E183" s="114" t="s">
        <v>601</v>
      </c>
      <c r="F183" s="100" t="s">
        <v>182</v>
      </c>
      <c r="G183" s="597">
        <v>0</v>
      </c>
      <c r="H183" s="597">
        <v>33609262.5</v>
      </c>
      <c r="I183" s="577">
        <v>33609262.5</v>
      </c>
      <c r="J183" s="204">
        <f t="shared" si="7"/>
        <v>100</v>
      </c>
      <c r="K183" s="51"/>
    </row>
    <row r="184" spans="1:11" ht="18" customHeight="1">
      <c r="A184" s="71" t="s">
        <v>794</v>
      </c>
      <c r="B184" s="650" t="s">
        <v>30</v>
      </c>
      <c r="C184" s="114" t="s">
        <v>123</v>
      </c>
      <c r="D184" s="114" t="s">
        <v>117</v>
      </c>
      <c r="E184" s="114" t="s">
        <v>601</v>
      </c>
      <c r="F184" s="100" t="s">
        <v>182</v>
      </c>
      <c r="G184" s="597">
        <v>0</v>
      </c>
      <c r="H184" s="597">
        <v>17593240.5</v>
      </c>
      <c r="I184" s="577">
        <v>17593240.5</v>
      </c>
      <c r="J184" s="204">
        <f t="shared" si="7"/>
        <v>100</v>
      </c>
      <c r="K184" s="51"/>
    </row>
    <row r="185" spans="1:11" ht="21.75" customHeight="1">
      <c r="A185" s="71" t="s">
        <v>795</v>
      </c>
      <c r="B185" s="650" t="s">
        <v>30</v>
      </c>
      <c r="C185" s="114" t="s">
        <v>123</v>
      </c>
      <c r="D185" s="114" t="s">
        <v>117</v>
      </c>
      <c r="E185" s="114" t="s">
        <v>601</v>
      </c>
      <c r="F185" s="100" t="s">
        <v>182</v>
      </c>
      <c r="G185" s="597">
        <v>121692634.47</v>
      </c>
      <c r="H185" s="597">
        <v>47008083.36</v>
      </c>
      <c r="I185" s="577">
        <v>47008083.36</v>
      </c>
      <c r="J185" s="204">
        <f t="shared" si="7"/>
        <v>100</v>
      </c>
      <c r="K185" s="51"/>
    </row>
    <row r="186" spans="1:11" ht="30" customHeight="1">
      <c r="A186" s="79" t="s">
        <v>388</v>
      </c>
      <c r="B186" s="650" t="s">
        <v>30</v>
      </c>
      <c r="C186" s="113" t="s">
        <v>123</v>
      </c>
      <c r="D186" s="115" t="s">
        <v>117</v>
      </c>
      <c r="E186" s="115" t="s">
        <v>602</v>
      </c>
      <c r="F186" s="100"/>
      <c r="G186" s="596">
        <f>SUM(G187:G193)</f>
        <v>3865067.42</v>
      </c>
      <c r="H186" s="596">
        <f>SUM(H187:H193)</f>
        <v>5674922.649999999</v>
      </c>
      <c r="I186" s="576">
        <f>SUM(I187:I193)</f>
        <v>3863676.17</v>
      </c>
      <c r="J186" s="204">
        <f t="shared" si="7"/>
        <v>68.08332744411945</v>
      </c>
      <c r="K186" s="51"/>
    </row>
    <row r="187" spans="1:11" ht="44.25" customHeight="1">
      <c r="A187" s="71" t="s">
        <v>536</v>
      </c>
      <c r="B187" s="650" t="s">
        <v>30</v>
      </c>
      <c r="C187" s="114" t="s">
        <v>123</v>
      </c>
      <c r="D187" s="114" t="s">
        <v>117</v>
      </c>
      <c r="E187" s="114" t="s">
        <v>602</v>
      </c>
      <c r="F187" s="100" t="s">
        <v>9</v>
      </c>
      <c r="G187" s="597">
        <v>0</v>
      </c>
      <c r="H187" s="597">
        <v>25255.84</v>
      </c>
      <c r="I187" s="577">
        <v>25255.84</v>
      </c>
      <c r="J187" s="204">
        <f t="shared" si="7"/>
        <v>100</v>
      </c>
      <c r="K187" s="51"/>
    </row>
    <row r="188" spans="1:11" ht="50.25" customHeight="1">
      <c r="A188" s="71" t="s">
        <v>537</v>
      </c>
      <c r="B188" s="650" t="s">
        <v>30</v>
      </c>
      <c r="C188" s="114" t="s">
        <v>123</v>
      </c>
      <c r="D188" s="114" t="s">
        <v>117</v>
      </c>
      <c r="E188" s="114" t="s">
        <v>602</v>
      </c>
      <c r="F188" s="100" t="s">
        <v>9</v>
      </c>
      <c r="G188" s="597">
        <v>0</v>
      </c>
      <c r="H188" s="597">
        <v>37165.09</v>
      </c>
      <c r="I188" s="577">
        <v>37165.09</v>
      </c>
      <c r="J188" s="204">
        <f t="shared" si="7"/>
        <v>100</v>
      </c>
      <c r="K188" s="51"/>
    </row>
    <row r="189" spans="1:11" ht="45" customHeight="1">
      <c r="A189" s="71" t="s">
        <v>538</v>
      </c>
      <c r="B189" s="650" t="s">
        <v>30</v>
      </c>
      <c r="C189" s="114" t="s">
        <v>123</v>
      </c>
      <c r="D189" s="114" t="s">
        <v>117</v>
      </c>
      <c r="E189" s="114" t="s">
        <v>602</v>
      </c>
      <c r="F189" s="100" t="s">
        <v>9</v>
      </c>
      <c r="G189" s="597">
        <f>185716.65+2143940.56</f>
        <v>2329657.21</v>
      </c>
      <c r="H189" s="597">
        <v>4620475.59</v>
      </c>
      <c r="I189" s="577">
        <v>2809229.11</v>
      </c>
      <c r="J189" s="204">
        <f t="shared" si="7"/>
        <v>60.79956608968905</v>
      </c>
      <c r="K189" s="51"/>
    </row>
    <row r="190" spans="1:11" ht="21" customHeight="1">
      <c r="A190" s="71" t="s">
        <v>796</v>
      </c>
      <c r="B190" s="650" t="s">
        <v>30</v>
      </c>
      <c r="C190" s="114" t="s">
        <v>123</v>
      </c>
      <c r="D190" s="114" t="s">
        <v>117</v>
      </c>
      <c r="E190" s="114" t="s">
        <v>602</v>
      </c>
      <c r="F190" s="100" t="s">
        <v>9</v>
      </c>
      <c r="G190" s="597">
        <f>26494.74+279696.94</f>
        <v>306191.68</v>
      </c>
      <c r="H190" s="597">
        <v>0</v>
      </c>
      <c r="I190" s="577">
        <v>0</v>
      </c>
      <c r="J190" s="204" t="e">
        <f t="shared" si="7"/>
        <v>#DIV/0!</v>
      </c>
      <c r="K190" s="51"/>
    </row>
    <row r="191" spans="1:11" ht="17.25" customHeight="1">
      <c r="A191" s="71" t="s">
        <v>796</v>
      </c>
      <c r="B191" s="650" t="s">
        <v>30</v>
      </c>
      <c r="C191" s="114" t="s">
        <v>123</v>
      </c>
      <c r="D191" s="114" t="s">
        <v>117</v>
      </c>
      <c r="E191" s="114" t="s">
        <v>602</v>
      </c>
      <c r="F191" s="100" t="s">
        <v>182</v>
      </c>
      <c r="G191" s="597">
        <v>0</v>
      </c>
      <c r="H191" s="597">
        <v>339487.5</v>
      </c>
      <c r="I191" s="577">
        <v>339487.5</v>
      </c>
      <c r="J191" s="204">
        <f t="shared" si="7"/>
        <v>100</v>
      </c>
      <c r="K191" s="51"/>
    </row>
    <row r="192" spans="1:11" ht="19.5" customHeight="1">
      <c r="A192" s="71" t="s">
        <v>797</v>
      </c>
      <c r="B192" s="650" t="s">
        <v>30</v>
      </c>
      <c r="C192" s="114" t="s">
        <v>123</v>
      </c>
      <c r="D192" s="114" t="s">
        <v>117</v>
      </c>
      <c r="E192" s="114" t="s">
        <v>602</v>
      </c>
      <c r="F192" s="100" t="s">
        <v>182</v>
      </c>
      <c r="G192" s="597">
        <v>0</v>
      </c>
      <c r="H192" s="597">
        <v>177709.5</v>
      </c>
      <c r="I192" s="577">
        <v>177709.5</v>
      </c>
      <c r="J192" s="204">
        <f t="shared" si="7"/>
        <v>100</v>
      </c>
      <c r="K192" s="51"/>
    </row>
    <row r="193" spans="1:11" ht="18" customHeight="1">
      <c r="A193" s="71" t="s">
        <v>798</v>
      </c>
      <c r="B193" s="650" t="s">
        <v>30</v>
      </c>
      <c r="C193" s="114" t="s">
        <v>123</v>
      </c>
      <c r="D193" s="114" t="s">
        <v>117</v>
      </c>
      <c r="E193" s="114" t="s">
        <v>602</v>
      </c>
      <c r="F193" s="100" t="s">
        <v>182</v>
      </c>
      <c r="G193" s="597">
        <v>1229218.53</v>
      </c>
      <c r="H193" s="597">
        <v>474829.13</v>
      </c>
      <c r="I193" s="577">
        <v>474829.13</v>
      </c>
      <c r="J193" s="204">
        <f t="shared" si="7"/>
        <v>100</v>
      </c>
      <c r="K193" s="51"/>
    </row>
    <row r="194" spans="1:11" ht="67.5" customHeight="1">
      <c r="A194" s="74" t="s">
        <v>686</v>
      </c>
      <c r="B194" s="650" t="s">
        <v>30</v>
      </c>
      <c r="C194" s="113" t="s">
        <v>123</v>
      </c>
      <c r="D194" s="113" t="s">
        <v>117</v>
      </c>
      <c r="E194" s="113" t="s">
        <v>685</v>
      </c>
      <c r="F194" s="100"/>
      <c r="G194" s="596">
        <f>G195</f>
        <v>0</v>
      </c>
      <c r="H194" s="596">
        <f>H195</f>
        <v>1386955.2</v>
      </c>
      <c r="I194" s="576">
        <f>I195</f>
        <v>1386955.2</v>
      </c>
      <c r="J194" s="204">
        <f t="shared" si="7"/>
        <v>100</v>
      </c>
      <c r="K194" s="51"/>
    </row>
    <row r="195" spans="1:11" ht="42" customHeight="1">
      <c r="A195" s="71" t="s">
        <v>418</v>
      </c>
      <c r="B195" s="650" t="s">
        <v>30</v>
      </c>
      <c r="C195" s="114" t="s">
        <v>123</v>
      </c>
      <c r="D195" s="114" t="s">
        <v>117</v>
      </c>
      <c r="E195" s="114" t="s">
        <v>685</v>
      </c>
      <c r="F195" s="100" t="s">
        <v>9</v>
      </c>
      <c r="G195" s="597">
        <v>0</v>
      </c>
      <c r="H195" s="597">
        <v>1386955.2</v>
      </c>
      <c r="I195" s="577">
        <v>1386955.2</v>
      </c>
      <c r="J195" s="204">
        <f t="shared" si="7"/>
        <v>100</v>
      </c>
      <c r="K195" s="51"/>
    </row>
    <row r="196" spans="1:11" ht="67.5" customHeight="1">
      <c r="A196" s="79" t="s">
        <v>680</v>
      </c>
      <c r="B196" s="650" t="s">
        <v>30</v>
      </c>
      <c r="C196" s="113" t="s">
        <v>123</v>
      </c>
      <c r="D196" s="113" t="s">
        <v>117</v>
      </c>
      <c r="E196" s="113" t="s">
        <v>816</v>
      </c>
      <c r="F196" s="194"/>
      <c r="G196" s="596">
        <f>G197</f>
        <v>0</v>
      </c>
      <c r="H196" s="596">
        <f>H197</f>
        <v>116160.62</v>
      </c>
      <c r="I196" s="576">
        <f>I197</f>
        <v>0</v>
      </c>
      <c r="J196" s="204">
        <f t="shared" si="7"/>
        <v>0</v>
      </c>
      <c r="K196" s="51"/>
    </row>
    <row r="197" spans="1:11" ht="17.25" customHeight="1">
      <c r="A197" s="71" t="s">
        <v>329</v>
      </c>
      <c r="B197" s="650" t="s">
        <v>30</v>
      </c>
      <c r="C197" s="114" t="s">
        <v>123</v>
      </c>
      <c r="D197" s="114" t="s">
        <v>117</v>
      </c>
      <c r="E197" s="114" t="s">
        <v>816</v>
      </c>
      <c r="F197" s="100" t="s">
        <v>168</v>
      </c>
      <c r="G197" s="597">
        <v>0</v>
      </c>
      <c r="H197" s="597">
        <v>116160.62</v>
      </c>
      <c r="I197" s="577">
        <v>0</v>
      </c>
      <c r="J197" s="204">
        <f t="shared" si="7"/>
        <v>0</v>
      </c>
      <c r="K197" s="51"/>
    </row>
    <row r="198" spans="1:11" ht="12.75" customHeight="1">
      <c r="A198" s="74" t="s">
        <v>184</v>
      </c>
      <c r="B198" s="650" t="s">
        <v>30</v>
      </c>
      <c r="C198" s="113" t="s">
        <v>123</v>
      </c>
      <c r="D198" s="113" t="s">
        <v>117</v>
      </c>
      <c r="E198" s="113" t="s">
        <v>603</v>
      </c>
      <c r="F198" s="194"/>
      <c r="G198" s="596">
        <f>SUM(G199:G201)</f>
        <v>598310.81</v>
      </c>
      <c r="H198" s="596">
        <f>SUM(H199:H201)</f>
        <v>2582998.35</v>
      </c>
      <c r="I198" s="576">
        <f>SUM(I199:I201)</f>
        <v>787048.69</v>
      </c>
      <c r="J198" s="204">
        <f t="shared" si="7"/>
        <v>30.470352023260094</v>
      </c>
      <c r="K198" s="51"/>
    </row>
    <row r="199" spans="1:11" ht="15.75" customHeight="1">
      <c r="A199" s="71" t="s">
        <v>329</v>
      </c>
      <c r="B199" s="650" t="s">
        <v>30</v>
      </c>
      <c r="C199" s="114" t="s">
        <v>123</v>
      </c>
      <c r="D199" s="114" t="s">
        <v>117</v>
      </c>
      <c r="E199" s="114" t="s">
        <v>603</v>
      </c>
      <c r="F199" s="100" t="s">
        <v>168</v>
      </c>
      <c r="G199" s="597">
        <f>550810.81+47500</f>
        <v>598310.81</v>
      </c>
      <c r="H199" s="597">
        <v>741013</v>
      </c>
      <c r="I199" s="577">
        <v>708840.47</v>
      </c>
      <c r="J199" s="204">
        <f t="shared" si="7"/>
        <v>95.65830424027648</v>
      </c>
      <c r="K199" s="51"/>
    </row>
    <row r="200" spans="1:11" ht="46.5" customHeight="1">
      <c r="A200" s="71" t="s">
        <v>418</v>
      </c>
      <c r="B200" s="650" t="s">
        <v>30</v>
      </c>
      <c r="C200" s="114" t="s">
        <v>123</v>
      </c>
      <c r="D200" s="114" t="s">
        <v>117</v>
      </c>
      <c r="E200" s="114" t="s">
        <v>603</v>
      </c>
      <c r="F200" s="100" t="s">
        <v>9</v>
      </c>
      <c r="G200" s="597">
        <v>0</v>
      </c>
      <c r="H200" s="597">
        <v>1749244.5</v>
      </c>
      <c r="I200" s="577">
        <v>0</v>
      </c>
      <c r="J200" s="204">
        <f t="shared" si="7"/>
        <v>0</v>
      </c>
      <c r="K200" s="51"/>
    </row>
    <row r="201" spans="1:11" ht="45" customHeight="1">
      <c r="A201" s="80" t="s">
        <v>110</v>
      </c>
      <c r="B201" s="650" t="s">
        <v>30</v>
      </c>
      <c r="C201" s="114" t="s">
        <v>123</v>
      </c>
      <c r="D201" s="114" t="s">
        <v>117</v>
      </c>
      <c r="E201" s="114" t="s">
        <v>603</v>
      </c>
      <c r="F201" s="100" t="s">
        <v>226</v>
      </c>
      <c r="G201" s="597">
        <v>0</v>
      </c>
      <c r="H201" s="597">
        <v>92740.85</v>
      </c>
      <c r="I201" s="577">
        <v>78208.22</v>
      </c>
      <c r="J201" s="204">
        <f t="shared" si="7"/>
        <v>84.3298503302482</v>
      </c>
      <c r="K201" s="51"/>
    </row>
    <row r="202" spans="1:11" ht="15" customHeight="1">
      <c r="A202" s="74" t="s">
        <v>389</v>
      </c>
      <c r="B202" s="650" t="s">
        <v>30</v>
      </c>
      <c r="C202" s="113" t="s">
        <v>123</v>
      </c>
      <c r="D202" s="113" t="s">
        <v>117</v>
      </c>
      <c r="E202" s="113" t="s">
        <v>604</v>
      </c>
      <c r="F202" s="194"/>
      <c r="G202" s="596">
        <f>G203</f>
        <v>1229156.76</v>
      </c>
      <c r="H202" s="596">
        <f>H203</f>
        <v>1369986.18</v>
      </c>
      <c r="I202" s="576">
        <f>I203</f>
        <v>1363259.66</v>
      </c>
      <c r="J202" s="204">
        <f t="shared" si="7"/>
        <v>99.5090081857614</v>
      </c>
      <c r="K202" s="51"/>
    </row>
    <row r="203" spans="1:11" ht="18" customHeight="1">
      <c r="A203" s="71" t="s">
        <v>329</v>
      </c>
      <c r="B203" s="650" t="s">
        <v>30</v>
      </c>
      <c r="C203" s="114" t="s">
        <v>123</v>
      </c>
      <c r="D203" s="114" t="s">
        <v>117</v>
      </c>
      <c r="E203" s="114" t="s">
        <v>604</v>
      </c>
      <c r="F203" s="100" t="s">
        <v>168</v>
      </c>
      <c r="G203" s="597">
        <f>666799.03+562357.73</f>
        <v>1229156.76</v>
      </c>
      <c r="H203" s="597">
        <v>1369986.18</v>
      </c>
      <c r="I203" s="577">
        <v>1363259.66</v>
      </c>
      <c r="J203" s="204">
        <f t="shared" si="7"/>
        <v>99.5090081857614</v>
      </c>
      <c r="K203" s="51"/>
    </row>
    <row r="204" spans="1:11" ht="27" customHeight="1">
      <c r="A204" s="79" t="s">
        <v>683</v>
      </c>
      <c r="B204" s="650" t="s">
        <v>30</v>
      </c>
      <c r="C204" s="113" t="s">
        <v>123</v>
      </c>
      <c r="D204" s="113" t="s">
        <v>117</v>
      </c>
      <c r="E204" s="113" t="s">
        <v>699</v>
      </c>
      <c r="F204" s="194"/>
      <c r="G204" s="605">
        <f>G205</f>
        <v>0</v>
      </c>
      <c r="H204" s="605">
        <f>H205</f>
        <v>791648.78</v>
      </c>
      <c r="I204" s="586">
        <f>I205</f>
        <v>274648.78</v>
      </c>
      <c r="J204" s="204">
        <f aca="true" t="shared" si="9" ref="J204:J267">I204/H204*100</f>
        <v>34.69326132227476</v>
      </c>
      <c r="K204" s="51"/>
    </row>
    <row r="205" spans="1:11" ht="18" customHeight="1">
      <c r="A205" s="71" t="s">
        <v>329</v>
      </c>
      <c r="B205" s="650" t="s">
        <v>30</v>
      </c>
      <c r="C205" s="114" t="s">
        <v>123</v>
      </c>
      <c r="D205" s="114" t="s">
        <v>117</v>
      </c>
      <c r="E205" s="114" t="s">
        <v>699</v>
      </c>
      <c r="F205" s="100" t="s">
        <v>168</v>
      </c>
      <c r="G205" s="597">
        <v>0</v>
      </c>
      <c r="H205" s="597">
        <v>791648.78</v>
      </c>
      <c r="I205" s="577">
        <v>274648.78</v>
      </c>
      <c r="J205" s="204">
        <f t="shared" si="9"/>
        <v>34.69326132227476</v>
      </c>
      <c r="K205" s="51"/>
    </row>
    <row r="206" spans="1:11" ht="39" customHeight="1">
      <c r="A206" s="70" t="s">
        <v>546</v>
      </c>
      <c r="B206" s="650" t="s">
        <v>30</v>
      </c>
      <c r="C206" s="113" t="s">
        <v>123</v>
      </c>
      <c r="D206" s="113" t="s">
        <v>117</v>
      </c>
      <c r="E206" s="98" t="s">
        <v>700</v>
      </c>
      <c r="F206" s="110"/>
      <c r="G206" s="605">
        <f>G207</f>
        <v>0</v>
      </c>
      <c r="H206" s="605">
        <f>H207</f>
        <v>12561.2</v>
      </c>
      <c r="I206" s="586">
        <f>I207</f>
        <v>0</v>
      </c>
      <c r="J206" s="204">
        <f t="shared" si="9"/>
        <v>0</v>
      </c>
      <c r="K206" s="51"/>
    </row>
    <row r="207" spans="1:11" ht="18" customHeight="1">
      <c r="A207" s="71" t="s">
        <v>417</v>
      </c>
      <c r="B207" s="650" t="s">
        <v>30</v>
      </c>
      <c r="C207" s="114" t="s">
        <v>123</v>
      </c>
      <c r="D207" s="114" t="s">
        <v>117</v>
      </c>
      <c r="E207" s="100" t="s">
        <v>700</v>
      </c>
      <c r="F207" s="104" t="s">
        <v>168</v>
      </c>
      <c r="G207" s="597">
        <v>0</v>
      </c>
      <c r="H207" s="597">
        <v>12561.2</v>
      </c>
      <c r="I207" s="577">
        <v>0</v>
      </c>
      <c r="J207" s="204">
        <f t="shared" si="9"/>
        <v>0</v>
      </c>
      <c r="K207" s="51"/>
    </row>
    <row r="208" spans="1:11" ht="40.5" customHeight="1">
      <c r="A208" s="70" t="s">
        <v>792</v>
      </c>
      <c r="B208" s="650" t="s">
        <v>30</v>
      </c>
      <c r="C208" s="113" t="s">
        <v>123</v>
      </c>
      <c r="D208" s="113" t="s">
        <v>117</v>
      </c>
      <c r="E208" s="98" t="s">
        <v>698</v>
      </c>
      <c r="F208" s="110"/>
      <c r="G208" s="605">
        <f>G209</f>
        <v>0</v>
      </c>
      <c r="H208" s="605">
        <f>H209</f>
        <v>45000</v>
      </c>
      <c r="I208" s="586">
        <f>I209</f>
        <v>0</v>
      </c>
      <c r="J208" s="204">
        <f t="shared" si="9"/>
        <v>0</v>
      </c>
      <c r="K208" s="51"/>
    </row>
    <row r="209" spans="1:11" ht="18" customHeight="1">
      <c r="A209" s="71" t="s">
        <v>417</v>
      </c>
      <c r="B209" s="650" t="s">
        <v>30</v>
      </c>
      <c r="C209" s="114" t="s">
        <v>123</v>
      </c>
      <c r="D209" s="114" t="s">
        <v>117</v>
      </c>
      <c r="E209" s="100" t="s">
        <v>698</v>
      </c>
      <c r="F209" s="104" t="s">
        <v>168</v>
      </c>
      <c r="G209" s="597">
        <v>0</v>
      </c>
      <c r="H209" s="597">
        <v>45000</v>
      </c>
      <c r="I209" s="577">
        <v>0</v>
      </c>
      <c r="J209" s="204">
        <f t="shared" si="9"/>
        <v>0</v>
      </c>
      <c r="K209" s="51"/>
    </row>
    <row r="210" spans="1:11" ht="68.25" customHeight="1">
      <c r="A210" s="70" t="s">
        <v>847</v>
      </c>
      <c r="B210" s="650" t="s">
        <v>30</v>
      </c>
      <c r="C210" s="113" t="s">
        <v>123</v>
      </c>
      <c r="D210" s="113" t="s">
        <v>117</v>
      </c>
      <c r="E210" s="98" t="s">
        <v>846</v>
      </c>
      <c r="F210" s="110"/>
      <c r="G210" s="605">
        <f>G211</f>
        <v>2829598.29</v>
      </c>
      <c r="H210" s="605">
        <f>H211</f>
        <v>0</v>
      </c>
      <c r="I210" s="586">
        <f>I211</f>
        <v>0</v>
      </c>
      <c r="J210" s="204" t="e">
        <f t="shared" si="9"/>
        <v>#DIV/0!</v>
      </c>
      <c r="K210" s="51"/>
    </row>
    <row r="211" spans="1:11" ht="18" customHeight="1">
      <c r="A211" s="71" t="s">
        <v>417</v>
      </c>
      <c r="B211" s="650" t="s">
        <v>30</v>
      </c>
      <c r="C211" s="114" t="s">
        <v>123</v>
      </c>
      <c r="D211" s="114" t="s">
        <v>117</v>
      </c>
      <c r="E211" s="100" t="s">
        <v>846</v>
      </c>
      <c r="F211" s="104" t="s">
        <v>168</v>
      </c>
      <c r="G211" s="597">
        <f>209000+2620598.29</f>
        <v>2829598.29</v>
      </c>
      <c r="H211" s="597">
        <v>0</v>
      </c>
      <c r="I211" s="577">
        <v>0</v>
      </c>
      <c r="J211" s="204" t="e">
        <f t="shared" si="9"/>
        <v>#DIV/0!</v>
      </c>
      <c r="K211" s="51"/>
    </row>
    <row r="212" spans="1:11" ht="29.25" customHeight="1">
      <c r="A212" s="70" t="s">
        <v>849</v>
      </c>
      <c r="B212" s="650" t="s">
        <v>30</v>
      </c>
      <c r="C212" s="113" t="s">
        <v>123</v>
      </c>
      <c r="D212" s="113" t="s">
        <v>117</v>
      </c>
      <c r="E212" s="98" t="s">
        <v>848</v>
      </c>
      <c r="F212" s="110"/>
      <c r="G212" s="605">
        <f>G213</f>
        <v>148926.23</v>
      </c>
      <c r="H212" s="605">
        <f>H213</f>
        <v>0</v>
      </c>
      <c r="I212" s="586">
        <f>I213</f>
        <v>0</v>
      </c>
      <c r="J212" s="204" t="e">
        <f t="shared" si="9"/>
        <v>#DIV/0!</v>
      </c>
      <c r="K212" s="51"/>
    </row>
    <row r="213" spans="1:11" ht="18" customHeight="1">
      <c r="A213" s="71" t="s">
        <v>417</v>
      </c>
      <c r="B213" s="650" t="s">
        <v>30</v>
      </c>
      <c r="C213" s="114" t="s">
        <v>123</v>
      </c>
      <c r="D213" s="114" t="s">
        <v>117</v>
      </c>
      <c r="E213" s="100" t="s">
        <v>848</v>
      </c>
      <c r="F213" s="104" t="s">
        <v>168</v>
      </c>
      <c r="G213" s="597">
        <f>11000+137926.23</f>
        <v>148926.23</v>
      </c>
      <c r="H213" s="597">
        <v>0</v>
      </c>
      <c r="I213" s="577">
        <v>0</v>
      </c>
      <c r="J213" s="204" t="e">
        <f t="shared" si="9"/>
        <v>#DIV/0!</v>
      </c>
      <c r="K213" s="51"/>
    </row>
    <row r="214" spans="1:11" ht="15" customHeight="1">
      <c r="A214" s="652" t="s">
        <v>244</v>
      </c>
      <c r="B214" s="632" t="s">
        <v>30</v>
      </c>
      <c r="C214" s="196" t="s">
        <v>123</v>
      </c>
      <c r="D214" s="196" t="s">
        <v>124</v>
      </c>
      <c r="E214" s="638"/>
      <c r="F214" s="196"/>
      <c r="G214" s="653">
        <f>G215+G218+G220+G223+G226+G229+G231+G233</f>
        <v>3828864.26</v>
      </c>
      <c r="H214" s="653">
        <f>H215+H218+H220+H223+H226+H229+H231+H233</f>
        <v>40141876.89</v>
      </c>
      <c r="I214" s="654">
        <f>I215+I218+I220+I223+I226+I229+I231+I233</f>
        <v>19494101.02</v>
      </c>
      <c r="J214" s="634">
        <f t="shared" si="9"/>
        <v>48.56300335288084</v>
      </c>
      <c r="K214" s="51"/>
    </row>
    <row r="215" spans="1:11" ht="71.25" customHeight="1">
      <c r="A215" s="79" t="s">
        <v>539</v>
      </c>
      <c r="B215" s="650" t="s">
        <v>30</v>
      </c>
      <c r="C215" s="116" t="s">
        <v>123</v>
      </c>
      <c r="D215" s="111" t="s">
        <v>124</v>
      </c>
      <c r="E215" s="103" t="s">
        <v>606</v>
      </c>
      <c r="F215" s="111"/>
      <c r="G215" s="603">
        <f>G216+G217</f>
        <v>2421780</v>
      </c>
      <c r="H215" s="603">
        <f>H216+H217</f>
        <v>26364550</v>
      </c>
      <c r="I215" s="583">
        <f>I216+I217</f>
        <v>16500616.94</v>
      </c>
      <c r="J215" s="204">
        <f t="shared" si="9"/>
        <v>62.58637807207026</v>
      </c>
      <c r="K215" s="51"/>
    </row>
    <row r="216" spans="1:11" ht="39" customHeight="1">
      <c r="A216" s="71" t="s">
        <v>400</v>
      </c>
      <c r="B216" s="650" t="s">
        <v>30</v>
      </c>
      <c r="C216" s="106" t="s">
        <v>123</v>
      </c>
      <c r="D216" s="104" t="s">
        <v>124</v>
      </c>
      <c r="E216" s="100" t="s">
        <v>606</v>
      </c>
      <c r="F216" s="104" t="s">
        <v>324</v>
      </c>
      <c r="G216" s="597">
        <v>0</v>
      </c>
      <c r="H216" s="597">
        <v>26364550</v>
      </c>
      <c r="I216" s="577">
        <v>16500616.94</v>
      </c>
      <c r="J216" s="204">
        <f t="shared" si="9"/>
        <v>62.58637807207026</v>
      </c>
      <c r="K216" s="51"/>
    </row>
    <row r="217" spans="1:11" ht="18" customHeight="1">
      <c r="A217" s="71" t="s">
        <v>417</v>
      </c>
      <c r="B217" s="650" t="s">
        <v>30</v>
      </c>
      <c r="C217" s="106" t="s">
        <v>123</v>
      </c>
      <c r="D217" s="104" t="s">
        <v>124</v>
      </c>
      <c r="E217" s="100" t="s">
        <v>606</v>
      </c>
      <c r="F217" s="104" t="s">
        <v>168</v>
      </c>
      <c r="G217" s="597">
        <v>2421780</v>
      </c>
      <c r="H217" s="597">
        <v>0</v>
      </c>
      <c r="I217" s="577">
        <v>0</v>
      </c>
      <c r="J217" s="204" t="e">
        <f t="shared" si="9"/>
        <v>#DIV/0!</v>
      </c>
      <c r="K217" s="51"/>
    </row>
    <row r="218" spans="1:11" ht="44.25" customHeight="1">
      <c r="A218" s="79" t="s">
        <v>906</v>
      </c>
      <c r="B218" s="650" t="s">
        <v>30</v>
      </c>
      <c r="C218" s="116" t="s">
        <v>123</v>
      </c>
      <c r="D218" s="111" t="s">
        <v>124</v>
      </c>
      <c r="E218" s="103" t="s">
        <v>905</v>
      </c>
      <c r="F218" s="111"/>
      <c r="G218" s="603">
        <f>G219</f>
        <v>605442.26</v>
      </c>
      <c r="H218" s="603">
        <f>H219</f>
        <v>0</v>
      </c>
      <c r="I218" s="583">
        <f>I219</f>
        <v>0</v>
      </c>
      <c r="J218" s="204" t="e">
        <f t="shared" si="9"/>
        <v>#DIV/0!</v>
      </c>
      <c r="K218" s="51"/>
    </row>
    <row r="219" spans="1:11" ht="18" customHeight="1">
      <c r="A219" s="71" t="s">
        <v>417</v>
      </c>
      <c r="B219" s="650" t="s">
        <v>30</v>
      </c>
      <c r="C219" s="106" t="s">
        <v>123</v>
      </c>
      <c r="D219" s="104" t="s">
        <v>124</v>
      </c>
      <c r="E219" s="100" t="s">
        <v>905</v>
      </c>
      <c r="F219" s="104" t="s">
        <v>168</v>
      </c>
      <c r="G219" s="597">
        <v>605442.26</v>
      </c>
      <c r="H219" s="597">
        <v>0</v>
      </c>
      <c r="I219" s="577">
        <v>0</v>
      </c>
      <c r="J219" s="204" t="e">
        <f t="shared" si="9"/>
        <v>#DIV/0!</v>
      </c>
      <c r="K219" s="51"/>
    </row>
    <row r="220" spans="1:11" ht="68.25" customHeight="1">
      <c r="A220" s="79" t="s">
        <v>680</v>
      </c>
      <c r="B220" s="650" t="s">
        <v>30</v>
      </c>
      <c r="C220" s="116" t="s">
        <v>123</v>
      </c>
      <c r="D220" s="111" t="s">
        <v>124</v>
      </c>
      <c r="E220" s="103" t="s">
        <v>701</v>
      </c>
      <c r="F220" s="111"/>
      <c r="G220" s="603">
        <f>G221+G222</f>
        <v>0</v>
      </c>
      <c r="H220" s="603">
        <f>H221+H222</f>
        <v>1950000</v>
      </c>
      <c r="I220" s="583">
        <f>I221+I222</f>
        <v>1950000</v>
      </c>
      <c r="J220" s="204">
        <f t="shared" si="9"/>
        <v>100</v>
      </c>
      <c r="K220" s="51"/>
    </row>
    <row r="221" spans="1:11" ht="39.75" customHeight="1">
      <c r="A221" s="71" t="s">
        <v>400</v>
      </c>
      <c r="B221" s="650" t="s">
        <v>30</v>
      </c>
      <c r="C221" s="106" t="s">
        <v>123</v>
      </c>
      <c r="D221" s="104" t="s">
        <v>124</v>
      </c>
      <c r="E221" s="100" t="s">
        <v>701</v>
      </c>
      <c r="F221" s="104" t="s">
        <v>324</v>
      </c>
      <c r="G221" s="597"/>
      <c r="H221" s="597">
        <v>0</v>
      </c>
      <c r="I221" s="577">
        <v>0</v>
      </c>
      <c r="J221" s="204" t="e">
        <f t="shared" si="9"/>
        <v>#DIV/0!</v>
      </c>
      <c r="K221" s="51"/>
    </row>
    <row r="222" spans="1:11" ht="18" customHeight="1">
      <c r="A222" s="71" t="s">
        <v>799</v>
      </c>
      <c r="B222" s="650" t="s">
        <v>30</v>
      </c>
      <c r="C222" s="106" t="s">
        <v>123</v>
      </c>
      <c r="D222" s="104" t="s">
        <v>124</v>
      </c>
      <c r="E222" s="100" t="s">
        <v>701</v>
      </c>
      <c r="F222" s="104" t="s">
        <v>182</v>
      </c>
      <c r="G222" s="597"/>
      <c r="H222" s="597">
        <v>1950000</v>
      </c>
      <c r="I222" s="577">
        <v>1950000</v>
      </c>
      <c r="J222" s="204">
        <f t="shared" si="9"/>
        <v>100</v>
      </c>
      <c r="K222" s="51"/>
    </row>
    <row r="223" spans="1:11" ht="17.25" customHeight="1">
      <c r="A223" s="79" t="s">
        <v>245</v>
      </c>
      <c r="B223" s="650" t="s">
        <v>30</v>
      </c>
      <c r="C223" s="116" t="s">
        <v>123</v>
      </c>
      <c r="D223" s="111" t="s">
        <v>124</v>
      </c>
      <c r="E223" s="103" t="s">
        <v>605</v>
      </c>
      <c r="F223" s="111"/>
      <c r="G223" s="603">
        <f>G224+G225</f>
        <v>218910</v>
      </c>
      <c r="H223" s="603">
        <f>H224+H225</f>
        <v>955473.6100000001</v>
      </c>
      <c r="I223" s="583">
        <f>I224+I225</f>
        <v>183740.8</v>
      </c>
      <c r="J223" s="204">
        <f t="shared" si="9"/>
        <v>19.23033750769945</v>
      </c>
      <c r="K223" s="51"/>
    </row>
    <row r="224" spans="1:11" ht="29.25" customHeight="1">
      <c r="A224" s="71" t="s">
        <v>817</v>
      </c>
      <c r="B224" s="650" t="s">
        <v>30</v>
      </c>
      <c r="C224" s="106" t="s">
        <v>123</v>
      </c>
      <c r="D224" s="104" t="s">
        <v>124</v>
      </c>
      <c r="E224" s="100" t="s">
        <v>605</v>
      </c>
      <c r="F224" s="104" t="s">
        <v>263</v>
      </c>
      <c r="G224" s="597">
        <v>0</v>
      </c>
      <c r="H224" s="597">
        <v>83858.8</v>
      </c>
      <c r="I224" s="577">
        <v>83858.8</v>
      </c>
      <c r="J224" s="204">
        <f t="shared" si="9"/>
        <v>100</v>
      </c>
      <c r="K224" s="51"/>
    </row>
    <row r="225" spans="1:11" ht="20.25" customHeight="1">
      <c r="A225" s="71" t="s">
        <v>417</v>
      </c>
      <c r="B225" s="650" t="s">
        <v>30</v>
      </c>
      <c r="C225" s="106" t="s">
        <v>123</v>
      </c>
      <c r="D225" s="104" t="s">
        <v>124</v>
      </c>
      <c r="E225" s="100" t="s">
        <v>605</v>
      </c>
      <c r="F225" s="104" t="s">
        <v>168</v>
      </c>
      <c r="G225" s="597">
        <v>218910</v>
      </c>
      <c r="H225" s="597">
        <v>871614.81</v>
      </c>
      <c r="I225" s="577">
        <v>99882</v>
      </c>
      <c r="J225" s="204">
        <f t="shared" si="9"/>
        <v>11.459419786591281</v>
      </c>
      <c r="K225" s="51"/>
    </row>
    <row r="226" spans="1:11" ht="27" customHeight="1">
      <c r="A226" s="79" t="s">
        <v>683</v>
      </c>
      <c r="B226" s="650" t="s">
        <v>30</v>
      </c>
      <c r="C226" s="116" t="s">
        <v>123</v>
      </c>
      <c r="D226" s="111" t="s">
        <v>124</v>
      </c>
      <c r="E226" s="103" t="s">
        <v>703</v>
      </c>
      <c r="F226" s="111"/>
      <c r="G226" s="605">
        <f>G227+G228</f>
        <v>0</v>
      </c>
      <c r="H226" s="605">
        <f>H227+H228</f>
        <v>10781185.59</v>
      </c>
      <c r="I226" s="586">
        <f>I227+I228</f>
        <v>769075.59</v>
      </c>
      <c r="J226" s="204">
        <f t="shared" si="9"/>
        <v>7.133497365200259</v>
      </c>
      <c r="K226" s="51"/>
    </row>
    <row r="227" spans="1:11" ht="27" customHeight="1">
      <c r="A227" s="71" t="s">
        <v>817</v>
      </c>
      <c r="B227" s="650" t="s">
        <v>30</v>
      </c>
      <c r="C227" s="106" t="s">
        <v>123</v>
      </c>
      <c r="D227" s="104" t="s">
        <v>124</v>
      </c>
      <c r="E227" s="100" t="s">
        <v>703</v>
      </c>
      <c r="F227" s="104" t="s">
        <v>263</v>
      </c>
      <c r="G227" s="597">
        <v>0</v>
      </c>
      <c r="H227" s="597">
        <v>10012110</v>
      </c>
      <c r="I227" s="577">
        <v>0</v>
      </c>
      <c r="J227" s="204">
        <f t="shared" si="9"/>
        <v>0</v>
      </c>
      <c r="K227" s="51"/>
    </row>
    <row r="228" spans="1:11" ht="21" customHeight="1">
      <c r="A228" s="71" t="s">
        <v>417</v>
      </c>
      <c r="B228" s="650" t="s">
        <v>30</v>
      </c>
      <c r="C228" s="106" t="s">
        <v>123</v>
      </c>
      <c r="D228" s="104" t="s">
        <v>124</v>
      </c>
      <c r="E228" s="100" t="s">
        <v>703</v>
      </c>
      <c r="F228" s="104" t="s">
        <v>168</v>
      </c>
      <c r="G228" s="597">
        <v>0</v>
      </c>
      <c r="H228" s="597">
        <v>769075.59</v>
      </c>
      <c r="I228" s="577">
        <v>769075.59</v>
      </c>
      <c r="J228" s="204">
        <f t="shared" si="9"/>
        <v>100</v>
      </c>
      <c r="K228" s="51"/>
    </row>
    <row r="229" spans="1:11" ht="39" customHeight="1">
      <c r="A229" s="70" t="s">
        <v>546</v>
      </c>
      <c r="B229" s="650" t="s">
        <v>30</v>
      </c>
      <c r="C229" s="116" t="s">
        <v>123</v>
      </c>
      <c r="D229" s="111" t="s">
        <v>124</v>
      </c>
      <c r="E229" s="98" t="s">
        <v>704</v>
      </c>
      <c r="F229" s="110"/>
      <c r="G229" s="605">
        <f>G230</f>
        <v>0</v>
      </c>
      <c r="H229" s="605">
        <f>H230</f>
        <v>12743.28</v>
      </c>
      <c r="I229" s="586">
        <f>I230</f>
        <v>12743.28</v>
      </c>
      <c r="J229" s="204">
        <f t="shared" si="9"/>
        <v>100</v>
      </c>
      <c r="K229" s="51"/>
    </row>
    <row r="230" spans="1:11" ht="21" customHeight="1">
      <c r="A230" s="71" t="s">
        <v>417</v>
      </c>
      <c r="B230" s="650" t="s">
        <v>30</v>
      </c>
      <c r="C230" s="106" t="s">
        <v>123</v>
      </c>
      <c r="D230" s="104" t="s">
        <v>124</v>
      </c>
      <c r="E230" s="100" t="s">
        <v>704</v>
      </c>
      <c r="F230" s="104" t="s">
        <v>168</v>
      </c>
      <c r="G230" s="597">
        <v>0</v>
      </c>
      <c r="H230" s="597">
        <v>12743.28</v>
      </c>
      <c r="I230" s="577">
        <v>12743.28</v>
      </c>
      <c r="J230" s="204">
        <f t="shared" si="9"/>
        <v>100</v>
      </c>
      <c r="K230" s="51"/>
    </row>
    <row r="231" spans="1:11" ht="43.5" customHeight="1">
      <c r="A231" s="70" t="s">
        <v>792</v>
      </c>
      <c r="B231" s="650" t="s">
        <v>30</v>
      </c>
      <c r="C231" s="116" t="s">
        <v>123</v>
      </c>
      <c r="D231" s="111" t="s">
        <v>124</v>
      </c>
      <c r="E231" s="98" t="s">
        <v>702</v>
      </c>
      <c r="F231" s="110"/>
      <c r="G231" s="605">
        <f>G232</f>
        <v>0</v>
      </c>
      <c r="H231" s="605">
        <f>H232</f>
        <v>77924.41</v>
      </c>
      <c r="I231" s="586">
        <f>I232</f>
        <v>77924.41</v>
      </c>
      <c r="J231" s="204">
        <f t="shared" si="9"/>
        <v>100</v>
      </c>
      <c r="K231" s="51"/>
    </row>
    <row r="232" spans="1:11" ht="16.5" customHeight="1">
      <c r="A232" s="71" t="s">
        <v>417</v>
      </c>
      <c r="B232" s="650" t="s">
        <v>30</v>
      </c>
      <c r="C232" s="106" t="s">
        <v>123</v>
      </c>
      <c r="D232" s="104" t="s">
        <v>124</v>
      </c>
      <c r="E232" s="100" t="s">
        <v>702</v>
      </c>
      <c r="F232" s="104" t="s">
        <v>168</v>
      </c>
      <c r="G232" s="597">
        <v>0</v>
      </c>
      <c r="H232" s="597">
        <v>77924.41</v>
      </c>
      <c r="I232" s="577">
        <v>77924.41</v>
      </c>
      <c r="J232" s="204">
        <f t="shared" si="9"/>
        <v>100</v>
      </c>
      <c r="K232" s="51"/>
    </row>
    <row r="233" spans="1:11" ht="68.25" customHeight="1">
      <c r="A233" s="70" t="s">
        <v>851</v>
      </c>
      <c r="B233" s="650" t="s">
        <v>30</v>
      </c>
      <c r="C233" s="116" t="s">
        <v>123</v>
      </c>
      <c r="D233" s="111" t="s">
        <v>124</v>
      </c>
      <c r="E233" s="98" t="s">
        <v>850</v>
      </c>
      <c r="F233" s="110"/>
      <c r="G233" s="605">
        <f>G234</f>
        <v>582732</v>
      </c>
      <c r="H233" s="605">
        <f>H234</f>
        <v>0</v>
      </c>
      <c r="I233" s="586">
        <f>I234</f>
        <v>0</v>
      </c>
      <c r="J233" s="204" t="e">
        <f t="shared" si="9"/>
        <v>#DIV/0!</v>
      </c>
      <c r="K233" s="51"/>
    </row>
    <row r="234" spans="1:11" ht="16.5" customHeight="1">
      <c r="A234" s="71" t="s">
        <v>417</v>
      </c>
      <c r="B234" s="650" t="s">
        <v>30</v>
      </c>
      <c r="C234" s="106" t="s">
        <v>123</v>
      </c>
      <c r="D234" s="104" t="s">
        <v>124</v>
      </c>
      <c r="E234" s="100" t="s">
        <v>850</v>
      </c>
      <c r="F234" s="104" t="s">
        <v>168</v>
      </c>
      <c r="G234" s="597">
        <v>582732</v>
      </c>
      <c r="H234" s="597">
        <v>0</v>
      </c>
      <c r="I234" s="577">
        <v>0</v>
      </c>
      <c r="J234" s="204" t="e">
        <f t="shared" si="9"/>
        <v>#DIV/0!</v>
      </c>
      <c r="K234" s="51"/>
    </row>
    <row r="235" spans="1:11" ht="13.5" customHeight="1">
      <c r="A235" s="642" t="s">
        <v>104</v>
      </c>
      <c r="B235" s="632" t="s">
        <v>30</v>
      </c>
      <c r="C235" s="643" t="s">
        <v>123</v>
      </c>
      <c r="D235" s="651" t="s">
        <v>126</v>
      </c>
      <c r="E235" s="644"/>
      <c r="F235" s="651"/>
      <c r="G235" s="640">
        <f>G236+G238+G240+G242+G244+G246+G248+G252+G255+G257+G262+G264+G266+G268+G270+G272+G274+G276+G278+G280+G282+G284+G286+G288+G250+G290+G292</f>
        <v>22393514.159999996</v>
      </c>
      <c r="H235" s="640">
        <f>H236+H238+H240+H242+H244+H246+H248+H252+H255+H257+H262+H264+H266+H268+H270+H272+H274+H276+H278+H280+H286+H288+H250+H290+H292</f>
        <v>36131201.279999994</v>
      </c>
      <c r="I235" s="641">
        <f>I236+I238+I240+I242+I244+I246+I248+I252+I255+I257+I262+I264+I266+I268+I270+I272+I274+I276+I278+I280+I286+I288+I250+I290+I292</f>
        <v>11279779.85</v>
      </c>
      <c r="J235" s="634">
        <f t="shared" si="9"/>
        <v>31.218944984936858</v>
      </c>
      <c r="K235" s="51"/>
    </row>
    <row r="236" spans="1:11" ht="44.25" customHeight="1">
      <c r="A236" s="70" t="s">
        <v>800</v>
      </c>
      <c r="B236" s="650" t="s">
        <v>30</v>
      </c>
      <c r="C236" s="105" t="s">
        <v>123</v>
      </c>
      <c r="D236" s="110" t="s">
        <v>126</v>
      </c>
      <c r="E236" s="103" t="s">
        <v>705</v>
      </c>
      <c r="F236" s="111"/>
      <c r="G236" s="603">
        <f>G237</f>
        <v>2509599.2800000003</v>
      </c>
      <c r="H236" s="603">
        <f>H237</f>
        <v>1976000</v>
      </c>
      <c r="I236" s="583">
        <f>I237</f>
        <v>0</v>
      </c>
      <c r="J236" s="204">
        <f t="shared" si="9"/>
        <v>0</v>
      </c>
      <c r="K236" s="51"/>
    </row>
    <row r="237" spans="1:11" ht="13.5" customHeight="1">
      <c r="A237" s="71" t="s">
        <v>329</v>
      </c>
      <c r="B237" s="650" t="s">
        <v>30</v>
      </c>
      <c r="C237" s="106" t="s">
        <v>123</v>
      </c>
      <c r="D237" s="104" t="s">
        <v>126</v>
      </c>
      <c r="E237" s="100" t="s">
        <v>705</v>
      </c>
      <c r="F237" s="104" t="s">
        <v>168</v>
      </c>
      <c r="G237" s="597">
        <f>1280912+530677.52+698009.76</f>
        <v>2509599.2800000003</v>
      </c>
      <c r="H237" s="597">
        <v>1976000</v>
      </c>
      <c r="I237" s="577">
        <v>0</v>
      </c>
      <c r="J237" s="204">
        <f t="shared" si="9"/>
        <v>0</v>
      </c>
      <c r="K237" s="51"/>
    </row>
    <row r="238" spans="1:11" ht="42.75" customHeight="1">
      <c r="A238" s="70" t="s">
        <v>853</v>
      </c>
      <c r="B238" s="650" t="s">
        <v>30</v>
      </c>
      <c r="C238" s="105" t="s">
        <v>123</v>
      </c>
      <c r="D238" s="110" t="s">
        <v>126</v>
      </c>
      <c r="E238" s="103" t="s">
        <v>852</v>
      </c>
      <c r="F238" s="111"/>
      <c r="G238" s="603">
        <f>G239</f>
        <v>2293495.95</v>
      </c>
      <c r="H238" s="603">
        <f>H239</f>
        <v>0</v>
      </c>
      <c r="I238" s="583">
        <f>I239</f>
        <v>0</v>
      </c>
      <c r="J238" s="204" t="e">
        <f t="shared" si="9"/>
        <v>#DIV/0!</v>
      </c>
      <c r="K238" s="51"/>
    </row>
    <row r="239" spans="1:11" ht="13.5" customHeight="1">
      <c r="A239" s="71" t="s">
        <v>329</v>
      </c>
      <c r="B239" s="650" t="s">
        <v>30</v>
      </c>
      <c r="C239" s="106" t="s">
        <v>123</v>
      </c>
      <c r="D239" s="104" t="s">
        <v>126</v>
      </c>
      <c r="E239" s="100" t="s">
        <v>852</v>
      </c>
      <c r="F239" s="104" t="s">
        <v>168</v>
      </c>
      <c r="G239" s="597">
        <v>2293495.95</v>
      </c>
      <c r="H239" s="597">
        <v>0</v>
      </c>
      <c r="I239" s="577">
        <v>0</v>
      </c>
      <c r="J239" s="204" t="e">
        <f t="shared" si="9"/>
        <v>#DIV/0!</v>
      </c>
      <c r="K239" s="51"/>
    </row>
    <row r="240" spans="1:11" ht="66" customHeight="1">
      <c r="A240" s="70" t="s">
        <v>680</v>
      </c>
      <c r="B240" s="650" t="s">
        <v>30</v>
      </c>
      <c r="C240" s="105" t="s">
        <v>123</v>
      </c>
      <c r="D240" s="110" t="s">
        <v>126</v>
      </c>
      <c r="E240" s="103" t="s">
        <v>706</v>
      </c>
      <c r="F240" s="111"/>
      <c r="G240" s="603">
        <f>G241</f>
        <v>0</v>
      </c>
      <c r="H240" s="603">
        <f>H241</f>
        <v>15837162.94</v>
      </c>
      <c r="I240" s="583">
        <f>I241</f>
        <v>138000</v>
      </c>
      <c r="J240" s="204">
        <f t="shared" si="9"/>
        <v>0.8713681896361167</v>
      </c>
      <c r="K240" s="51"/>
    </row>
    <row r="241" spans="1:11" ht="13.5" customHeight="1">
      <c r="A241" s="71" t="s">
        <v>329</v>
      </c>
      <c r="B241" s="650" t="s">
        <v>30</v>
      </c>
      <c r="C241" s="106" t="s">
        <v>123</v>
      </c>
      <c r="D241" s="104" t="s">
        <v>126</v>
      </c>
      <c r="E241" s="100" t="s">
        <v>706</v>
      </c>
      <c r="F241" s="104" t="s">
        <v>168</v>
      </c>
      <c r="G241" s="597"/>
      <c r="H241" s="597">
        <v>15837162.94</v>
      </c>
      <c r="I241" s="577">
        <v>138000</v>
      </c>
      <c r="J241" s="204">
        <f t="shared" si="9"/>
        <v>0.8713681896361167</v>
      </c>
      <c r="K241" s="51"/>
    </row>
    <row r="242" spans="1:11" ht="41.25" customHeight="1">
      <c r="A242" s="70" t="s">
        <v>540</v>
      </c>
      <c r="B242" s="650" t="s">
        <v>30</v>
      </c>
      <c r="C242" s="105" t="s">
        <v>123</v>
      </c>
      <c r="D242" s="110" t="s">
        <v>126</v>
      </c>
      <c r="E242" s="103" t="s">
        <v>607</v>
      </c>
      <c r="F242" s="111"/>
      <c r="G242" s="603">
        <f>G243</f>
        <v>10000</v>
      </c>
      <c r="H242" s="603">
        <f>H243</f>
        <v>110000</v>
      </c>
      <c r="I242" s="583">
        <f>I243</f>
        <v>0</v>
      </c>
      <c r="J242" s="204">
        <f t="shared" si="9"/>
        <v>0</v>
      </c>
      <c r="K242" s="51"/>
    </row>
    <row r="243" spans="1:11" ht="13.5" customHeight="1">
      <c r="A243" s="71" t="s">
        <v>329</v>
      </c>
      <c r="B243" s="650" t="s">
        <v>30</v>
      </c>
      <c r="C243" s="106" t="s">
        <v>123</v>
      </c>
      <c r="D243" s="104" t="s">
        <v>126</v>
      </c>
      <c r="E243" s="100" t="s">
        <v>607</v>
      </c>
      <c r="F243" s="104" t="s">
        <v>168</v>
      </c>
      <c r="G243" s="597">
        <v>10000</v>
      </c>
      <c r="H243" s="597">
        <v>110000</v>
      </c>
      <c r="I243" s="577">
        <v>0</v>
      </c>
      <c r="J243" s="204">
        <f t="shared" si="9"/>
        <v>0</v>
      </c>
      <c r="K243" s="51"/>
    </row>
    <row r="244" spans="1:11" ht="49.5" customHeight="1">
      <c r="A244" s="79" t="s">
        <v>801</v>
      </c>
      <c r="B244" s="650" t="s">
        <v>30</v>
      </c>
      <c r="C244" s="116" t="s">
        <v>123</v>
      </c>
      <c r="D244" s="111" t="s">
        <v>126</v>
      </c>
      <c r="E244" s="103" t="s">
        <v>708</v>
      </c>
      <c r="F244" s="111"/>
      <c r="G244" s="603">
        <f>G245</f>
        <v>0</v>
      </c>
      <c r="H244" s="603">
        <f>H245</f>
        <v>827500</v>
      </c>
      <c r="I244" s="583">
        <f>I245</f>
        <v>310000</v>
      </c>
      <c r="J244" s="204">
        <f t="shared" si="9"/>
        <v>37.46223564954683</v>
      </c>
      <c r="K244" s="51"/>
    </row>
    <row r="245" spans="1:11" ht="13.5" customHeight="1">
      <c r="A245" s="71" t="s">
        <v>329</v>
      </c>
      <c r="B245" s="650" t="s">
        <v>30</v>
      </c>
      <c r="C245" s="106" t="s">
        <v>123</v>
      </c>
      <c r="D245" s="104" t="s">
        <v>126</v>
      </c>
      <c r="E245" s="343" t="s">
        <v>708</v>
      </c>
      <c r="F245" s="104" t="s">
        <v>168</v>
      </c>
      <c r="G245" s="597"/>
      <c r="H245" s="597">
        <v>827500</v>
      </c>
      <c r="I245" s="577">
        <v>310000</v>
      </c>
      <c r="J245" s="204">
        <f t="shared" si="9"/>
        <v>37.46223564954683</v>
      </c>
      <c r="K245" s="51"/>
    </row>
    <row r="246" spans="1:11" ht="41.25" customHeight="1">
      <c r="A246" s="79" t="s">
        <v>541</v>
      </c>
      <c r="B246" s="650" t="s">
        <v>30</v>
      </c>
      <c r="C246" s="116" t="s">
        <v>123</v>
      </c>
      <c r="D246" s="111" t="s">
        <v>126</v>
      </c>
      <c r="E246" s="103" t="s">
        <v>608</v>
      </c>
      <c r="F246" s="111"/>
      <c r="G246" s="603">
        <f>G247</f>
        <v>310352</v>
      </c>
      <c r="H246" s="603">
        <f>H247</f>
        <v>675325</v>
      </c>
      <c r="I246" s="583">
        <f>I247</f>
        <v>0</v>
      </c>
      <c r="J246" s="204">
        <f t="shared" si="9"/>
        <v>0</v>
      </c>
      <c r="K246" s="51"/>
    </row>
    <row r="247" spans="1:11" ht="13.5" customHeight="1">
      <c r="A247" s="71" t="s">
        <v>329</v>
      </c>
      <c r="B247" s="650" t="s">
        <v>30</v>
      </c>
      <c r="C247" s="106" t="s">
        <v>123</v>
      </c>
      <c r="D247" s="104" t="s">
        <v>126</v>
      </c>
      <c r="E247" s="100" t="s">
        <v>608</v>
      </c>
      <c r="F247" s="104" t="s">
        <v>168</v>
      </c>
      <c r="G247" s="597">
        <f>127352+183000</f>
        <v>310352</v>
      </c>
      <c r="H247" s="597">
        <f>350000+325325</f>
        <v>675325</v>
      </c>
      <c r="I247" s="577">
        <v>0</v>
      </c>
      <c r="J247" s="204">
        <f t="shared" si="9"/>
        <v>0</v>
      </c>
      <c r="K247" s="51"/>
    </row>
    <row r="248" spans="1:11" ht="45" customHeight="1">
      <c r="A248" s="79" t="s">
        <v>802</v>
      </c>
      <c r="B248" s="650" t="s">
        <v>30</v>
      </c>
      <c r="C248" s="116" t="s">
        <v>123</v>
      </c>
      <c r="D248" s="111" t="s">
        <v>126</v>
      </c>
      <c r="E248" s="103" t="s">
        <v>707</v>
      </c>
      <c r="F248" s="111"/>
      <c r="G248" s="603">
        <f>G249</f>
        <v>104365</v>
      </c>
      <c r="H248" s="603">
        <f>H249</f>
        <v>26800</v>
      </c>
      <c r="I248" s="583">
        <f>I249</f>
        <v>0</v>
      </c>
      <c r="J248" s="204">
        <f t="shared" si="9"/>
        <v>0</v>
      </c>
      <c r="K248" s="51"/>
    </row>
    <row r="249" spans="1:11" ht="13.5" customHeight="1">
      <c r="A249" s="71" t="s">
        <v>329</v>
      </c>
      <c r="B249" s="650" t="s">
        <v>30</v>
      </c>
      <c r="C249" s="106" t="s">
        <v>123</v>
      </c>
      <c r="D249" s="104" t="s">
        <v>126</v>
      </c>
      <c r="E249" s="100" t="s">
        <v>707</v>
      </c>
      <c r="F249" s="104" t="s">
        <v>168</v>
      </c>
      <c r="G249" s="597">
        <f>34000+50365+20000</f>
        <v>104365</v>
      </c>
      <c r="H249" s="597">
        <v>26800</v>
      </c>
      <c r="I249" s="577">
        <v>0</v>
      </c>
      <c r="J249" s="204">
        <f t="shared" si="9"/>
        <v>0</v>
      </c>
      <c r="K249" s="51"/>
    </row>
    <row r="250" spans="1:11" ht="33" customHeight="1">
      <c r="A250" s="79" t="s">
        <v>683</v>
      </c>
      <c r="B250" s="650" t="s">
        <v>30</v>
      </c>
      <c r="C250" s="116" t="s">
        <v>123</v>
      </c>
      <c r="D250" s="111" t="s">
        <v>126</v>
      </c>
      <c r="E250" s="103" t="s">
        <v>710</v>
      </c>
      <c r="F250" s="111"/>
      <c r="G250" s="605">
        <f>G251</f>
        <v>0</v>
      </c>
      <c r="H250" s="605">
        <f>H251</f>
        <v>3071638.46</v>
      </c>
      <c r="I250" s="586">
        <f>I251</f>
        <v>20000</v>
      </c>
      <c r="J250" s="204">
        <f t="shared" si="9"/>
        <v>0.6511182959989373</v>
      </c>
      <c r="K250" s="51"/>
    </row>
    <row r="251" spans="1:11" ht="18" customHeight="1">
      <c r="A251" s="71" t="s">
        <v>329</v>
      </c>
      <c r="B251" s="650" t="s">
        <v>30</v>
      </c>
      <c r="C251" s="106" t="s">
        <v>123</v>
      </c>
      <c r="D251" s="104" t="s">
        <v>126</v>
      </c>
      <c r="E251" s="100" t="s">
        <v>710</v>
      </c>
      <c r="F251" s="104" t="s">
        <v>168</v>
      </c>
      <c r="G251" s="597"/>
      <c r="H251" s="597">
        <v>3071638.46</v>
      </c>
      <c r="I251" s="577">
        <v>20000</v>
      </c>
      <c r="J251" s="204">
        <f t="shared" si="9"/>
        <v>0.6511182959989373</v>
      </c>
      <c r="K251" s="52"/>
    </row>
    <row r="252" spans="1:11" ht="16.5" customHeight="1">
      <c r="A252" s="79" t="s">
        <v>542</v>
      </c>
      <c r="B252" s="650" t="s">
        <v>30</v>
      </c>
      <c r="C252" s="116" t="s">
        <v>123</v>
      </c>
      <c r="D252" s="111" t="s">
        <v>126</v>
      </c>
      <c r="E252" s="103" t="s">
        <v>609</v>
      </c>
      <c r="F252" s="111"/>
      <c r="G252" s="603">
        <f>G253+G254</f>
        <v>4573050.04</v>
      </c>
      <c r="H252" s="603">
        <f>H253+H254</f>
        <v>6300000</v>
      </c>
      <c r="I252" s="583">
        <f>I253+I254</f>
        <v>4914414.5600000005</v>
      </c>
      <c r="J252" s="204">
        <f t="shared" si="9"/>
        <v>78.00658031746033</v>
      </c>
      <c r="K252" s="51"/>
    </row>
    <row r="253" spans="1:11" ht="16.5" customHeight="1">
      <c r="A253" s="71" t="s">
        <v>329</v>
      </c>
      <c r="B253" s="650" t="s">
        <v>30</v>
      </c>
      <c r="C253" s="106" t="s">
        <v>123</v>
      </c>
      <c r="D253" s="104" t="s">
        <v>126</v>
      </c>
      <c r="E253" s="100" t="s">
        <v>609</v>
      </c>
      <c r="F253" s="104" t="s">
        <v>168</v>
      </c>
      <c r="G253" s="597">
        <v>1943278.83</v>
      </c>
      <c r="H253" s="597">
        <v>4500000</v>
      </c>
      <c r="I253" s="577">
        <v>3414414.56</v>
      </c>
      <c r="J253" s="204">
        <f t="shared" si="9"/>
        <v>75.87587911111112</v>
      </c>
      <c r="K253" s="51"/>
    </row>
    <row r="254" spans="1:11" ht="22.5" customHeight="1">
      <c r="A254" s="71" t="s">
        <v>318</v>
      </c>
      <c r="B254" s="650" t="s">
        <v>30</v>
      </c>
      <c r="C254" s="106" t="s">
        <v>123</v>
      </c>
      <c r="D254" s="104" t="s">
        <v>126</v>
      </c>
      <c r="E254" s="100" t="s">
        <v>609</v>
      </c>
      <c r="F254" s="104" t="s">
        <v>320</v>
      </c>
      <c r="G254" s="597">
        <f>1126321.21+1503450</f>
        <v>2629771.21</v>
      </c>
      <c r="H254" s="597">
        <v>1800000</v>
      </c>
      <c r="I254" s="577">
        <v>1500000</v>
      </c>
      <c r="J254" s="204">
        <f t="shared" si="9"/>
        <v>83.33333333333334</v>
      </c>
      <c r="K254" s="51"/>
    </row>
    <row r="255" spans="1:11" ht="17.25" customHeight="1">
      <c r="A255" s="70" t="s">
        <v>390</v>
      </c>
      <c r="B255" s="650" t="s">
        <v>30</v>
      </c>
      <c r="C255" s="105" t="s">
        <v>123</v>
      </c>
      <c r="D255" s="110" t="s">
        <v>126</v>
      </c>
      <c r="E255" s="98" t="s">
        <v>610</v>
      </c>
      <c r="F255" s="110"/>
      <c r="G255" s="596">
        <f>SUM(G256:G256)</f>
        <v>234642.75</v>
      </c>
      <c r="H255" s="596">
        <f>SUM(H256:H256)</f>
        <v>500000</v>
      </c>
      <c r="I255" s="576">
        <f>SUM(I256:I256)</f>
        <v>315200</v>
      </c>
      <c r="J255" s="204">
        <f t="shared" si="9"/>
        <v>63.04</v>
      </c>
      <c r="K255" s="51"/>
    </row>
    <row r="256" spans="1:11" ht="20.25" customHeight="1">
      <c r="A256" s="71" t="s">
        <v>438</v>
      </c>
      <c r="B256" s="650" t="s">
        <v>30</v>
      </c>
      <c r="C256" s="106" t="s">
        <v>123</v>
      </c>
      <c r="D256" s="104" t="s">
        <v>126</v>
      </c>
      <c r="E256" s="100" t="s">
        <v>610</v>
      </c>
      <c r="F256" s="104" t="s">
        <v>168</v>
      </c>
      <c r="G256" s="597">
        <f>227642.75+7000</f>
        <v>234642.75</v>
      </c>
      <c r="H256" s="597">
        <v>500000</v>
      </c>
      <c r="I256" s="577">
        <v>315200</v>
      </c>
      <c r="J256" s="204">
        <f t="shared" si="9"/>
        <v>63.04</v>
      </c>
      <c r="K256" s="51"/>
    </row>
    <row r="257" spans="1:11" ht="15" customHeight="1">
      <c r="A257" s="70" t="s">
        <v>246</v>
      </c>
      <c r="B257" s="650" t="s">
        <v>30</v>
      </c>
      <c r="C257" s="105" t="s">
        <v>123</v>
      </c>
      <c r="D257" s="110" t="s">
        <v>126</v>
      </c>
      <c r="E257" s="98" t="s">
        <v>611</v>
      </c>
      <c r="F257" s="110"/>
      <c r="G257" s="596">
        <f>SUM(G258:G261)</f>
        <v>4445984.66</v>
      </c>
      <c r="H257" s="596">
        <f>SUM(H258:H261)</f>
        <v>2400000</v>
      </c>
      <c r="I257" s="576">
        <f>SUM(I258:I261)</f>
        <v>1458565.58</v>
      </c>
      <c r="J257" s="204">
        <f t="shared" si="9"/>
        <v>60.77356583333333</v>
      </c>
      <c r="K257" s="51"/>
    </row>
    <row r="258" spans="1:11" ht="27" customHeight="1">
      <c r="A258" s="71" t="s">
        <v>697</v>
      </c>
      <c r="B258" s="650" t="s">
        <v>30</v>
      </c>
      <c r="C258" s="106" t="s">
        <v>123</v>
      </c>
      <c r="D258" s="104" t="s">
        <v>126</v>
      </c>
      <c r="E258" s="100" t="s">
        <v>611</v>
      </c>
      <c r="F258" s="104" t="s">
        <v>263</v>
      </c>
      <c r="G258" s="597">
        <v>0</v>
      </c>
      <c r="H258" s="597">
        <v>49100</v>
      </c>
      <c r="I258" s="577">
        <v>0</v>
      </c>
      <c r="J258" s="204">
        <f t="shared" si="9"/>
        <v>0</v>
      </c>
      <c r="K258" s="51"/>
    </row>
    <row r="259" spans="1:11" ht="21" customHeight="1">
      <c r="A259" s="71" t="s">
        <v>329</v>
      </c>
      <c r="B259" s="650" t="s">
        <v>30</v>
      </c>
      <c r="C259" s="106" t="s">
        <v>123</v>
      </c>
      <c r="D259" s="104" t="s">
        <v>126</v>
      </c>
      <c r="E259" s="100" t="s">
        <v>611</v>
      </c>
      <c r="F259" s="104" t="s">
        <v>168</v>
      </c>
      <c r="G259" s="597">
        <f>1391806.44+23518.04+220000+79096.5+523160</f>
        <v>2237580.98</v>
      </c>
      <c r="H259" s="597">
        <v>2350900</v>
      </c>
      <c r="I259" s="577">
        <v>1458565.58</v>
      </c>
      <c r="J259" s="204">
        <f t="shared" si="9"/>
        <v>62.04285933046918</v>
      </c>
      <c r="K259" s="51"/>
    </row>
    <row r="260" spans="1:11" ht="21" customHeight="1">
      <c r="A260" s="71" t="s">
        <v>318</v>
      </c>
      <c r="B260" s="650" t="s">
        <v>30</v>
      </c>
      <c r="C260" s="106" t="s">
        <v>123</v>
      </c>
      <c r="D260" s="104" t="s">
        <v>126</v>
      </c>
      <c r="E260" s="100" t="s">
        <v>611</v>
      </c>
      <c r="F260" s="104" t="s">
        <v>320</v>
      </c>
      <c r="G260" s="597">
        <v>33303.23</v>
      </c>
      <c r="H260" s="597">
        <v>0</v>
      </c>
      <c r="I260" s="577">
        <v>0</v>
      </c>
      <c r="J260" s="204" t="e">
        <f t="shared" si="9"/>
        <v>#DIV/0!</v>
      </c>
      <c r="K260" s="51"/>
    </row>
    <row r="261" spans="1:11" ht="33.75" customHeight="1">
      <c r="A261" s="80" t="s">
        <v>91</v>
      </c>
      <c r="B261" s="650" t="s">
        <v>30</v>
      </c>
      <c r="C261" s="106" t="s">
        <v>123</v>
      </c>
      <c r="D261" s="104" t="s">
        <v>126</v>
      </c>
      <c r="E261" s="100" t="s">
        <v>611</v>
      </c>
      <c r="F261" s="104" t="s">
        <v>226</v>
      </c>
      <c r="G261" s="597">
        <f>2104198.74+70901.71</f>
        <v>2175100.45</v>
      </c>
      <c r="H261" s="597">
        <v>0</v>
      </c>
      <c r="I261" s="577">
        <v>0</v>
      </c>
      <c r="J261" s="204" t="e">
        <f t="shared" si="9"/>
        <v>#DIV/0!</v>
      </c>
      <c r="K261" s="51"/>
    </row>
    <row r="262" spans="1:11" ht="46.5" customHeight="1">
      <c r="A262" s="70" t="s">
        <v>543</v>
      </c>
      <c r="B262" s="650" t="s">
        <v>30</v>
      </c>
      <c r="C262" s="105" t="s">
        <v>123</v>
      </c>
      <c r="D262" s="110" t="s">
        <v>126</v>
      </c>
      <c r="E262" s="98" t="s">
        <v>600</v>
      </c>
      <c r="F262" s="110"/>
      <c r="G262" s="596">
        <f>G263</f>
        <v>3670975.1900000004</v>
      </c>
      <c r="H262" s="596">
        <f>H263</f>
        <v>2201340.2</v>
      </c>
      <c r="I262" s="576">
        <f>I263</f>
        <v>2201340.2</v>
      </c>
      <c r="J262" s="204">
        <f t="shared" si="9"/>
        <v>100</v>
      </c>
      <c r="K262" s="51"/>
    </row>
    <row r="263" spans="1:11" ht="18" customHeight="1">
      <c r="A263" s="71" t="s">
        <v>417</v>
      </c>
      <c r="B263" s="650" t="s">
        <v>30</v>
      </c>
      <c r="C263" s="106" t="s">
        <v>123</v>
      </c>
      <c r="D263" s="104" t="s">
        <v>126</v>
      </c>
      <c r="E263" s="100" t="s">
        <v>600</v>
      </c>
      <c r="F263" s="104" t="s">
        <v>168</v>
      </c>
      <c r="G263" s="597">
        <f>576757.66+380659.78+951166.18+1762391.57</f>
        <v>3670975.1900000004</v>
      </c>
      <c r="H263" s="597">
        <v>2201340.2</v>
      </c>
      <c r="I263" s="577">
        <v>2201340.2</v>
      </c>
      <c r="J263" s="204">
        <f t="shared" si="9"/>
        <v>100</v>
      </c>
      <c r="K263" s="51"/>
    </row>
    <row r="264" spans="1:11" ht="42" customHeight="1">
      <c r="A264" s="70" t="s">
        <v>544</v>
      </c>
      <c r="B264" s="650" t="s">
        <v>30</v>
      </c>
      <c r="C264" s="105" t="s">
        <v>123</v>
      </c>
      <c r="D264" s="110" t="s">
        <v>126</v>
      </c>
      <c r="E264" s="98" t="s">
        <v>600</v>
      </c>
      <c r="F264" s="110"/>
      <c r="G264" s="596">
        <f>G265</f>
        <v>0</v>
      </c>
      <c r="H264" s="596">
        <f>H265</f>
        <v>132080.42</v>
      </c>
      <c r="I264" s="576">
        <f>I265</f>
        <v>132080.42</v>
      </c>
      <c r="J264" s="204">
        <f t="shared" si="9"/>
        <v>100</v>
      </c>
      <c r="K264" s="51"/>
    </row>
    <row r="265" spans="1:11" ht="17.25" customHeight="1">
      <c r="A265" s="71" t="s">
        <v>417</v>
      </c>
      <c r="B265" s="650" t="s">
        <v>30</v>
      </c>
      <c r="C265" s="106" t="s">
        <v>123</v>
      </c>
      <c r="D265" s="104" t="s">
        <v>126</v>
      </c>
      <c r="E265" s="100" t="s">
        <v>600</v>
      </c>
      <c r="F265" s="104" t="s">
        <v>168</v>
      </c>
      <c r="G265" s="597">
        <v>0</v>
      </c>
      <c r="H265" s="597">
        <v>132080.42</v>
      </c>
      <c r="I265" s="577">
        <v>132080.42</v>
      </c>
      <c r="J265" s="204">
        <f t="shared" si="9"/>
        <v>100</v>
      </c>
      <c r="K265" s="51"/>
    </row>
    <row r="266" spans="1:11" ht="40.5" customHeight="1">
      <c r="A266" s="70" t="s">
        <v>543</v>
      </c>
      <c r="B266" s="650" t="s">
        <v>30</v>
      </c>
      <c r="C266" s="105" t="s">
        <v>123</v>
      </c>
      <c r="D266" s="110" t="s">
        <v>126</v>
      </c>
      <c r="E266" s="98" t="s">
        <v>600</v>
      </c>
      <c r="F266" s="110"/>
      <c r="G266" s="596">
        <f>G267</f>
        <v>1151785.6</v>
      </c>
      <c r="H266" s="596">
        <f>H267</f>
        <v>122641.51</v>
      </c>
      <c r="I266" s="576">
        <f>I267</f>
        <v>122641.51</v>
      </c>
      <c r="J266" s="204">
        <f t="shared" si="9"/>
        <v>100</v>
      </c>
      <c r="K266" s="51"/>
    </row>
    <row r="267" spans="1:11" ht="48" customHeight="1">
      <c r="A267" s="80" t="s">
        <v>83</v>
      </c>
      <c r="B267" s="650" t="s">
        <v>30</v>
      </c>
      <c r="C267" s="106" t="s">
        <v>123</v>
      </c>
      <c r="D267" s="104" t="s">
        <v>126</v>
      </c>
      <c r="E267" s="100" t="s">
        <v>600</v>
      </c>
      <c r="F267" s="104" t="s">
        <v>100</v>
      </c>
      <c r="G267" s="597">
        <v>1151785.6</v>
      </c>
      <c r="H267" s="597">
        <v>122641.51</v>
      </c>
      <c r="I267" s="577">
        <v>122641.51</v>
      </c>
      <c r="J267" s="204">
        <f t="shared" si="9"/>
        <v>100</v>
      </c>
      <c r="K267" s="51"/>
    </row>
    <row r="268" spans="1:11" ht="38.25" customHeight="1">
      <c r="A268" s="70" t="s">
        <v>544</v>
      </c>
      <c r="B268" s="650" t="s">
        <v>30</v>
      </c>
      <c r="C268" s="105" t="s">
        <v>123</v>
      </c>
      <c r="D268" s="110" t="s">
        <v>126</v>
      </c>
      <c r="E268" s="98" t="s">
        <v>600</v>
      </c>
      <c r="F268" s="110"/>
      <c r="G268" s="596">
        <f>G269</f>
        <v>0</v>
      </c>
      <c r="H268" s="596">
        <f>H269</f>
        <v>7358.49</v>
      </c>
      <c r="I268" s="576">
        <f>I269</f>
        <v>7358.49</v>
      </c>
      <c r="J268" s="204">
        <f aca="true" t="shared" si="10" ref="J268:J331">I268/H268*100</f>
        <v>100</v>
      </c>
      <c r="K268" s="51"/>
    </row>
    <row r="269" spans="1:11" ht="52.5" customHeight="1">
      <c r="A269" s="80" t="s">
        <v>83</v>
      </c>
      <c r="B269" s="650" t="s">
        <v>30</v>
      </c>
      <c r="C269" s="106" t="s">
        <v>123</v>
      </c>
      <c r="D269" s="104" t="s">
        <v>126</v>
      </c>
      <c r="E269" s="100" t="s">
        <v>600</v>
      </c>
      <c r="F269" s="104" t="s">
        <v>100</v>
      </c>
      <c r="G269" s="597">
        <v>0</v>
      </c>
      <c r="H269" s="597">
        <v>7358.49</v>
      </c>
      <c r="I269" s="577">
        <v>7358.49</v>
      </c>
      <c r="J269" s="204">
        <f t="shared" si="10"/>
        <v>100</v>
      </c>
      <c r="K269" s="51"/>
    </row>
    <row r="270" spans="1:11" ht="44.25" customHeight="1">
      <c r="A270" s="70" t="s">
        <v>545</v>
      </c>
      <c r="B270" s="650" t="s">
        <v>30</v>
      </c>
      <c r="C270" s="105" t="s">
        <v>123</v>
      </c>
      <c r="D270" s="110" t="s">
        <v>126</v>
      </c>
      <c r="E270" s="195" t="s">
        <v>612</v>
      </c>
      <c r="F270" s="110"/>
      <c r="G270" s="596">
        <f>G271</f>
        <v>0</v>
      </c>
      <c r="H270" s="596">
        <f>H271</f>
        <v>1100000</v>
      </c>
      <c r="I270" s="576">
        <f>I271</f>
        <v>1065840.97</v>
      </c>
      <c r="J270" s="204">
        <f t="shared" si="10"/>
        <v>96.89463363636364</v>
      </c>
      <c r="K270" s="51"/>
    </row>
    <row r="271" spans="1:11" ht="18" customHeight="1">
      <c r="A271" s="71" t="s">
        <v>417</v>
      </c>
      <c r="B271" s="650" t="s">
        <v>30</v>
      </c>
      <c r="C271" s="106" t="s">
        <v>123</v>
      </c>
      <c r="D271" s="104" t="s">
        <v>126</v>
      </c>
      <c r="E271" s="195" t="s">
        <v>612</v>
      </c>
      <c r="F271" s="104" t="s">
        <v>168</v>
      </c>
      <c r="G271" s="597"/>
      <c r="H271" s="597">
        <v>1100000</v>
      </c>
      <c r="I271" s="577">
        <v>1065840.97</v>
      </c>
      <c r="J271" s="204">
        <f t="shared" si="10"/>
        <v>96.89463363636364</v>
      </c>
      <c r="K271" s="51"/>
    </row>
    <row r="272" spans="1:11" ht="48" customHeight="1">
      <c r="A272" s="70" t="s">
        <v>546</v>
      </c>
      <c r="B272" s="650" t="s">
        <v>30</v>
      </c>
      <c r="C272" s="105" t="s">
        <v>123</v>
      </c>
      <c r="D272" s="110" t="s">
        <v>126</v>
      </c>
      <c r="E272" s="98" t="s">
        <v>613</v>
      </c>
      <c r="F272" s="110"/>
      <c r="G272" s="596">
        <f>G273</f>
        <v>42294.49</v>
      </c>
      <c r="H272" s="596">
        <f>H273</f>
        <v>234139.58</v>
      </c>
      <c r="I272" s="576">
        <f>I273</f>
        <v>82269.12</v>
      </c>
      <c r="J272" s="204">
        <f t="shared" si="10"/>
        <v>35.13678464785834</v>
      </c>
      <c r="K272" s="51"/>
    </row>
    <row r="273" spans="1:11" ht="14.25" customHeight="1">
      <c r="A273" s="71" t="s">
        <v>417</v>
      </c>
      <c r="B273" s="650" t="s">
        <v>30</v>
      </c>
      <c r="C273" s="106" t="s">
        <v>123</v>
      </c>
      <c r="D273" s="104" t="s">
        <v>126</v>
      </c>
      <c r="E273" s="100" t="s">
        <v>613</v>
      </c>
      <c r="F273" s="104" t="s">
        <v>168</v>
      </c>
      <c r="G273" s="597">
        <f>14794.49+27500</f>
        <v>42294.49</v>
      </c>
      <c r="H273" s="597">
        <v>234139.58</v>
      </c>
      <c r="I273" s="577">
        <v>82269.12</v>
      </c>
      <c r="J273" s="204">
        <f t="shared" si="10"/>
        <v>35.13678464785834</v>
      </c>
      <c r="K273" s="51"/>
    </row>
    <row r="274" spans="1:11" ht="46.5" customHeight="1">
      <c r="A274" s="70" t="s">
        <v>792</v>
      </c>
      <c r="B274" s="650" t="s">
        <v>30</v>
      </c>
      <c r="C274" s="105" t="s">
        <v>123</v>
      </c>
      <c r="D274" s="110" t="s">
        <v>126</v>
      </c>
      <c r="E274" s="98" t="s">
        <v>709</v>
      </c>
      <c r="F274" s="110"/>
      <c r="G274" s="596">
        <f>G275</f>
        <v>262127.09</v>
      </c>
      <c r="H274" s="596">
        <f>H275</f>
        <v>115498.68</v>
      </c>
      <c r="I274" s="576">
        <f>I275</f>
        <v>18353</v>
      </c>
      <c r="J274" s="204">
        <f t="shared" si="10"/>
        <v>15.890224892613492</v>
      </c>
      <c r="K274" s="51"/>
    </row>
    <row r="275" spans="1:11" ht="17.25" customHeight="1">
      <c r="A275" s="71" t="s">
        <v>417</v>
      </c>
      <c r="B275" s="650" t="s">
        <v>30</v>
      </c>
      <c r="C275" s="106" t="s">
        <v>123</v>
      </c>
      <c r="D275" s="104" t="s">
        <v>126</v>
      </c>
      <c r="E275" s="100" t="s">
        <v>709</v>
      </c>
      <c r="F275" s="104" t="s">
        <v>168</v>
      </c>
      <c r="G275" s="597">
        <f>87395.75+142500+32231.34</f>
        <v>262127.09</v>
      </c>
      <c r="H275" s="597">
        <v>115498.68</v>
      </c>
      <c r="I275" s="577">
        <v>18353</v>
      </c>
      <c r="J275" s="204">
        <f t="shared" si="10"/>
        <v>15.890224892613492</v>
      </c>
      <c r="K275" s="51"/>
    </row>
    <row r="276" spans="1:11" ht="54" customHeight="1">
      <c r="A276" s="70" t="s">
        <v>547</v>
      </c>
      <c r="B276" s="650" t="s">
        <v>30</v>
      </c>
      <c r="C276" s="105" t="s">
        <v>123</v>
      </c>
      <c r="D276" s="110" t="s">
        <v>126</v>
      </c>
      <c r="E276" s="98" t="s">
        <v>614</v>
      </c>
      <c r="F276" s="110"/>
      <c r="G276" s="596">
        <f>G277</f>
        <v>0</v>
      </c>
      <c r="H276" s="596">
        <f>H277</f>
        <v>300790</v>
      </c>
      <c r="I276" s="576">
        <f>I277</f>
        <v>300790</v>
      </c>
      <c r="J276" s="204">
        <f t="shared" si="10"/>
        <v>100</v>
      </c>
      <c r="K276" s="51"/>
    </row>
    <row r="277" spans="1:11" ht="23.25" customHeight="1">
      <c r="A277" s="71" t="s">
        <v>417</v>
      </c>
      <c r="B277" s="650" t="s">
        <v>30</v>
      </c>
      <c r="C277" s="106" t="s">
        <v>123</v>
      </c>
      <c r="D277" s="104" t="s">
        <v>126</v>
      </c>
      <c r="E277" s="100" t="s">
        <v>614</v>
      </c>
      <c r="F277" s="104" t="s">
        <v>168</v>
      </c>
      <c r="G277" s="597">
        <v>0</v>
      </c>
      <c r="H277" s="597">
        <v>300790</v>
      </c>
      <c r="I277" s="577">
        <v>300790</v>
      </c>
      <c r="J277" s="204">
        <f t="shared" si="10"/>
        <v>100</v>
      </c>
      <c r="K277" s="51"/>
    </row>
    <row r="278" spans="1:11" ht="48.75" customHeight="1">
      <c r="A278" s="70" t="s">
        <v>803</v>
      </c>
      <c r="B278" s="650" t="s">
        <v>30</v>
      </c>
      <c r="C278" s="105" t="s">
        <v>123</v>
      </c>
      <c r="D278" s="110" t="s">
        <v>126</v>
      </c>
      <c r="E278" s="98" t="s">
        <v>614</v>
      </c>
      <c r="F278" s="110"/>
      <c r="G278" s="596">
        <f>G279</f>
        <v>0</v>
      </c>
      <c r="H278" s="596">
        <f>H279</f>
        <v>152926</v>
      </c>
      <c r="I278" s="576">
        <f>I279</f>
        <v>152926</v>
      </c>
      <c r="J278" s="204">
        <f t="shared" si="10"/>
        <v>100</v>
      </c>
      <c r="K278" s="51"/>
    </row>
    <row r="279" spans="1:11" ht="19.5" customHeight="1">
      <c r="A279" s="71" t="s">
        <v>417</v>
      </c>
      <c r="B279" s="650" t="s">
        <v>30</v>
      </c>
      <c r="C279" s="106" t="s">
        <v>123</v>
      </c>
      <c r="D279" s="104" t="s">
        <v>126</v>
      </c>
      <c r="E279" s="100" t="s">
        <v>614</v>
      </c>
      <c r="F279" s="104" t="s">
        <v>168</v>
      </c>
      <c r="G279" s="597">
        <v>0</v>
      </c>
      <c r="H279" s="597">
        <v>152926</v>
      </c>
      <c r="I279" s="577">
        <v>152926</v>
      </c>
      <c r="J279" s="204">
        <f t="shared" si="10"/>
        <v>100</v>
      </c>
      <c r="K279" s="51"/>
    </row>
    <row r="280" spans="1:11" ht="51" customHeight="1">
      <c r="A280" s="70" t="s">
        <v>548</v>
      </c>
      <c r="B280" s="650" t="s">
        <v>30</v>
      </c>
      <c r="C280" s="105" t="s">
        <v>123</v>
      </c>
      <c r="D280" s="110" t="s">
        <v>126</v>
      </c>
      <c r="E280" s="98" t="s">
        <v>615</v>
      </c>
      <c r="F280" s="110"/>
      <c r="G280" s="596">
        <f>G281</f>
        <v>0</v>
      </c>
      <c r="H280" s="596">
        <f>H281</f>
        <v>40000</v>
      </c>
      <c r="I280" s="576">
        <f>I281</f>
        <v>40000</v>
      </c>
      <c r="J280" s="204">
        <f t="shared" si="10"/>
        <v>100</v>
      </c>
      <c r="K280" s="51"/>
    </row>
    <row r="281" spans="1:11" ht="20.25" customHeight="1">
      <c r="A281" s="71" t="s">
        <v>417</v>
      </c>
      <c r="B281" s="650" t="s">
        <v>30</v>
      </c>
      <c r="C281" s="106" t="s">
        <v>123</v>
      </c>
      <c r="D281" s="104" t="s">
        <v>126</v>
      </c>
      <c r="E281" s="100" t="s">
        <v>615</v>
      </c>
      <c r="F281" s="104" t="s">
        <v>168</v>
      </c>
      <c r="G281" s="597">
        <v>0</v>
      </c>
      <c r="H281" s="597">
        <v>40000</v>
      </c>
      <c r="I281" s="577">
        <v>40000</v>
      </c>
      <c r="J281" s="204">
        <f t="shared" si="10"/>
        <v>100</v>
      </c>
      <c r="K281" s="51"/>
    </row>
    <row r="282" spans="1:11" ht="29.25" customHeight="1">
      <c r="A282" s="70" t="s">
        <v>894</v>
      </c>
      <c r="B282" s="650" t="s">
        <v>30</v>
      </c>
      <c r="C282" s="105" t="s">
        <v>123</v>
      </c>
      <c r="D282" s="110" t="s">
        <v>126</v>
      </c>
      <c r="E282" s="98" t="s">
        <v>893</v>
      </c>
      <c r="F282" s="110"/>
      <c r="G282" s="596">
        <f>G283</f>
        <v>723949.8999999999</v>
      </c>
      <c r="H282" s="596">
        <f>H283</f>
        <v>0</v>
      </c>
      <c r="I282" s="576">
        <f>I283</f>
        <v>0</v>
      </c>
      <c r="J282" s="204" t="e">
        <f t="shared" si="10"/>
        <v>#DIV/0!</v>
      </c>
      <c r="K282" s="51"/>
    </row>
    <row r="283" spans="1:11" ht="20.25" customHeight="1">
      <c r="A283" s="71" t="s">
        <v>417</v>
      </c>
      <c r="B283" s="650" t="s">
        <v>30</v>
      </c>
      <c r="C283" s="106" t="s">
        <v>123</v>
      </c>
      <c r="D283" s="104" t="s">
        <v>126</v>
      </c>
      <c r="E283" s="100" t="s">
        <v>893</v>
      </c>
      <c r="F283" s="104" t="s">
        <v>168</v>
      </c>
      <c r="G283" s="597">
        <f>323243.1+43200+350374.59+7132.21</f>
        <v>723949.8999999999</v>
      </c>
      <c r="H283" s="597">
        <v>0</v>
      </c>
      <c r="I283" s="577">
        <v>0</v>
      </c>
      <c r="J283" s="204" t="e">
        <f t="shared" si="10"/>
        <v>#DIV/0!</v>
      </c>
      <c r="K283" s="51"/>
    </row>
    <row r="284" spans="1:11" ht="39.75" customHeight="1">
      <c r="A284" s="70" t="s">
        <v>903</v>
      </c>
      <c r="B284" s="650" t="s">
        <v>30</v>
      </c>
      <c r="C284" s="105" t="s">
        <v>123</v>
      </c>
      <c r="D284" s="110" t="s">
        <v>126</v>
      </c>
      <c r="E284" s="98" t="s">
        <v>904</v>
      </c>
      <c r="F284" s="110"/>
      <c r="G284" s="596">
        <f>G285</f>
        <v>487700</v>
      </c>
      <c r="H284" s="596">
        <f>H285</f>
        <v>0</v>
      </c>
      <c r="I284" s="576">
        <f>I285</f>
        <v>0</v>
      </c>
      <c r="J284" s="204" t="e">
        <f t="shared" si="10"/>
        <v>#DIV/0!</v>
      </c>
      <c r="K284" s="51"/>
    </row>
    <row r="285" spans="1:11" ht="20.25" customHeight="1">
      <c r="A285" s="71" t="s">
        <v>417</v>
      </c>
      <c r="B285" s="650" t="s">
        <v>30</v>
      </c>
      <c r="C285" s="106" t="s">
        <v>123</v>
      </c>
      <c r="D285" s="104" t="s">
        <v>126</v>
      </c>
      <c r="E285" s="100" t="s">
        <v>904</v>
      </c>
      <c r="F285" s="104" t="s">
        <v>168</v>
      </c>
      <c r="G285" s="597">
        <v>487700</v>
      </c>
      <c r="H285" s="597">
        <v>0</v>
      </c>
      <c r="I285" s="577">
        <v>0</v>
      </c>
      <c r="J285" s="204" t="e">
        <f t="shared" si="10"/>
        <v>#DIV/0!</v>
      </c>
      <c r="K285" s="51"/>
    </row>
    <row r="286" spans="1:11" ht="69" customHeight="1">
      <c r="A286" s="70" t="s">
        <v>855</v>
      </c>
      <c r="B286" s="650" t="s">
        <v>30</v>
      </c>
      <c r="C286" s="105" t="s">
        <v>123</v>
      </c>
      <c r="D286" s="110" t="s">
        <v>126</v>
      </c>
      <c r="E286" s="98" t="s">
        <v>854</v>
      </c>
      <c r="F286" s="110"/>
      <c r="G286" s="596">
        <f>G287</f>
        <v>330000</v>
      </c>
      <c r="H286" s="596">
        <f>H287</f>
        <v>0</v>
      </c>
      <c r="I286" s="576">
        <f>I287</f>
        <v>0</v>
      </c>
      <c r="J286" s="204" t="e">
        <f t="shared" si="10"/>
        <v>#DIV/0!</v>
      </c>
      <c r="K286" s="51"/>
    </row>
    <row r="287" spans="1:11" ht="20.25" customHeight="1">
      <c r="A287" s="71" t="s">
        <v>417</v>
      </c>
      <c r="B287" s="650" t="s">
        <v>30</v>
      </c>
      <c r="C287" s="106" t="s">
        <v>123</v>
      </c>
      <c r="D287" s="104" t="s">
        <v>126</v>
      </c>
      <c r="E287" s="100" t="s">
        <v>854</v>
      </c>
      <c r="F287" s="104" t="s">
        <v>168</v>
      </c>
      <c r="G287" s="597">
        <v>330000</v>
      </c>
      <c r="H287" s="597">
        <v>0</v>
      </c>
      <c r="I287" s="577">
        <v>0</v>
      </c>
      <c r="J287" s="204" t="e">
        <f t="shared" si="10"/>
        <v>#DIV/0!</v>
      </c>
      <c r="K287" s="51"/>
    </row>
    <row r="288" spans="1:11" ht="39.75" customHeight="1">
      <c r="A288" s="70" t="s">
        <v>857</v>
      </c>
      <c r="B288" s="650" t="s">
        <v>30</v>
      </c>
      <c r="C288" s="105" t="s">
        <v>123</v>
      </c>
      <c r="D288" s="110" t="s">
        <v>126</v>
      </c>
      <c r="E288" s="98" t="s">
        <v>856</v>
      </c>
      <c r="F288" s="110"/>
      <c r="G288" s="596">
        <f>G289</f>
        <v>208333.33</v>
      </c>
      <c r="H288" s="596">
        <f>H289</f>
        <v>0</v>
      </c>
      <c r="I288" s="576">
        <f>I289</f>
        <v>0</v>
      </c>
      <c r="J288" s="204" t="e">
        <f t="shared" si="10"/>
        <v>#DIV/0!</v>
      </c>
      <c r="K288" s="51"/>
    </row>
    <row r="289" spans="1:11" ht="20.25" customHeight="1">
      <c r="A289" s="71" t="s">
        <v>417</v>
      </c>
      <c r="B289" s="650" t="s">
        <v>30</v>
      </c>
      <c r="C289" s="106" t="s">
        <v>123</v>
      </c>
      <c r="D289" s="104" t="s">
        <v>126</v>
      </c>
      <c r="E289" s="100" t="s">
        <v>856</v>
      </c>
      <c r="F289" s="104" t="s">
        <v>168</v>
      </c>
      <c r="G289" s="597">
        <v>208333.33</v>
      </c>
      <c r="H289" s="597">
        <v>0</v>
      </c>
      <c r="I289" s="577">
        <v>0</v>
      </c>
      <c r="J289" s="204" t="e">
        <f t="shared" si="10"/>
        <v>#DIV/0!</v>
      </c>
      <c r="K289" s="51"/>
    </row>
    <row r="290" spans="1:11" ht="72" customHeight="1">
      <c r="A290" s="70" t="s">
        <v>851</v>
      </c>
      <c r="B290" s="650" t="s">
        <v>30</v>
      </c>
      <c r="C290" s="105" t="s">
        <v>123</v>
      </c>
      <c r="D290" s="110" t="s">
        <v>126</v>
      </c>
      <c r="E290" s="98" t="s">
        <v>850</v>
      </c>
      <c r="F290" s="110"/>
      <c r="G290" s="596">
        <f>G291</f>
        <v>780026</v>
      </c>
      <c r="H290" s="596">
        <f>H291</f>
        <v>0</v>
      </c>
      <c r="I290" s="576">
        <f>I291</f>
        <v>0</v>
      </c>
      <c r="J290" s="204" t="e">
        <f t="shared" si="10"/>
        <v>#DIV/0!</v>
      </c>
      <c r="K290" s="51"/>
    </row>
    <row r="291" spans="1:11" ht="20.25" customHeight="1">
      <c r="A291" s="71" t="s">
        <v>417</v>
      </c>
      <c r="B291" s="650" t="s">
        <v>30</v>
      </c>
      <c r="C291" s="106" t="s">
        <v>123</v>
      </c>
      <c r="D291" s="104" t="s">
        <v>126</v>
      </c>
      <c r="E291" s="100" t="s">
        <v>850</v>
      </c>
      <c r="F291" s="104" t="s">
        <v>168</v>
      </c>
      <c r="G291" s="597">
        <f>580026+200000</f>
        <v>780026</v>
      </c>
      <c r="H291" s="597">
        <v>0</v>
      </c>
      <c r="I291" s="577">
        <v>0</v>
      </c>
      <c r="J291" s="204" t="e">
        <f t="shared" si="10"/>
        <v>#DIV/0!</v>
      </c>
      <c r="K291" s="51"/>
    </row>
    <row r="292" spans="1:11" ht="37.5" customHeight="1">
      <c r="A292" s="70" t="s">
        <v>801</v>
      </c>
      <c r="B292" s="650" t="s">
        <v>30</v>
      </c>
      <c r="C292" s="105" t="s">
        <v>123</v>
      </c>
      <c r="D292" s="110" t="s">
        <v>126</v>
      </c>
      <c r="E292" s="98" t="s">
        <v>858</v>
      </c>
      <c r="F292" s="110"/>
      <c r="G292" s="596">
        <f>G293</f>
        <v>254832.88</v>
      </c>
      <c r="H292" s="596">
        <f>H293</f>
        <v>0</v>
      </c>
      <c r="I292" s="576">
        <f>I293</f>
        <v>0</v>
      </c>
      <c r="J292" s="204" t="e">
        <f t="shared" si="10"/>
        <v>#DIV/0!</v>
      </c>
      <c r="K292" s="51"/>
    </row>
    <row r="293" spans="1:11" ht="20.25" customHeight="1">
      <c r="A293" s="71" t="s">
        <v>417</v>
      </c>
      <c r="B293" s="650" t="s">
        <v>30</v>
      </c>
      <c r="C293" s="106" t="s">
        <v>123</v>
      </c>
      <c r="D293" s="104" t="s">
        <v>126</v>
      </c>
      <c r="E293" s="100" t="s">
        <v>858</v>
      </c>
      <c r="F293" s="104" t="s">
        <v>168</v>
      </c>
      <c r="G293" s="597">
        <v>254832.88</v>
      </c>
      <c r="H293" s="597">
        <v>0</v>
      </c>
      <c r="I293" s="577">
        <v>0</v>
      </c>
      <c r="J293" s="204" t="e">
        <f t="shared" si="10"/>
        <v>#DIV/0!</v>
      </c>
      <c r="K293" s="51"/>
    </row>
    <row r="294" spans="1:11" ht="24" customHeight="1">
      <c r="A294" s="645" t="s">
        <v>295</v>
      </c>
      <c r="B294" s="632" t="s">
        <v>30</v>
      </c>
      <c r="C294" s="196" t="s">
        <v>123</v>
      </c>
      <c r="D294" s="646" t="s">
        <v>123</v>
      </c>
      <c r="E294" s="638"/>
      <c r="F294" s="646"/>
      <c r="G294" s="648">
        <f>G295+G300</f>
        <v>90630.7</v>
      </c>
      <c r="H294" s="648">
        <f>H295+H300</f>
        <v>566733.3300000001</v>
      </c>
      <c r="I294" s="649">
        <f>I295+I300</f>
        <v>527622.33</v>
      </c>
      <c r="J294" s="634">
        <f t="shared" si="10"/>
        <v>93.0988706805015</v>
      </c>
      <c r="K294" s="51"/>
    </row>
    <row r="295" spans="1:11" ht="24" customHeight="1">
      <c r="A295" s="79" t="s">
        <v>321</v>
      </c>
      <c r="B295" s="650" t="s">
        <v>30</v>
      </c>
      <c r="C295" s="116" t="s">
        <v>123</v>
      </c>
      <c r="D295" s="111" t="s">
        <v>123</v>
      </c>
      <c r="E295" s="103" t="s">
        <v>616</v>
      </c>
      <c r="F295" s="111"/>
      <c r="G295" s="603">
        <f>SUM(G296:G299)</f>
        <v>90630.7</v>
      </c>
      <c r="H295" s="603">
        <f>SUM(H296:H299)</f>
        <v>139300</v>
      </c>
      <c r="I295" s="583">
        <f>SUM(I296:I299)</f>
        <v>100188.99999999999</v>
      </c>
      <c r="J295" s="204">
        <f t="shared" si="10"/>
        <v>71.9231873653984</v>
      </c>
      <c r="K295" s="51"/>
    </row>
    <row r="296" spans="1:11" ht="18.75" customHeight="1">
      <c r="A296" s="71" t="s">
        <v>379</v>
      </c>
      <c r="B296" s="650" t="s">
        <v>30</v>
      </c>
      <c r="C296" s="106" t="s">
        <v>123</v>
      </c>
      <c r="D296" s="104" t="s">
        <v>123</v>
      </c>
      <c r="E296" s="100" t="s">
        <v>616</v>
      </c>
      <c r="F296" s="104" t="s">
        <v>230</v>
      </c>
      <c r="G296" s="597">
        <v>42399.33</v>
      </c>
      <c r="H296" s="597">
        <v>67800</v>
      </c>
      <c r="I296" s="577">
        <v>54346.92</v>
      </c>
      <c r="J296" s="204">
        <f t="shared" si="10"/>
        <v>80.15769911504424</v>
      </c>
      <c r="K296" s="51"/>
    </row>
    <row r="297" spans="1:11" ht="39" customHeight="1">
      <c r="A297" s="71" t="s">
        <v>380</v>
      </c>
      <c r="B297" s="650" t="s">
        <v>30</v>
      </c>
      <c r="C297" s="106" t="s">
        <v>123</v>
      </c>
      <c r="D297" s="104" t="s">
        <v>123</v>
      </c>
      <c r="E297" s="100" t="s">
        <v>616</v>
      </c>
      <c r="F297" s="104" t="s">
        <v>71</v>
      </c>
      <c r="G297" s="597">
        <v>12160.76</v>
      </c>
      <c r="H297" s="597">
        <v>20500</v>
      </c>
      <c r="I297" s="577">
        <v>17580.35</v>
      </c>
      <c r="J297" s="204">
        <f t="shared" si="10"/>
        <v>85.75780487804877</v>
      </c>
      <c r="K297" s="51"/>
    </row>
    <row r="298" spans="1:11" ht="12" customHeight="1">
      <c r="A298" s="71" t="s">
        <v>438</v>
      </c>
      <c r="B298" s="650" t="s">
        <v>30</v>
      </c>
      <c r="C298" s="106" t="s">
        <v>123</v>
      </c>
      <c r="D298" s="104" t="s">
        <v>123</v>
      </c>
      <c r="E298" s="100" t="s">
        <v>616</v>
      </c>
      <c r="F298" s="104" t="s">
        <v>168</v>
      </c>
      <c r="G298" s="597">
        <v>36070.53</v>
      </c>
      <c r="H298" s="597">
        <v>50000</v>
      </c>
      <c r="I298" s="577">
        <v>28261.73</v>
      </c>
      <c r="J298" s="204">
        <f t="shared" si="10"/>
        <v>56.52346</v>
      </c>
      <c r="K298" s="51"/>
    </row>
    <row r="299" spans="1:11" ht="14.25" customHeight="1">
      <c r="A299" s="71" t="s">
        <v>181</v>
      </c>
      <c r="B299" s="650" t="s">
        <v>30</v>
      </c>
      <c r="C299" s="106" t="s">
        <v>123</v>
      </c>
      <c r="D299" s="104" t="s">
        <v>123</v>
      </c>
      <c r="E299" s="100" t="s">
        <v>616</v>
      </c>
      <c r="F299" s="104" t="s">
        <v>182</v>
      </c>
      <c r="G299" s="597">
        <v>0.08</v>
      </c>
      <c r="H299" s="597">
        <v>1000</v>
      </c>
      <c r="I299" s="577">
        <v>0</v>
      </c>
      <c r="J299" s="204">
        <f t="shared" si="10"/>
        <v>0</v>
      </c>
      <c r="K299" s="51"/>
    </row>
    <row r="300" spans="1:11" ht="16.5" customHeight="1">
      <c r="A300" s="79" t="s">
        <v>549</v>
      </c>
      <c r="B300" s="650" t="s">
        <v>30</v>
      </c>
      <c r="C300" s="116" t="s">
        <v>123</v>
      </c>
      <c r="D300" s="111" t="s">
        <v>123</v>
      </c>
      <c r="E300" s="103" t="s">
        <v>617</v>
      </c>
      <c r="F300" s="111"/>
      <c r="G300" s="603">
        <f>G301</f>
        <v>0</v>
      </c>
      <c r="H300" s="603">
        <f>H301</f>
        <v>427433.33</v>
      </c>
      <c r="I300" s="583">
        <f>I301</f>
        <v>427433.33</v>
      </c>
      <c r="J300" s="204">
        <f t="shared" si="10"/>
        <v>100</v>
      </c>
      <c r="K300" s="51"/>
    </row>
    <row r="301" spans="1:11" ht="57" customHeight="1">
      <c r="A301" s="71" t="s">
        <v>330</v>
      </c>
      <c r="B301" s="650" t="s">
        <v>30</v>
      </c>
      <c r="C301" s="106" t="s">
        <v>123</v>
      </c>
      <c r="D301" s="104" t="s">
        <v>123</v>
      </c>
      <c r="E301" s="100" t="s">
        <v>617</v>
      </c>
      <c r="F301" s="104" t="s">
        <v>268</v>
      </c>
      <c r="G301" s="597">
        <v>0</v>
      </c>
      <c r="H301" s="597">
        <v>427433.33</v>
      </c>
      <c r="I301" s="577">
        <v>427433.33</v>
      </c>
      <c r="J301" s="204">
        <f t="shared" si="10"/>
        <v>100</v>
      </c>
      <c r="K301" s="51"/>
    </row>
    <row r="302" spans="1:11" ht="12.75" customHeight="1">
      <c r="A302" s="89" t="s">
        <v>136</v>
      </c>
      <c r="B302" s="346" t="s">
        <v>30</v>
      </c>
      <c r="C302" s="109" t="s">
        <v>118</v>
      </c>
      <c r="D302" s="109"/>
      <c r="E302" s="107"/>
      <c r="F302" s="109"/>
      <c r="G302" s="594">
        <f>G303+G340+G414+G427+G449</f>
        <v>425314715.8</v>
      </c>
      <c r="H302" s="594">
        <f>H303+H340+H414+H427+H449</f>
        <v>552339611.65</v>
      </c>
      <c r="I302" s="584">
        <f>I303+I340+I414+I427+I449</f>
        <v>403063647.96999997</v>
      </c>
      <c r="J302" s="628">
        <f t="shared" si="10"/>
        <v>72.97388046566694</v>
      </c>
      <c r="K302" s="50"/>
    </row>
    <row r="303" spans="1:11" ht="15" customHeight="1">
      <c r="A303" s="631" t="s">
        <v>137</v>
      </c>
      <c r="B303" s="632" t="s">
        <v>30</v>
      </c>
      <c r="C303" s="633" t="s">
        <v>118</v>
      </c>
      <c r="D303" s="633" t="s">
        <v>117</v>
      </c>
      <c r="E303" s="644"/>
      <c r="F303" s="633"/>
      <c r="G303" s="640">
        <f>G304</f>
        <v>74319976.84000002</v>
      </c>
      <c r="H303" s="640">
        <f>H304</f>
        <v>101177123.91</v>
      </c>
      <c r="I303" s="641">
        <f>I304</f>
        <v>79012966.82</v>
      </c>
      <c r="J303" s="634">
        <f t="shared" si="10"/>
        <v>78.09370712127016</v>
      </c>
      <c r="K303" s="51"/>
    </row>
    <row r="304" spans="1:11" ht="26.25" customHeight="1">
      <c r="A304" s="186" t="s">
        <v>550</v>
      </c>
      <c r="B304" s="650" t="s">
        <v>30</v>
      </c>
      <c r="C304" s="117" t="s">
        <v>118</v>
      </c>
      <c r="D304" s="118" t="s">
        <v>22</v>
      </c>
      <c r="E304" s="118" t="s">
        <v>185</v>
      </c>
      <c r="F304" s="119"/>
      <c r="G304" s="606">
        <f>G305+G308+G310+G312+G322+G329+G333+G335+G338</f>
        <v>74319976.84000002</v>
      </c>
      <c r="H304" s="606">
        <f>H305+H308+H310+H312+H322+H329+H333+H335+H338</f>
        <v>101177123.91</v>
      </c>
      <c r="I304" s="587">
        <f>I305+I308+I310+I312+I322+I329+I333+I335+I338</f>
        <v>79012966.82</v>
      </c>
      <c r="J304" s="204">
        <f t="shared" si="10"/>
        <v>78.09370712127016</v>
      </c>
      <c r="K304" s="51"/>
    </row>
    <row r="305" spans="1:11" ht="29.25" customHeight="1">
      <c r="A305" s="182" t="s">
        <v>551</v>
      </c>
      <c r="B305" s="650" t="s">
        <v>30</v>
      </c>
      <c r="C305" s="115" t="s">
        <v>118</v>
      </c>
      <c r="D305" s="103" t="s">
        <v>117</v>
      </c>
      <c r="E305" s="103" t="s">
        <v>322</v>
      </c>
      <c r="F305" s="103"/>
      <c r="G305" s="603">
        <f>G306+G307</f>
        <v>5924920.86</v>
      </c>
      <c r="H305" s="603">
        <f>H306+H307</f>
        <v>8828037.9</v>
      </c>
      <c r="I305" s="583">
        <f>I306+I307</f>
        <v>7840687.88</v>
      </c>
      <c r="J305" s="204">
        <f t="shared" si="10"/>
        <v>88.81574783452164</v>
      </c>
      <c r="K305" s="51"/>
    </row>
    <row r="306" spans="1:11" ht="15" customHeight="1">
      <c r="A306" s="71" t="s">
        <v>417</v>
      </c>
      <c r="B306" s="650" t="s">
        <v>30</v>
      </c>
      <c r="C306" s="114" t="s">
        <v>118</v>
      </c>
      <c r="D306" s="100" t="s">
        <v>117</v>
      </c>
      <c r="E306" s="100" t="s">
        <v>322</v>
      </c>
      <c r="F306" s="100" t="s">
        <v>168</v>
      </c>
      <c r="G306" s="597">
        <v>224959.75</v>
      </c>
      <c r="H306" s="597">
        <v>328037.89</v>
      </c>
      <c r="I306" s="577">
        <v>228693.21</v>
      </c>
      <c r="J306" s="204">
        <f t="shared" si="10"/>
        <v>69.71548622020461</v>
      </c>
      <c r="K306" s="51"/>
    </row>
    <row r="307" spans="1:11" ht="15" customHeight="1">
      <c r="A307" s="71" t="s">
        <v>318</v>
      </c>
      <c r="B307" s="650" t="s">
        <v>30</v>
      </c>
      <c r="C307" s="114" t="s">
        <v>118</v>
      </c>
      <c r="D307" s="100" t="s">
        <v>117</v>
      </c>
      <c r="E307" s="100" t="s">
        <v>322</v>
      </c>
      <c r="F307" s="100" t="s">
        <v>320</v>
      </c>
      <c r="G307" s="597">
        <v>5699961.11</v>
      </c>
      <c r="H307" s="597">
        <v>8500000.01</v>
      </c>
      <c r="I307" s="577">
        <v>7611994.67</v>
      </c>
      <c r="J307" s="204">
        <f t="shared" si="10"/>
        <v>89.55287836523192</v>
      </c>
      <c r="K307" s="51"/>
    </row>
    <row r="308" spans="1:11" ht="13.5" customHeight="1">
      <c r="A308" s="84" t="s">
        <v>89</v>
      </c>
      <c r="B308" s="650" t="s">
        <v>30</v>
      </c>
      <c r="C308" s="115" t="s">
        <v>118</v>
      </c>
      <c r="D308" s="103" t="s">
        <v>117</v>
      </c>
      <c r="E308" s="103" t="s">
        <v>186</v>
      </c>
      <c r="F308" s="103"/>
      <c r="G308" s="603">
        <f>G309</f>
        <v>7979276.43</v>
      </c>
      <c r="H308" s="603">
        <f>H309</f>
        <v>10778173.92</v>
      </c>
      <c r="I308" s="583">
        <f>I309</f>
        <v>7953273.29</v>
      </c>
      <c r="J308" s="204">
        <f t="shared" si="10"/>
        <v>73.79054512417814</v>
      </c>
      <c r="K308" s="51"/>
    </row>
    <row r="309" spans="1:11" ht="15" customHeight="1">
      <c r="A309" s="71" t="s">
        <v>329</v>
      </c>
      <c r="B309" s="650" t="s">
        <v>30</v>
      </c>
      <c r="C309" s="114" t="s">
        <v>118</v>
      </c>
      <c r="D309" s="100" t="s">
        <v>117</v>
      </c>
      <c r="E309" s="100" t="s">
        <v>186</v>
      </c>
      <c r="F309" s="100" t="s">
        <v>168</v>
      </c>
      <c r="G309" s="597">
        <v>7979276.43</v>
      </c>
      <c r="H309" s="597">
        <v>10778173.92</v>
      </c>
      <c r="I309" s="577">
        <v>7953273.29</v>
      </c>
      <c r="J309" s="204">
        <f t="shared" si="10"/>
        <v>73.79054512417814</v>
      </c>
      <c r="K309" s="51"/>
    </row>
    <row r="310" spans="1:11" ht="14.25" customHeight="1">
      <c r="A310" s="84" t="s">
        <v>552</v>
      </c>
      <c r="B310" s="650" t="s">
        <v>30</v>
      </c>
      <c r="C310" s="115" t="s">
        <v>118</v>
      </c>
      <c r="D310" s="103" t="s">
        <v>117</v>
      </c>
      <c r="E310" s="103" t="s">
        <v>187</v>
      </c>
      <c r="F310" s="103"/>
      <c r="G310" s="603">
        <f>G311</f>
        <v>58399.24</v>
      </c>
      <c r="H310" s="603">
        <f>H311</f>
        <v>200000</v>
      </c>
      <c r="I310" s="583">
        <f>I311</f>
        <v>142949.37</v>
      </c>
      <c r="J310" s="204">
        <f t="shared" si="10"/>
        <v>71.474685</v>
      </c>
      <c r="K310" s="51"/>
    </row>
    <row r="311" spans="1:11" ht="18" customHeight="1">
      <c r="A311" s="71" t="s">
        <v>329</v>
      </c>
      <c r="B311" s="650" t="s">
        <v>30</v>
      </c>
      <c r="C311" s="114" t="s">
        <v>118</v>
      </c>
      <c r="D311" s="100" t="s">
        <v>117</v>
      </c>
      <c r="E311" s="100" t="s">
        <v>187</v>
      </c>
      <c r="F311" s="100" t="s">
        <v>168</v>
      </c>
      <c r="G311" s="597">
        <v>58399.24</v>
      </c>
      <c r="H311" s="597">
        <v>200000</v>
      </c>
      <c r="I311" s="577">
        <v>142949.37</v>
      </c>
      <c r="J311" s="204">
        <f t="shared" si="10"/>
        <v>71.474685</v>
      </c>
      <c r="K311" s="51"/>
    </row>
    <row r="312" spans="1:11" ht="15.75" customHeight="1">
      <c r="A312" s="84" t="s">
        <v>90</v>
      </c>
      <c r="B312" s="650" t="s">
        <v>30</v>
      </c>
      <c r="C312" s="115" t="s">
        <v>118</v>
      </c>
      <c r="D312" s="103" t="s">
        <v>117</v>
      </c>
      <c r="E312" s="103" t="s">
        <v>188</v>
      </c>
      <c r="F312" s="103"/>
      <c r="G312" s="603">
        <f>SUM(G313:G321)</f>
        <v>10399780.590000002</v>
      </c>
      <c r="H312" s="603">
        <f>SUM(H313:H321)</f>
        <v>14895112.09</v>
      </c>
      <c r="I312" s="583">
        <f>SUM(I313:I321)</f>
        <v>10944142.95</v>
      </c>
      <c r="J312" s="204">
        <f t="shared" si="10"/>
        <v>73.47472703711624</v>
      </c>
      <c r="K312" s="51"/>
    </row>
    <row r="313" spans="1:11" ht="18" customHeight="1">
      <c r="A313" s="71" t="s">
        <v>379</v>
      </c>
      <c r="B313" s="650" t="s">
        <v>30</v>
      </c>
      <c r="C313" s="106" t="s">
        <v>118</v>
      </c>
      <c r="D313" s="104" t="s">
        <v>117</v>
      </c>
      <c r="E313" s="100" t="s">
        <v>188</v>
      </c>
      <c r="F313" s="100" t="s">
        <v>230</v>
      </c>
      <c r="G313" s="597">
        <v>7058504.82</v>
      </c>
      <c r="H313" s="597">
        <v>9724938</v>
      </c>
      <c r="I313" s="577">
        <v>7252080.9</v>
      </c>
      <c r="J313" s="204">
        <f t="shared" si="10"/>
        <v>74.57200138448184</v>
      </c>
      <c r="K313" s="51"/>
    </row>
    <row r="314" spans="1:11" ht="30" customHeight="1">
      <c r="A314" s="71" t="s">
        <v>381</v>
      </c>
      <c r="B314" s="650" t="s">
        <v>30</v>
      </c>
      <c r="C314" s="106" t="s">
        <v>118</v>
      </c>
      <c r="D314" s="104" t="s">
        <v>117</v>
      </c>
      <c r="E314" s="100" t="s">
        <v>188</v>
      </c>
      <c r="F314" s="100" t="s">
        <v>231</v>
      </c>
      <c r="G314" s="597">
        <v>189729.5</v>
      </c>
      <c r="H314" s="597">
        <v>324196.24</v>
      </c>
      <c r="I314" s="577">
        <v>140294.2</v>
      </c>
      <c r="J314" s="204">
        <f t="shared" si="10"/>
        <v>43.27446857495942</v>
      </c>
      <c r="K314" s="51"/>
    </row>
    <row r="315" spans="1:11" ht="45" customHeight="1">
      <c r="A315" s="71" t="s">
        <v>380</v>
      </c>
      <c r="B315" s="650" t="s">
        <v>30</v>
      </c>
      <c r="C315" s="106" t="s">
        <v>118</v>
      </c>
      <c r="D315" s="104" t="s">
        <v>117</v>
      </c>
      <c r="E315" s="100" t="s">
        <v>188</v>
      </c>
      <c r="F315" s="100" t="s">
        <v>71</v>
      </c>
      <c r="G315" s="607">
        <v>2163844.25</v>
      </c>
      <c r="H315" s="607">
        <v>2762560.55</v>
      </c>
      <c r="I315" s="588">
        <v>2267975.87</v>
      </c>
      <c r="J315" s="204">
        <f t="shared" si="10"/>
        <v>82.09687458253178</v>
      </c>
      <c r="K315" s="51"/>
    </row>
    <row r="316" spans="1:11" ht="13.5" customHeight="1">
      <c r="A316" s="71" t="s">
        <v>417</v>
      </c>
      <c r="B316" s="650" t="s">
        <v>30</v>
      </c>
      <c r="C316" s="106" t="s">
        <v>118</v>
      </c>
      <c r="D316" s="104" t="s">
        <v>117</v>
      </c>
      <c r="E316" s="100" t="s">
        <v>188</v>
      </c>
      <c r="F316" s="100" t="s">
        <v>168</v>
      </c>
      <c r="G316" s="608">
        <f>775647.83+74618.18</f>
        <v>850266.01</v>
      </c>
      <c r="H316" s="608">
        <v>1138362.3</v>
      </c>
      <c r="I316" s="589">
        <v>554189.38</v>
      </c>
      <c r="J316" s="204">
        <f t="shared" si="10"/>
        <v>48.68304053990544</v>
      </c>
      <c r="K316" s="51"/>
    </row>
    <row r="317" spans="1:11" ht="54" customHeight="1">
      <c r="A317" s="71" t="s">
        <v>0</v>
      </c>
      <c r="B317" s="650" t="s">
        <v>30</v>
      </c>
      <c r="C317" s="106" t="s">
        <v>118</v>
      </c>
      <c r="D317" s="104" t="s">
        <v>117</v>
      </c>
      <c r="E317" s="100" t="s">
        <v>188</v>
      </c>
      <c r="F317" s="100" t="s">
        <v>1</v>
      </c>
      <c r="G317" s="597">
        <v>50049.05</v>
      </c>
      <c r="H317" s="597">
        <v>400000</v>
      </c>
      <c r="I317" s="577">
        <v>200332.29</v>
      </c>
      <c r="J317" s="204">
        <f t="shared" si="10"/>
        <v>50.0830725</v>
      </c>
      <c r="K317" s="51"/>
    </row>
    <row r="318" spans="1:11" ht="32.25" customHeight="1">
      <c r="A318" s="80" t="s">
        <v>91</v>
      </c>
      <c r="B318" s="650" t="s">
        <v>30</v>
      </c>
      <c r="C318" s="106" t="s">
        <v>118</v>
      </c>
      <c r="D318" s="104" t="s">
        <v>117</v>
      </c>
      <c r="E318" s="100" t="s">
        <v>188</v>
      </c>
      <c r="F318" s="100" t="s">
        <v>226</v>
      </c>
      <c r="G318" s="597">
        <v>1492.5</v>
      </c>
      <c r="H318" s="597">
        <v>9600</v>
      </c>
      <c r="I318" s="577">
        <v>8983.77</v>
      </c>
      <c r="J318" s="204">
        <f t="shared" si="10"/>
        <v>93.5809375</v>
      </c>
      <c r="K318" s="51"/>
    </row>
    <row r="319" spans="1:11" ht="30" customHeight="1">
      <c r="A319" s="71" t="s">
        <v>225</v>
      </c>
      <c r="B319" s="650" t="s">
        <v>30</v>
      </c>
      <c r="C319" s="106" t="s">
        <v>118</v>
      </c>
      <c r="D319" s="104" t="s">
        <v>117</v>
      </c>
      <c r="E319" s="100" t="s">
        <v>188</v>
      </c>
      <c r="F319" s="100" t="s">
        <v>228</v>
      </c>
      <c r="G319" s="597">
        <v>69856</v>
      </c>
      <c r="H319" s="597">
        <v>515255</v>
      </c>
      <c r="I319" s="577">
        <v>514786.54</v>
      </c>
      <c r="J319" s="204">
        <f t="shared" si="10"/>
        <v>99.90908191089848</v>
      </c>
      <c r="K319" s="51"/>
    </row>
    <row r="320" spans="1:11" ht="27.75" customHeight="1">
      <c r="A320" s="71" t="s">
        <v>227</v>
      </c>
      <c r="B320" s="650" t="s">
        <v>30</v>
      </c>
      <c r="C320" s="106" t="s">
        <v>118</v>
      </c>
      <c r="D320" s="104" t="s">
        <v>117</v>
      </c>
      <c r="E320" s="100" t="s">
        <v>188</v>
      </c>
      <c r="F320" s="100" t="s">
        <v>229</v>
      </c>
      <c r="G320" s="597">
        <v>0</v>
      </c>
      <c r="H320" s="597">
        <v>10000</v>
      </c>
      <c r="I320" s="577">
        <v>0</v>
      </c>
      <c r="J320" s="204">
        <f t="shared" si="10"/>
        <v>0</v>
      </c>
      <c r="K320" s="51"/>
    </row>
    <row r="321" spans="1:11" ht="20.25" customHeight="1">
      <c r="A321" s="71" t="s">
        <v>181</v>
      </c>
      <c r="B321" s="650" t="s">
        <v>30</v>
      </c>
      <c r="C321" s="106" t="s">
        <v>118</v>
      </c>
      <c r="D321" s="104" t="s">
        <v>117</v>
      </c>
      <c r="E321" s="100" t="s">
        <v>188</v>
      </c>
      <c r="F321" s="100" t="s">
        <v>182</v>
      </c>
      <c r="G321" s="597">
        <v>16038.46</v>
      </c>
      <c r="H321" s="597">
        <v>10200</v>
      </c>
      <c r="I321" s="577">
        <v>5500</v>
      </c>
      <c r="J321" s="204">
        <f t="shared" si="10"/>
        <v>53.92156862745098</v>
      </c>
      <c r="K321" s="51"/>
    </row>
    <row r="322" spans="1:11" ht="144" customHeight="1">
      <c r="A322" s="74" t="s">
        <v>553</v>
      </c>
      <c r="B322" s="650" t="s">
        <v>30</v>
      </c>
      <c r="C322" s="105" t="s">
        <v>118</v>
      </c>
      <c r="D322" s="110" t="s">
        <v>117</v>
      </c>
      <c r="E322" s="98" t="s">
        <v>111</v>
      </c>
      <c r="F322" s="98"/>
      <c r="G322" s="603">
        <f>SUM(G323:G328)</f>
        <v>48486238.42999999</v>
      </c>
      <c r="H322" s="603">
        <f>SUM(H323:H328)</f>
        <v>66136300</v>
      </c>
      <c r="I322" s="583">
        <f>SUM(I323:I328)</f>
        <v>51989346.2</v>
      </c>
      <c r="J322" s="204">
        <f t="shared" si="10"/>
        <v>78.60939635268377</v>
      </c>
      <c r="K322" s="51"/>
    </row>
    <row r="323" spans="1:11" ht="15.75" customHeight="1">
      <c r="A323" s="71" t="s">
        <v>391</v>
      </c>
      <c r="B323" s="650" t="s">
        <v>30</v>
      </c>
      <c r="C323" s="106" t="s">
        <v>118</v>
      </c>
      <c r="D323" s="104" t="s">
        <v>117</v>
      </c>
      <c r="E323" s="100" t="s">
        <v>111</v>
      </c>
      <c r="F323" s="100" t="s">
        <v>230</v>
      </c>
      <c r="G323" s="597">
        <v>33607711.15</v>
      </c>
      <c r="H323" s="597">
        <v>47234000</v>
      </c>
      <c r="I323" s="577">
        <v>37350604.02</v>
      </c>
      <c r="J323" s="204">
        <f t="shared" si="10"/>
        <v>79.07567434475166</v>
      </c>
      <c r="K323" s="51"/>
    </row>
    <row r="324" spans="1:11" ht="30" customHeight="1">
      <c r="A324" s="71" t="s">
        <v>381</v>
      </c>
      <c r="B324" s="650" t="s">
        <v>30</v>
      </c>
      <c r="C324" s="106" t="s">
        <v>118</v>
      </c>
      <c r="D324" s="104" t="s">
        <v>117</v>
      </c>
      <c r="E324" s="100" t="s">
        <v>111</v>
      </c>
      <c r="F324" s="100" t="s">
        <v>231</v>
      </c>
      <c r="G324" s="597">
        <v>2900</v>
      </c>
      <c r="H324" s="597">
        <v>5000</v>
      </c>
      <c r="I324" s="577">
        <v>0</v>
      </c>
      <c r="J324" s="204">
        <f t="shared" si="10"/>
        <v>0</v>
      </c>
      <c r="K324" s="51"/>
    </row>
    <row r="325" spans="1:11" ht="43.5" customHeight="1">
      <c r="A325" s="71" t="s">
        <v>380</v>
      </c>
      <c r="B325" s="650" t="s">
        <v>30</v>
      </c>
      <c r="C325" s="106" t="s">
        <v>118</v>
      </c>
      <c r="D325" s="104" t="s">
        <v>117</v>
      </c>
      <c r="E325" s="100" t="s">
        <v>111</v>
      </c>
      <c r="F325" s="100" t="s">
        <v>71</v>
      </c>
      <c r="G325" s="597">
        <v>11198020.14</v>
      </c>
      <c r="H325" s="597">
        <v>14263000</v>
      </c>
      <c r="I325" s="577">
        <v>11259993.89</v>
      </c>
      <c r="J325" s="204">
        <f t="shared" si="10"/>
        <v>78.94548054406508</v>
      </c>
      <c r="K325" s="51"/>
    </row>
    <row r="326" spans="1:11" ht="18" customHeight="1">
      <c r="A326" s="71" t="s">
        <v>329</v>
      </c>
      <c r="B326" s="650" t="s">
        <v>30</v>
      </c>
      <c r="C326" s="106" t="s">
        <v>118</v>
      </c>
      <c r="D326" s="104" t="s">
        <v>117</v>
      </c>
      <c r="E326" s="100" t="s">
        <v>111</v>
      </c>
      <c r="F326" s="100" t="s">
        <v>168</v>
      </c>
      <c r="G326" s="597">
        <v>522705.26</v>
      </c>
      <c r="H326" s="597">
        <v>587300</v>
      </c>
      <c r="I326" s="577">
        <v>229619.2</v>
      </c>
      <c r="J326" s="204">
        <f t="shared" si="10"/>
        <v>39.097428911970034</v>
      </c>
      <c r="K326" s="51"/>
    </row>
    <row r="327" spans="1:11" ht="33" customHeight="1">
      <c r="A327" s="71" t="s">
        <v>189</v>
      </c>
      <c r="B327" s="650" t="s">
        <v>30</v>
      </c>
      <c r="C327" s="106" t="s">
        <v>118</v>
      </c>
      <c r="D327" s="104" t="s">
        <v>117</v>
      </c>
      <c r="E327" s="100" t="s">
        <v>111</v>
      </c>
      <c r="F327" s="100" t="s">
        <v>190</v>
      </c>
      <c r="G327" s="597">
        <v>85000.4</v>
      </c>
      <c r="H327" s="597">
        <v>0</v>
      </c>
      <c r="I327" s="577">
        <v>0</v>
      </c>
      <c r="J327" s="204" t="e">
        <f t="shared" si="10"/>
        <v>#DIV/0!</v>
      </c>
      <c r="K327" s="51"/>
    </row>
    <row r="328" spans="1:11" ht="60.75" customHeight="1">
      <c r="A328" s="71" t="s">
        <v>0</v>
      </c>
      <c r="B328" s="650" t="s">
        <v>30</v>
      </c>
      <c r="C328" s="106" t="s">
        <v>118</v>
      </c>
      <c r="D328" s="104" t="s">
        <v>117</v>
      </c>
      <c r="E328" s="100" t="s">
        <v>111</v>
      </c>
      <c r="F328" s="100" t="s">
        <v>1</v>
      </c>
      <c r="G328" s="597">
        <v>3069901.48</v>
      </c>
      <c r="H328" s="597">
        <v>4047000</v>
      </c>
      <c r="I328" s="577">
        <v>3149129.09</v>
      </c>
      <c r="J328" s="204">
        <f t="shared" si="10"/>
        <v>77.81391376328143</v>
      </c>
      <c r="K328" s="51"/>
    </row>
    <row r="329" spans="1:11" ht="141.75" customHeight="1">
      <c r="A329" s="72" t="s">
        <v>392</v>
      </c>
      <c r="B329" s="650" t="s">
        <v>30</v>
      </c>
      <c r="C329" s="97" t="s">
        <v>118</v>
      </c>
      <c r="D329" s="98" t="s">
        <v>117</v>
      </c>
      <c r="E329" s="98" t="s">
        <v>191</v>
      </c>
      <c r="F329" s="98"/>
      <c r="G329" s="603">
        <f>SUM(G330:G332)</f>
        <v>233689.62</v>
      </c>
      <c r="H329" s="603">
        <f>SUM(H330:H332)</f>
        <v>339500</v>
      </c>
      <c r="I329" s="583">
        <f>SUM(I330:I332)</f>
        <v>142567.13</v>
      </c>
      <c r="J329" s="204">
        <f t="shared" si="10"/>
        <v>41.993263622974965</v>
      </c>
      <c r="K329" s="51"/>
    </row>
    <row r="330" spans="1:11" ht="16.5" customHeight="1">
      <c r="A330" s="71" t="s">
        <v>379</v>
      </c>
      <c r="B330" s="650" t="s">
        <v>30</v>
      </c>
      <c r="C330" s="99" t="s">
        <v>118</v>
      </c>
      <c r="D330" s="100" t="s">
        <v>117</v>
      </c>
      <c r="E330" s="100" t="s">
        <v>191</v>
      </c>
      <c r="F330" s="100" t="s">
        <v>230</v>
      </c>
      <c r="G330" s="597">
        <v>147703.09</v>
      </c>
      <c r="H330" s="597">
        <v>157500</v>
      </c>
      <c r="I330" s="577">
        <v>93363.25</v>
      </c>
      <c r="J330" s="204">
        <f t="shared" si="10"/>
        <v>59.27825396825397</v>
      </c>
      <c r="K330" s="51"/>
    </row>
    <row r="331" spans="1:11" ht="45" customHeight="1">
      <c r="A331" s="71" t="s">
        <v>380</v>
      </c>
      <c r="B331" s="650" t="s">
        <v>30</v>
      </c>
      <c r="C331" s="99" t="s">
        <v>118</v>
      </c>
      <c r="D331" s="100" t="s">
        <v>117</v>
      </c>
      <c r="E331" s="100" t="s">
        <v>191</v>
      </c>
      <c r="F331" s="100" t="s">
        <v>71</v>
      </c>
      <c r="G331" s="597">
        <v>55240.53</v>
      </c>
      <c r="H331" s="597">
        <v>56000</v>
      </c>
      <c r="I331" s="577">
        <v>49203.88</v>
      </c>
      <c r="J331" s="204">
        <f t="shared" si="10"/>
        <v>87.86407142857142</v>
      </c>
      <c r="K331" s="51"/>
    </row>
    <row r="332" spans="1:11" ht="14.25" customHeight="1">
      <c r="A332" s="71" t="s">
        <v>329</v>
      </c>
      <c r="B332" s="650" t="s">
        <v>30</v>
      </c>
      <c r="C332" s="99" t="s">
        <v>118</v>
      </c>
      <c r="D332" s="100" t="s">
        <v>117</v>
      </c>
      <c r="E332" s="100" t="s">
        <v>191</v>
      </c>
      <c r="F332" s="100" t="s">
        <v>168</v>
      </c>
      <c r="G332" s="597">
        <v>30746</v>
      </c>
      <c r="H332" s="597">
        <v>126000</v>
      </c>
      <c r="I332" s="577">
        <v>0</v>
      </c>
      <c r="J332" s="204">
        <f aca="true" t="shared" si="11" ref="J332:J395">I332/H332*100</f>
        <v>0</v>
      </c>
      <c r="K332" s="51"/>
    </row>
    <row r="333" spans="1:11" ht="66" customHeight="1">
      <c r="A333" s="72" t="s">
        <v>860</v>
      </c>
      <c r="B333" s="650" t="s">
        <v>30</v>
      </c>
      <c r="C333" s="97" t="s">
        <v>118</v>
      </c>
      <c r="D333" s="98" t="s">
        <v>117</v>
      </c>
      <c r="E333" s="98" t="s">
        <v>859</v>
      </c>
      <c r="F333" s="98"/>
      <c r="G333" s="603">
        <f>G334</f>
        <v>1009679.87</v>
      </c>
      <c r="H333" s="603">
        <f>SUM(H334:H336)</f>
        <v>0</v>
      </c>
      <c r="I333" s="583">
        <f>SUM(I334:I336)</f>
        <v>0</v>
      </c>
      <c r="J333" s="204" t="e">
        <f t="shared" si="11"/>
        <v>#DIV/0!</v>
      </c>
      <c r="K333" s="51"/>
    </row>
    <row r="334" spans="1:11" ht="14.25" customHeight="1">
      <c r="A334" s="71" t="s">
        <v>329</v>
      </c>
      <c r="B334" s="650" t="s">
        <v>30</v>
      </c>
      <c r="C334" s="99" t="s">
        <v>118</v>
      </c>
      <c r="D334" s="100" t="s">
        <v>117</v>
      </c>
      <c r="E334" s="100" t="s">
        <v>859</v>
      </c>
      <c r="F334" s="100" t="s">
        <v>168</v>
      </c>
      <c r="G334" s="597">
        <v>1009679.87</v>
      </c>
      <c r="H334" s="597">
        <v>0</v>
      </c>
      <c r="I334" s="577">
        <v>0</v>
      </c>
      <c r="J334" s="204" t="e">
        <f t="shared" si="11"/>
        <v>#DIV/0!</v>
      </c>
      <c r="K334" s="51"/>
    </row>
    <row r="335" spans="1:11" ht="120.75" customHeight="1">
      <c r="A335" s="88" t="s">
        <v>863</v>
      </c>
      <c r="B335" s="650" t="s">
        <v>30</v>
      </c>
      <c r="C335" s="97" t="s">
        <v>118</v>
      </c>
      <c r="D335" s="98" t="s">
        <v>117</v>
      </c>
      <c r="E335" s="98" t="s">
        <v>861</v>
      </c>
      <c r="F335" s="98"/>
      <c r="G335" s="603">
        <f>SUM(G336:G337)</f>
        <v>115805.15</v>
      </c>
      <c r="H335" s="603">
        <f>SUM(H336:H339)</f>
        <v>0</v>
      </c>
      <c r="I335" s="583">
        <f>SUM(I336:I339)</f>
        <v>0</v>
      </c>
      <c r="J335" s="204" t="e">
        <f t="shared" si="11"/>
        <v>#DIV/0!</v>
      </c>
      <c r="K335" s="51"/>
    </row>
    <row r="336" spans="1:11" ht="27" customHeight="1">
      <c r="A336" s="71" t="s">
        <v>862</v>
      </c>
      <c r="B336" s="650" t="s">
        <v>30</v>
      </c>
      <c r="C336" s="99" t="s">
        <v>118</v>
      </c>
      <c r="D336" s="100" t="s">
        <v>117</v>
      </c>
      <c r="E336" s="100" t="s">
        <v>861</v>
      </c>
      <c r="F336" s="100" t="s">
        <v>231</v>
      </c>
      <c r="G336" s="597">
        <v>94637.48</v>
      </c>
      <c r="H336" s="597">
        <v>0</v>
      </c>
      <c r="I336" s="577">
        <v>0</v>
      </c>
      <c r="J336" s="204" t="e">
        <f t="shared" si="11"/>
        <v>#DIV/0!</v>
      </c>
      <c r="K336" s="51"/>
    </row>
    <row r="337" spans="1:11" ht="14.25" customHeight="1">
      <c r="A337" s="71" t="s">
        <v>167</v>
      </c>
      <c r="B337" s="650" t="s">
        <v>30</v>
      </c>
      <c r="C337" s="99" t="s">
        <v>118</v>
      </c>
      <c r="D337" s="100" t="s">
        <v>117</v>
      </c>
      <c r="E337" s="100" t="s">
        <v>861</v>
      </c>
      <c r="F337" s="100" t="s">
        <v>166</v>
      </c>
      <c r="G337" s="597">
        <v>21167.67</v>
      </c>
      <c r="H337" s="597">
        <v>0</v>
      </c>
      <c r="I337" s="577">
        <v>0</v>
      </c>
      <c r="J337" s="204" t="e">
        <f t="shared" si="11"/>
        <v>#DIV/0!</v>
      </c>
      <c r="K337" s="51"/>
    </row>
    <row r="338" spans="1:11" ht="30" customHeight="1">
      <c r="A338" s="88" t="s">
        <v>865</v>
      </c>
      <c r="B338" s="650" t="s">
        <v>30</v>
      </c>
      <c r="C338" s="97" t="s">
        <v>118</v>
      </c>
      <c r="D338" s="98" t="s">
        <v>117</v>
      </c>
      <c r="E338" s="98" t="s">
        <v>864</v>
      </c>
      <c r="F338" s="98"/>
      <c r="G338" s="603">
        <f>SUM(G339:G339)</f>
        <v>112186.65</v>
      </c>
      <c r="H338" s="603">
        <f>SUM(H339:H339)</f>
        <v>0</v>
      </c>
      <c r="I338" s="583">
        <f>SUM(I339:I339)</f>
        <v>0</v>
      </c>
      <c r="J338" s="204" t="e">
        <f t="shared" si="11"/>
        <v>#DIV/0!</v>
      </c>
      <c r="K338" s="51"/>
    </row>
    <row r="339" spans="1:11" ht="14.25" customHeight="1">
      <c r="A339" s="71" t="s">
        <v>329</v>
      </c>
      <c r="B339" s="650" t="s">
        <v>30</v>
      </c>
      <c r="C339" s="99" t="s">
        <v>118</v>
      </c>
      <c r="D339" s="100" t="s">
        <v>117</v>
      </c>
      <c r="E339" s="100" t="s">
        <v>864</v>
      </c>
      <c r="F339" s="100" t="s">
        <v>168</v>
      </c>
      <c r="G339" s="597">
        <v>112186.65</v>
      </c>
      <c r="H339" s="597">
        <v>0</v>
      </c>
      <c r="I339" s="577">
        <v>0</v>
      </c>
      <c r="J339" s="204" t="e">
        <f t="shared" si="11"/>
        <v>#DIV/0!</v>
      </c>
      <c r="K339" s="51"/>
    </row>
    <row r="340" spans="1:11" ht="14.25" customHeight="1">
      <c r="A340" s="185" t="s">
        <v>138</v>
      </c>
      <c r="B340" s="632" t="s">
        <v>30</v>
      </c>
      <c r="C340" s="196" t="s">
        <v>118</v>
      </c>
      <c r="D340" s="196" t="s">
        <v>124</v>
      </c>
      <c r="E340" s="638"/>
      <c r="F340" s="196"/>
      <c r="G340" s="609">
        <f>G341+G345+G347+G358+G364+G370+G376+G380+G383+G387+G392+G396+G400+G404+G411</f>
        <v>324289064.9</v>
      </c>
      <c r="H340" s="609">
        <f>H341+H345+H347+H358+H364+H370+H376+H380+H383+H387+H392+H396+H400+H404+H411</f>
        <v>415521894.2</v>
      </c>
      <c r="I340" s="590">
        <f>I341+I345+I347+I358+I364+I370+I376+I380+I383+I387+I392+I396+I400+I404+I411</f>
        <v>295250261.69</v>
      </c>
      <c r="J340" s="634">
        <f t="shared" si="11"/>
        <v>71.05528392395358</v>
      </c>
      <c r="K340" s="51"/>
    </row>
    <row r="341" spans="1:11" ht="30" customHeight="1">
      <c r="A341" s="79" t="s">
        <v>526</v>
      </c>
      <c r="B341" s="650" t="s">
        <v>30</v>
      </c>
      <c r="C341" s="116" t="s">
        <v>118</v>
      </c>
      <c r="D341" s="111" t="s">
        <v>124</v>
      </c>
      <c r="E341" s="103" t="s">
        <v>323</v>
      </c>
      <c r="F341" s="103"/>
      <c r="G341" s="603">
        <f>SUM(G342:G344)</f>
        <v>25646306.71</v>
      </c>
      <c r="H341" s="603">
        <f>SUM(H342:H344)</f>
        <v>35742000</v>
      </c>
      <c r="I341" s="583">
        <f>SUM(I342:I344)</f>
        <v>30187145.43</v>
      </c>
      <c r="J341" s="204">
        <f t="shared" si="11"/>
        <v>84.45846743327178</v>
      </c>
      <c r="K341" s="51"/>
    </row>
    <row r="342" spans="1:11" ht="15.75" customHeight="1">
      <c r="A342" s="71" t="s">
        <v>329</v>
      </c>
      <c r="B342" s="650" t="s">
        <v>30</v>
      </c>
      <c r="C342" s="106" t="s">
        <v>118</v>
      </c>
      <c r="D342" s="104" t="s">
        <v>124</v>
      </c>
      <c r="E342" s="100" t="s">
        <v>323</v>
      </c>
      <c r="F342" s="100" t="s">
        <v>168</v>
      </c>
      <c r="G342" s="597">
        <v>212083.36</v>
      </c>
      <c r="H342" s="597">
        <v>359504.88</v>
      </c>
      <c r="I342" s="577">
        <v>188839.53</v>
      </c>
      <c r="J342" s="204">
        <f t="shared" si="11"/>
        <v>52.52766805279527</v>
      </c>
      <c r="K342" s="51"/>
    </row>
    <row r="343" spans="1:11" ht="17.25" customHeight="1">
      <c r="A343" s="71" t="s">
        <v>318</v>
      </c>
      <c r="B343" s="650" t="s">
        <v>30</v>
      </c>
      <c r="C343" s="106" t="s">
        <v>118</v>
      </c>
      <c r="D343" s="104" t="s">
        <v>124</v>
      </c>
      <c r="E343" s="100" t="s">
        <v>323</v>
      </c>
      <c r="F343" s="100" t="s">
        <v>320</v>
      </c>
      <c r="G343" s="597">
        <v>16406972.23</v>
      </c>
      <c r="H343" s="597">
        <v>22882495.12</v>
      </c>
      <c r="I343" s="577">
        <v>19898986.22</v>
      </c>
      <c r="J343" s="204">
        <f t="shared" si="11"/>
        <v>86.96161024244107</v>
      </c>
      <c r="K343" s="51"/>
    </row>
    <row r="344" spans="1:11" ht="51.75" customHeight="1">
      <c r="A344" s="71" t="s">
        <v>0</v>
      </c>
      <c r="B344" s="650" t="s">
        <v>30</v>
      </c>
      <c r="C344" s="106" t="s">
        <v>118</v>
      </c>
      <c r="D344" s="104" t="s">
        <v>124</v>
      </c>
      <c r="E344" s="100" t="s">
        <v>323</v>
      </c>
      <c r="F344" s="100" t="s">
        <v>1</v>
      </c>
      <c r="G344" s="597">
        <v>9027251.12</v>
      </c>
      <c r="H344" s="597">
        <v>12500000</v>
      </c>
      <c r="I344" s="577">
        <v>10099319.68</v>
      </c>
      <c r="J344" s="204">
        <f t="shared" si="11"/>
        <v>80.79455743999999</v>
      </c>
      <c r="K344" s="51"/>
    </row>
    <row r="345" spans="1:11" ht="15" customHeight="1">
      <c r="A345" s="79" t="s">
        <v>92</v>
      </c>
      <c r="B345" s="650" t="s">
        <v>30</v>
      </c>
      <c r="C345" s="116" t="s">
        <v>118</v>
      </c>
      <c r="D345" s="111" t="s">
        <v>124</v>
      </c>
      <c r="E345" s="103" t="s">
        <v>192</v>
      </c>
      <c r="F345" s="103"/>
      <c r="G345" s="603">
        <f>G346</f>
        <v>1064355.97</v>
      </c>
      <c r="H345" s="603">
        <f>H346</f>
        <v>2261826.08</v>
      </c>
      <c r="I345" s="583">
        <f>I346</f>
        <v>1255846.92</v>
      </c>
      <c r="J345" s="204">
        <f t="shared" si="11"/>
        <v>55.52358473114785</v>
      </c>
      <c r="K345" s="51"/>
    </row>
    <row r="346" spans="1:11" ht="18.75" customHeight="1">
      <c r="A346" s="71" t="s">
        <v>329</v>
      </c>
      <c r="B346" s="650" t="s">
        <v>30</v>
      </c>
      <c r="C346" s="106" t="s">
        <v>118</v>
      </c>
      <c r="D346" s="104" t="s">
        <v>124</v>
      </c>
      <c r="E346" s="100" t="s">
        <v>192</v>
      </c>
      <c r="F346" s="100" t="s">
        <v>168</v>
      </c>
      <c r="G346" s="597">
        <v>1064355.97</v>
      </c>
      <c r="H346" s="597">
        <v>2261826.08</v>
      </c>
      <c r="I346" s="577">
        <v>1255846.92</v>
      </c>
      <c r="J346" s="204">
        <f t="shared" si="11"/>
        <v>55.52358473114785</v>
      </c>
      <c r="K346" s="51"/>
    </row>
    <row r="347" spans="1:11" ht="18" customHeight="1">
      <c r="A347" s="84" t="s">
        <v>93</v>
      </c>
      <c r="B347" s="650" t="s">
        <v>30</v>
      </c>
      <c r="C347" s="116" t="s">
        <v>118</v>
      </c>
      <c r="D347" s="111" t="s">
        <v>124</v>
      </c>
      <c r="E347" s="103" t="s">
        <v>193</v>
      </c>
      <c r="F347" s="111"/>
      <c r="G347" s="603">
        <f>SUM(G348:G357)</f>
        <v>23670529.81</v>
      </c>
      <c r="H347" s="603">
        <f>SUM(H348:H357)</f>
        <v>30996143.85</v>
      </c>
      <c r="I347" s="583">
        <f>SUM(I348:I357)</f>
        <v>25000725.81</v>
      </c>
      <c r="J347" s="204">
        <f t="shared" si="11"/>
        <v>80.65753575988775</v>
      </c>
      <c r="K347" s="51"/>
    </row>
    <row r="348" spans="1:11" ht="18" customHeight="1">
      <c r="A348" s="71" t="s">
        <v>379</v>
      </c>
      <c r="B348" s="650" t="s">
        <v>30</v>
      </c>
      <c r="C348" s="106" t="s">
        <v>118</v>
      </c>
      <c r="D348" s="104" t="s">
        <v>124</v>
      </c>
      <c r="E348" s="100" t="s">
        <v>193</v>
      </c>
      <c r="F348" s="100" t="s">
        <v>230</v>
      </c>
      <c r="G348" s="597">
        <v>8423304.32</v>
      </c>
      <c r="H348" s="597">
        <v>11533539</v>
      </c>
      <c r="I348" s="577">
        <v>10197626</v>
      </c>
      <c r="J348" s="204">
        <f t="shared" si="11"/>
        <v>88.41714585609847</v>
      </c>
      <c r="K348" s="51"/>
    </row>
    <row r="349" spans="1:11" ht="35.25" customHeight="1">
      <c r="A349" s="71" t="s">
        <v>381</v>
      </c>
      <c r="B349" s="650" t="s">
        <v>30</v>
      </c>
      <c r="C349" s="106" t="s">
        <v>118</v>
      </c>
      <c r="D349" s="104" t="s">
        <v>124</v>
      </c>
      <c r="E349" s="100" t="s">
        <v>193</v>
      </c>
      <c r="F349" s="100" t="s">
        <v>231</v>
      </c>
      <c r="G349" s="597">
        <v>291950.08</v>
      </c>
      <c r="H349" s="597">
        <v>632734.17</v>
      </c>
      <c r="I349" s="577">
        <v>204026.21</v>
      </c>
      <c r="J349" s="204">
        <f t="shared" si="11"/>
        <v>32.24517019524961</v>
      </c>
      <c r="K349" s="51"/>
    </row>
    <row r="350" spans="1:11" ht="41.25" customHeight="1">
      <c r="A350" s="71" t="s">
        <v>380</v>
      </c>
      <c r="B350" s="650" t="s">
        <v>30</v>
      </c>
      <c r="C350" s="106" t="s">
        <v>118</v>
      </c>
      <c r="D350" s="104" t="s">
        <v>124</v>
      </c>
      <c r="E350" s="100" t="s">
        <v>193</v>
      </c>
      <c r="F350" s="100" t="s">
        <v>71</v>
      </c>
      <c r="G350" s="597">
        <v>2691826.21</v>
      </c>
      <c r="H350" s="597">
        <v>4828598.38</v>
      </c>
      <c r="I350" s="577">
        <v>3257035.17</v>
      </c>
      <c r="J350" s="204">
        <f t="shared" si="11"/>
        <v>67.45301459509663</v>
      </c>
      <c r="K350" s="51"/>
    </row>
    <row r="351" spans="1:11" ht="30" customHeight="1">
      <c r="A351" s="71" t="s">
        <v>697</v>
      </c>
      <c r="B351" s="650" t="s">
        <v>30</v>
      </c>
      <c r="C351" s="106" t="s">
        <v>118</v>
      </c>
      <c r="D351" s="104" t="s">
        <v>124</v>
      </c>
      <c r="E351" s="100" t="s">
        <v>193</v>
      </c>
      <c r="F351" s="100" t="s">
        <v>263</v>
      </c>
      <c r="G351" s="597">
        <v>298.76</v>
      </c>
      <c r="H351" s="597">
        <v>89.69</v>
      </c>
      <c r="I351" s="577">
        <v>31.71</v>
      </c>
      <c r="J351" s="204">
        <f t="shared" si="11"/>
        <v>35.355112052625714</v>
      </c>
      <c r="K351" s="51"/>
    </row>
    <row r="352" spans="1:11" ht="21" customHeight="1">
      <c r="A352" s="71" t="s">
        <v>329</v>
      </c>
      <c r="B352" s="650" t="s">
        <v>30</v>
      </c>
      <c r="C352" s="106" t="s">
        <v>118</v>
      </c>
      <c r="D352" s="104" t="s">
        <v>124</v>
      </c>
      <c r="E352" s="100" t="s">
        <v>193</v>
      </c>
      <c r="F352" s="100" t="s">
        <v>168</v>
      </c>
      <c r="G352" s="597">
        <v>2885947.35</v>
      </c>
      <c r="H352" s="597">
        <v>3439068.61</v>
      </c>
      <c r="I352" s="577">
        <v>1838149.09</v>
      </c>
      <c r="J352" s="204">
        <f t="shared" si="11"/>
        <v>53.449038052195185</v>
      </c>
      <c r="K352" s="51"/>
    </row>
    <row r="353" spans="1:11" ht="51" customHeight="1">
      <c r="A353" s="71" t="s">
        <v>0</v>
      </c>
      <c r="B353" s="650" t="s">
        <v>30</v>
      </c>
      <c r="C353" s="106" t="s">
        <v>118</v>
      </c>
      <c r="D353" s="104" t="s">
        <v>124</v>
      </c>
      <c r="E353" s="100" t="s">
        <v>193</v>
      </c>
      <c r="F353" s="100" t="s">
        <v>1</v>
      </c>
      <c r="G353" s="597">
        <v>9188702.84</v>
      </c>
      <c r="H353" s="597">
        <v>9409860</v>
      </c>
      <c r="I353" s="577">
        <v>8376201.85</v>
      </c>
      <c r="J353" s="204">
        <f t="shared" si="11"/>
        <v>89.01515909907268</v>
      </c>
      <c r="K353" s="51"/>
    </row>
    <row r="354" spans="1:11" ht="32.25" customHeight="1">
      <c r="A354" s="80" t="s">
        <v>91</v>
      </c>
      <c r="B354" s="650" t="s">
        <v>30</v>
      </c>
      <c r="C354" s="106" t="s">
        <v>118</v>
      </c>
      <c r="D354" s="104" t="s">
        <v>124</v>
      </c>
      <c r="E354" s="100" t="s">
        <v>193</v>
      </c>
      <c r="F354" s="100" t="s">
        <v>226</v>
      </c>
      <c r="G354" s="597">
        <v>10976.72</v>
      </c>
      <c r="H354" s="597">
        <v>55973.17</v>
      </c>
      <c r="I354" s="577">
        <v>43610.72</v>
      </c>
      <c r="J354" s="204">
        <f t="shared" si="11"/>
        <v>77.91361468360645</v>
      </c>
      <c r="K354" s="51"/>
    </row>
    <row r="355" spans="1:11" ht="24.75" customHeight="1">
      <c r="A355" s="71" t="s">
        <v>225</v>
      </c>
      <c r="B355" s="650" t="s">
        <v>30</v>
      </c>
      <c r="C355" s="106" t="s">
        <v>118</v>
      </c>
      <c r="D355" s="104" t="s">
        <v>124</v>
      </c>
      <c r="E355" s="100" t="s">
        <v>193</v>
      </c>
      <c r="F355" s="100" t="s">
        <v>228</v>
      </c>
      <c r="G355" s="597">
        <v>111442</v>
      </c>
      <c r="H355" s="597">
        <v>1027998.02</v>
      </c>
      <c r="I355" s="577">
        <v>1027997.59</v>
      </c>
      <c r="J355" s="204">
        <f t="shared" si="11"/>
        <v>99.99995817112566</v>
      </c>
      <c r="K355" s="51"/>
    </row>
    <row r="356" spans="1:11" ht="25.5" customHeight="1">
      <c r="A356" s="71" t="s">
        <v>227</v>
      </c>
      <c r="B356" s="650" t="s">
        <v>30</v>
      </c>
      <c r="C356" s="106" t="s">
        <v>118</v>
      </c>
      <c r="D356" s="104" t="s">
        <v>124</v>
      </c>
      <c r="E356" s="100" t="s">
        <v>193</v>
      </c>
      <c r="F356" s="100" t="s">
        <v>229</v>
      </c>
      <c r="G356" s="597">
        <v>23368</v>
      </c>
      <c r="H356" s="597">
        <v>25901</v>
      </c>
      <c r="I356" s="577">
        <v>25901</v>
      </c>
      <c r="J356" s="204">
        <f t="shared" si="11"/>
        <v>100</v>
      </c>
      <c r="K356" s="51"/>
    </row>
    <row r="357" spans="1:11" ht="15" customHeight="1">
      <c r="A357" s="71" t="s">
        <v>181</v>
      </c>
      <c r="B357" s="650" t="s">
        <v>30</v>
      </c>
      <c r="C357" s="106" t="s">
        <v>118</v>
      </c>
      <c r="D357" s="104" t="s">
        <v>124</v>
      </c>
      <c r="E357" s="100" t="s">
        <v>193</v>
      </c>
      <c r="F357" s="100" t="s">
        <v>182</v>
      </c>
      <c r="G357" s="597">
        <v>42713.53</v>
      </c>
      <c r="H357" s="597">
        <v>42381.81</v>
      </c>
      <c r="I357" s="577">
        <v>30146.47</v>
      </c>
      <c r="J357" s="204">
        <f t="shared" si="11"/>
        <v>71.13068082745878</v>
      </c>
      <c r="K357" s="50"/>
    </row>
    <row r="358" spans="1:11" ht="27" customHeight="1">
      <c r="A358" s="86" t="s">
        <v>393</v>
      </c>
      <c r="B358" s="650" t="s">
        <v>30</v>
      </c>
      <c r="C358" s="120" t="s">
        <v>118</v>
      </c>
      <c r="D358" s="121" t="s">
        <v>124</v>
      </c>
      <c r="E358" s="122" t="s">
        <v>394</v>
      </c>
      <c r="F358" s="100"/>
      <c r="G358" s="603">
        <f>SUM(G359:G363)</f>
        <v>117333989.55</v>
      </c>
      <c r="H358" s="603">
        <f>SUM(H359:H363)</f>
        <v>135657324.26999998</v>
      </c>
      <c r="I358" s="583">
        <f>SUM(I359:I363)</f>
        <v>94069054.64</v>
      </c>
      <c r="J358" s="204">
        <f t="shared" si="11"/>
        <v>69.34314468179656</v>
      </c>
      <c r="K358" s="50"/>
    </row>
    <row r="359" spans="1:11" ht="39" customHeight="1">
      <c r="A359" s="71" t="s">
        <v>554</v>
      </c>
      <c r="B359" s="650" t="s">
        <v>30</v>
      </c>
      <c r="C359" s="106" t="s">
        <v>118</v>
      </c>
      <c r="D359" s="104" t="s">
        <v>124</v>
      </c>
      <c r="E359" s="100" t="s">
        <v>394</v>
      </c>
      <c r="F359" s="100" t="s">
        <v>263</v>
      </c>
      <c r="G359" s="597">
        <v>32872553.06</v>
      </c>
      <c r="H359" s="597">
        <v>74176126.57</v>
      </c>
      <c r="I359" s="577">
        <v>63989137.52</v>
      </c>
      <c r="J359" s="204">
        <f t="shared" si="11"/>
        <v>86.26648556475035</v>
      </c>
      <c r="K359" s="50"/>
    </row>
    <row r="360" spans="1:11" ht="39" customHeight="1">
      <c r="A360" s="71" t="s">
        <v>555</v>
      </c>
      <c r="B360" s="650" t="s">
        <v>30</v>
      </c>
      <c r="C360" s="106" t="s">
        <v>118</v>
      </c>
      <c r="D360" s="104" t="s">
        <v>124</v>
      </c>
      <c r="E360" s="100" t="s">
        <v>394</v>
      </c>
      <c r="F360" s="100" t="s">
        <v>263</v>
      </c>
      <c r="G360" s="597">
        <v>233.72</v>
      </c>
      <c r="H360" s="597">
        <v>527.37</v>
      </c>
      <c r="I360" s="577">
        <v>454.95</v>
      </c>
      <c r="J360" s="204">
        <f t="shared" si="11"/>
        <v>86.26770578531202</v>
      </c>
      <c r="K360" s="51"/>
    </row>
    <row r="361" spans="1:11" ht="18.75" customHeight="1">
      <c r="A361" s="71" t="s">
        <v>329</v>
      </c>
      <c r="B361" s="650" t="s">
        <v>30</v>
      </c>
      <c r="C361" s="106" t="s">
        <v>118</v>
      </c>
      <c r="D361" s="104" t="s">
        <v>124</v>
      </c>
      <c r="E361" s="100" t="s">
        <v>394</v>
      </c>
      <c r="F361" s="100" t="s">
        <v>168</v>
      </c>
      <c r="G361" s="597">
        <v>5618285.33</v>
      </c>
      <c r="H361" s="597">
        <v>912914.45</v>
      </c>
      <c r="I361" s="577">
        <v>912912.1</v>
      </c>
      <c r="J361" s="204">
        <f t="shared" si="11"/>
        <v>99.99974258267027</v>
      </c>
      <c r="K361" s="50"/>
    </row>
    <row r="362" spans="1:11" ht="17.25" customHeight="1">
      <c r="A362" s="85" t="s">
        <v>556</v>
      </c>
      <c r="B362" s="650" t="s">
        <v>30</v>
      </c>
      <c r="C362" s="106" t="s">
        <v>118</v>
      </c>
      <c r="D362" s="104" t="s">
        <v>124</v>
      </c>
      <c r="E362" s="100" t="s">
        <v>394</v>
      </c>
      <c r="F362" s="100" t="s">
        <v>166</v>
      </c>
      <c r="G362" s="597">
        <v>78842302.2</v>
      </c>
      <c r="H362" s="597">
        <v>60567283.25</v>
      </c>
      <c r="I362" s="577">
        <v>29166322.47</v>
      </c>
      <c r="J362" s="204">
        <f t="shared" si="11"/>
        <v>48.15524307011079</v>
      </c>
      <c r="K362" s="51"/>
    </row>
    <row r="363" spans="1:11" ht="28.5" customHeight="1">
      <c r="A363" s="85" t="s">
        <v>557</v>
      </c>
      <c r="B363" s="650" t="s">
        <v>30</v>
      </c>
      <c r="C363" s="106" t="s">
        <v>118</v>
      </c>
      <c r="D363" s="104" t="s">
        <v>124</v>
      </c>
      <c r="E363" s="100" t="s">
        <v>394</v>
      </c>
      <c r="F363" s="100" t="s">
        <v>166</v>
      </c>
      <c r="G363" s="597">
        <v>615.24</v>
      </c>
      <c r="H363" s="597">
        <v>472.63</v>
      </c>
      <c r="I363" s="577">
        <v>227.6</v>
      </c>
      <c r="J363" s="204">
        <f t="shared" si="11"/>
        <v>48.156062882169984</v>
      </c>
      <c r="K363" s="51"/>
    </row>
    <row r="364" spans="1:11" ht="143.25" customHeight="1">
      <c r="A364" s="74" t="s">
        <v>553</v>
      </c>
      <c r="B364" s="650" t="s">
        <v>30</v>
      </c>
      <c r="C364" s="105" t="s">
        <v>118</v>
      </c>
      <c r="D364" s="110" t="s">
        <v>124</v>
      </c>
      <c r="E364" s="98" t="s">
        <v>112</v>
      </c>
      <c r="F364" s="110"/>
      <c r="G364" s="603">
        <f>SUM(G365:G369)</f>
        <v>114621167.08000001</v>
      </c>
      <c r="H364" s="603">
        <f>SUM(H365:H369)</f>
        <v>160865700</v>
      </c>
      <c r="I364" s="583">
        <f>SUM(I365:I369)</f>
        <v>121504728.80000001</v>
      </c>
      <c r="J364" s="204">
        <f t="shared" si="11"/>
        <v>75.5317813555034</v>
      </c>
      <c r="K364" s="51"/>
    </row>
    <row r="365" spans="1:11" ht="18.75" customHeight="1">
      <c r="A365" s="71" t="s">
        <v>391</v>
      </c>
      <c r="B365" s="650" t="s">
        <v>30</v>
      </c>
      <c r="C365" s="99" t="s">
        <v>118</v>
      </c>
      <c r="D365" s="100" t="s">
        <v>124</v>
      </c>
      <c r="E365" s="100" t="s">
        <v>112</v>
      </c>
      <c r="F365" s="100" t="s">
        <v>230</v>
      </c>
      <c r="G365" s="597">
        <v>40608430.1</v>
      </c>
      <c r="H365" s="597">
        <v>60151000</v>
      </c>
      <c r="I365" s="577">
        <v>42992680.09</v>
      </c>
      <c r="J365" s="204">
        <f t="shared" si="11"/>
        <v>71.47458910076308</v>
      </c>
      <c r="K365" s="51"/>
    </row>
    <row r="366" spans="1:11" ht="30.75" customHeight="1">
      <c r="A366" s="71" t="s">
        <v>381</v>
      </c>
      <c r="B366" s="650" t="s">
        <v>30</v>
      </c>
      <c r="C366" s="99" t="s">
        <v>118</v>
      </c>
      <c r="D366" s="100" t="s">
        <v>124</v>
      </c>
      <c r="E366" s="100" t="s">
        <v>112</v>
      </c>
      <c r="F366" s="100" t="s">
        <v>231</v>
      </c>
      <c r="G366" s="597">
        <v>2358</v>
      </c>
      <c r="H366" s="597">
        <v>9040</v>
      </c>
      <c r="I366" s="577">
        <v>0</v>
      </c>
      <c r="J366" s="204">
        <f t="shared" si="11"/>
        <v>0</v>
      </c>
      <c r="K366" s="51"/>
    </row>
    <row r="367" spans="1:11" ht="38.25" customHeight="1">
      <c r="A367" s="71" t="s">
        <v>380</v>
      </c>
      <c r="B367" s="650" t="s">
        <v>30</v>
      </c>
      <c r="C367" s="99" t="s">
        <v>118</v>
      </c>
      <c r="D367" s="100" t="s">
        <v>124</v>
      </c>
      <c r="E367" s="100" t="s">
        <v>112</v>
      </c>
      <c r="F367" s="100" t="s">
        <v>71</v>
      </c>
      <c r="G367" s="597">
        <v>12989967.52</v>
      </c>
      <c r="H367" s="597">
        <v>18037677.95</v>
      </c>
      <c r="I367" s="577">
        <v>13945955</v>
      </c>
      <c r="J367" s="204">
        <f t="shared" si="11"/>
        <v>77.31568907404737</v>
      </c>
      <c r="K367" s="51"/>
    </row>
    <row r="368" spans="1:11" ht="18" customHeight="1">
      <c r="A368" s="71" t="s">
        <v>329</v>
      </c>
      <c r="B368" s="650" t="s">
        <v>30</v>
      </c>
      <c r="C368" s="99" t="s">
        <v>118</v>
      </c>
      <c r="D368" s="100" t="s">
        <v>124</v>
      </c>
      <c r="E368" s="100" t="s">
        <v>112</v>
      </c>
      <c r="F368" s="100" t="s">
        <v>168</v>
      </c>
      <c r="G368" s="597">
        <v>794810.95</v>
      </c>
      <c r="H368" s="597">
        <v>1648982.05</v>
      </c>
      <c r="I368" s="577">
        <v>833339.9</v>
      </c>
      <c r="J368" s="204">
        <f t="shared" si="11"/>
        <v>50.536626520585834</v>
      </c>
      <c r="K368" s="51"/>
    </row>
    <row r="369" spans="1:11" ht="51" customHeight="1">
      <c r="A369" s="71" t="s">
        <v>0</v>
      </c>
      <c r="B369" s="650" t="s">
        <v>30</v>
      </c>
      <c r="C369" s="99" t="s">
        <v>118</v>
      </c>
      <c r="D369" s="100" t="s">
        <v>124</v>
      </c>
      <c r="E369" s="100" t="s">
        <v>112</v>
      </c>
      <c r="F369" s="100" t="s">
        <v>1</v>
      </c>
      <c r="G369" s="597">
        <v>60225600.51</v>
      </c>
      <c r="H369" s="597">
        <v>81019000</v>
      </c>
      <c r="I369" s="577">
        <v>63732753.81</v>
      </c>
      <c r="J369" s="204">
        <f t="shared" si="11"/>
        <v>78.66396007109444</v>
      </c>
      <c r="K369" s="51"/>
    </row>
    <row r="370" spans="1:11" ht="138" customHeight="1">
      <c r="A370" s="72" t="s">
        <v>392</v>
      </c>
      <c r="B370" s="650" t="s">
        <v>30</v>
      </c>
      <c r="C370" s="97" t="s">
        <v>118</v>
      </c>
      <c r="D370" s="98" t="s">
        <v>124</v>
      </c>
      <c r="E370" s="98" t="s">
        <v>195</v>
      </c>
      <c r="F370" s="98"/>
      <c r="G370" s="603">
        <f>SUM(G371:G375)</f>
        <v>917202.69</v>
      </c>
      <c r="H370" s="603">
        <f>SUM(H371:H375)</f>
        <v>3538800</v>
      </c>
      <c r="I370" s="583">
        <f>SUM(I371:I375)</f>
        <v>2430154.09</v>
      </c>
      <c r="J370" s="204">
        <f t="shared" si="11"/>
        <v>68.67169916355826</v>
      </c>
      <c r="K370" s="51"/>
    </row>
    <row r="371" spans="1:11" ht="21.75" customHeight="1">
      <c r="A371" s="71" t="s">
        <v>391</v>
      </c>
      <c r="B371" s="650" t="s">
        <v>30</v>
      </c>
      <c r="C371" s="99" t="s">
        <v>118</v>
      </c>
      <c r="D371" s="100" t="s">
        <v>124</v>
      </c>
      <c r="E371" s="100" t="s">
        <v>195</v>
      </c>
      <c r="F371" s="100" t="s">
        <v>230</v>
      </c>
      <c r="G371" s="597">
        <v>3217.41</v>
      </c>
      <c r="H371" s="597">
        <v>5000</v>
      </c>
      <c r="I371" s="577">
        <v>535.08</v>
      </c>
      <c r="J371" s="204">
        <f t="shared" si="11"/>
        <v>10.701600000000001</v>
      </c>
      <c r="K371" s="51"/>
    </row>
    <row r="372" spans="1:11" ht="38.25" customHeight="1">
      <c r="A372" s="71" t="s">
        <v>380</v>
      </c>
      <c r="B372" s="650" t="s">
        <v>30</v>
      </c>
      <c r="C372" s="99" t="s">
        <v>118</v>
      </c>
      <c r="D372" s="100" t="s">
        <v>124</v>
      </c>
      <c r="E372" s="100" t="s">
        <v>195</v>
      </c>
      <c r="F372" s="100" t="s">
        <v>71</v>
      </c>
      <c r="G372" s="597">
        <v>971.68</v>
      </c>
      <c r="H372" s="597">
        <v>1510</v>
      </c>
      <c r="I372" s="577">
        <v>161.59</v>
      </c>
      <c r="J372" s="204">
        <f t="shared" si="11"/>
        <v>10.701324503311259</v>
      </c>
      <c r="K372" s="51"/>
    </row>
    <row r="373" spans="1:11" ht="18.75" customHeight="1">
      <c r="A373" s="71" t="s">
        <v>329</v>
      </c>
      <c r="B373" s="650" t="s">
        <v>30</v>
      </c>
      <c r="C373" s="99" t="s">
        <v>118</v>
      </c>
      <c r="D373" s="100" t="s">
        <v>124</v>
      </c>
      <c r="E373" s="100" t="s">
        <v>195</v>
      </c>
      <c r="F373" s="100" t="s">
        <v>168</v>
      </c>
      <c r="G373" s="597">
        <v>345012.6</v>
      </c>
      <c r="H373" s="597">
        <v>1165126.55</v>
      </c>
      <c r="I373" s="577">
        <v>549803.75</v>
      </c>
      <c r="J373" s="204">
        <f t="shared" si="11"/>
        <v>47.188329027434825</v>
      </c>
      <c r="K373" s="51"/>
    </row>
    <row r="374" spans="1:11" ht="32.25" customHeight="1">
      <c r="A374" s="71" t="s">
        <v>189</v>
      </c>
      <c r="B374" s="650" t="s">
        <v>30</v>
      </c>
      <c r="C374" s="99" t="s">
        <v>118</v>
      </c>
      <c r="D374" s="100" t="s">
        <v>124</v>
      </c>
      <c r="E374" s="100" t="s">
        <v>195</v>
      </c>
      <c r="F374" s="100" t="s">
        <v>190</v>
      </c>
      <c r="G374" s="597">
        <v>0</v>
      </c>
      <c r="H374" s="597">
        <v>61628.45</v>
      </c>
      <c r="I374" s="577">
        <v>61628.45</v>
      </c>
      <c r="J374" s="204">
        <f t="shared" si="11"/>
        <v>100</v>
      </c>
      <c r="K374" s="51"/>
    </row>
    <row r="375" spans="1:11" ht="14.25" customHeight="1">
      <c r="A375" s="85" t="s">
        <v>167</v>
      </c>
      <c r="B375" s="650" t="s">
        <v>30</v>
      </c>
      <c r="C375" s="99" t="s">
        <v>118</v>
      </c>
      <c r="D375" s="100" t="s">
        <v>124</v>
      </c>
      <c r="E375" s="100" t="s">
        <v>396</v>
      </c>
      <c r="F375" s="100" t="s">
        <v>166</v>
      </c>
      <c r="G375" s="597">
        <v>568001</v>
      </c>
      <c r="H375" s="597">
        <v>2305535</v>
      </c>
      <c r="I375" s="577">
        <v>1818025.22</v>
      </c>
      <c r="J375" s="204">
        <f t="shared" si="11"/>
        <v>78.85480897058599</v>
      </c>
      <c r="K375" s="51"/>
    </row>
    <row r="376" spans="1:11" ht="30" customHeight="1">
      <c r="A376" s="74" t="s">
        <v>397</v>
      </c>
      <c r="B376" s="650" t="s">
        <v>30</v>
      </c>
      <c r="C376" s="105" t="s">
        <v>118</v>
      </c>
      <c r="D376" s="110" t="s">
        <v>124</v>
      </c>
      <c r="E376" s="98" t="s">
        <v>209</v>
      </c>
      <c r="F376" s="100"/>
      <c r="G376" s="603">
        <f>SUM(G377:G379)</f>
        <v>27671572.299999997</v>
      </c>
      <c r="H376" s="603">
        <f>SUM(H378:H379)</f>
        <v>2464000</v>
      </c>
      <c r="I376" s="583">
        <f>SUM(I378:I379)</f>
        <v>1202004.73</v>
      </c>
      <c r="J376" s="204">
        <f t="shared" si="11"/>
        <v>48.78265949675325</v>
      </c>
      <c r="K376" s="51"/>
    </row>
    <row r="377" spans="1:11" ht="30" customHeight="1">
      <c r="A377" s="206" t="s">
        <v>265</v>
      </c>
      <c r="B377" s="650" t="s">
        <v>30</v>
      </c>
      <c r="C377" s="106" t="s">
        <v>118</v>
      </c>
      <c r="D377" s="104" t="s">
        <v>124</v>
      </c>
      <c r="E377" s="100" t="s">
        <v>209</v>
      </c>
      <c r="F377" s="100" t="s">
        <v>263</v>
      </c>
      <c r="G377" s="597">
        <v>1699913.34</v>
      </c>
      <c r="H377" s="597">
        <v>0</v>
      </c>
      <c r="I377" s="577">
        <v>0</v>
      </c>
      <c r="J377" s="204" t="e">
        <f t="shared" si="11"/>
        <v>#DIV/0!</v>
      </c>
      <c r="K377" s="51"/>
    </row>
    <row r="378" spans="1:11" ht="24" customHeight="1">
      <c r="A378" s="71" t="s">
        <v>440</v>
      </c>
      <c r="B378" s="650" t="s">
        <v>30</v>
      </c>
      <c r="C378" s="106" t="s">
        <v>118</v>
      </c>
      <c r="D378" s="104" t="s">
        <v>124</v>
      </c>
      <c r="E378" s="100" t="s">
        <v>209</v>
      </c>
      <c r="F378" s="100" t="s">
        <v>168</v>
      </c>
      <c r="G378" s="597">
        <v>24103327.99</v>
      </c>
      <c r="H378" s="597">
        <v>2109887</v>
      </c>
      <c r="I378" s="577">
        <v>963562.31</v>
      </c>
      <c r="J378" s="204">
        <f t="shared" si="11"/>
        <v>45.66890596510619</v>
      </c>
      <c r="K378" s="51"/>
    </row>
    <row r="379" spans="1:11" ht="18" customHeight="1">
      <c r="A379" s="85" t="s">
        <v>167</v>
      </c>
      <c r="B379" s="650" t="s">
        <v>30</v>
      </c>
      <c r="C379" s="106" t="s">
        <v>118</v>
      </c>
      <c r="D379" s="104" t="s">
        <v>124</v>
      </c>
      <c r="E379" s="100" t="s">
        <v>209</v>
      </c>
      <c r="F379" s="100" t="s">
        <v>166</v>
      </c>
      <c r="G379" s="597">
        <v>1868330.97</v>
      </c>
      <c r="H379" s="597">
        <v>354113</v>
      </c>
      <c r="I379" s="577">
        <v>238442.42</v>
      </c>
      <c r="J379" s="204">
        <f t="shared" si="11"/>
        <v>67.33512183963877</v>
      </c>
      <c r="K379" s="51"/>
    </row>
    <row r="380" spans="1:11" ht="90" customHeight="1">
      <c r="A380" s="428" t="s">
        <v>863</v>
      </c>
      <c r="B380" s="650" t="s">
        <v>30</v>
      </c>
      <c r="C380" s="105" t="s">
        <v>118</v>
      </c>
      <c r="D380" s="110" t="s">
        <v>124</v>
      </c>
      <c r="E380" s="98" t="s">
        <v>866</v>
      </c>
      <c r="F380" s="100"/>
      <c r="G380" s="603">
        <f>SUM(G381:G382)</f>
        <v>534042.3</v>
      </c>
      <c r="H380" s="603">
        <f>SUM(H382:H382)</f>
        <v>0</v>
      </c>
      <c r="I380" s="583">
        <f>SUM(I382:I382)</f>
        <v>0</v>
      </c>
      <c r="J380" s="204" t="e">
        <f t="shared" si="11"/>
        <v>#DIV/0!</v>
      </c>
      <c r="K380" s="51"/>
    </row>
    <row r="381" spans="1:11" ht="27.75" customHeight="1">
      <c r="A381" s="71" t="s">
        <v>381</v>
      </c>
      <c r="B381" s="650" t="s">
        <v>30</v>
      </c>
      <c r="C381" s="106" t="s">
        <v>118</v>
      </c>
      <c r="D381" s="104" t="s">
        <v>124</v>
      </c>
      <c r="E381" s="100" t="s">
        <v>866</v>
      </c>
      <c r="F381" s="100" t="s">
        <v>231</v>
      </c>
      <c r="G381" s="597">
        <v>196026.79</v>
      </c>
      <c r="H381" s="597">
        <v>0</v>
      </c>
      <c r="I381" s="577">
        <v>0</v>
      </c>
      <c r="J381" s="204" t="e">
        <f t="shared" si="11"/>
        <v>#DIV/0!</v>
      </c>
      <c r="K381" s="51"/>
    </row>
    <row r="382" spans="1:11" ht="18" customHeight="1">
      <c r="A382" s="85" t="s">
        <v>167</v>
      </c>
      <c r="B382" s="650" t="s">
        <v>30</v>
      </c>
      <c r="C382" s="106" t="s">
        <v>118</v>
      </c>
      <c r="D382" s="104" t="s">
        <v>124</v>
      </c>
      <c r="E382" s="100" t="s">
        <v>866</v>
      </c>
      <c r="F382" s="100" t="s">
        <v>166</v>
      </c>
      <c r="G382" s="597">
        <v>338015.51</v>
      </c>
      <c r="H382" s="597">
        <v>0</v>
      </c>
      <c r="I382" s="577">
        <v>0</v>
      </c>
      <c r="J382" s="204" t="e">
        <f t="shared" si="11"/>
        <v>#DIV/0!</v>
      </c>
      <c r="K382" s="51"/>
    </row>
    <row r="383" spans="1:11" ht="111" customHeight="1">
      <c r="A383" s="74" t="s">
        <v>558</v>
      </c>
      <c r="B383" s="650" t="s">
        <v>30</v>
      </c>
      <c r="C383" s="116" t="s">
        <v>118</v>
      </c>
      <c r="D383" s="111" t="s">
        <v>124</v>
      </c>
      <c r="E383" s="103" t="s">
        <v>310</v>
      </c>
      <c r="F383" s="111"/>
      <c r="G383" s="603">
        <f>SUM(G384:G386)</f>
        <v>8938085.969999999</v>
      </c>
      <c r="H383" s="603">
        <f>SUM(H384:H386)</f>
        <v>13007000</v>
      </c>
      <c r="I383" s="583">
        <f>SUM(I384:I386)</f>
        <v>9489723.83</v>
      </c>
      <c r="J383" s="204">
        <f t="shared" si="11"/>
        <v>72.95859022065042</v>
      </c>
      <c r="K383" s="51"/>
    </row>
    <row r="384" spans="1:11" ht="17.25" customHeight="1">
      <c r="A384" s="71" t="s">
        <v>391</v>
      </c>
      <c r="B384" s="650" t="s">
        <v>30</v>
      </c>
      <c r="C384" s="106" t="s">
        <v>118</v>
      </c>
      <c r="D384" s="104" t="s">
        <v>124</v>
      </c>
      <c r="E384" s="100" t="s">
        <v>310</v>
      </c>
      <c r="F384" s="104" t="s">
        <v>230</v>
      </c>
      <c r="G384" s="597">
        <v>3348435.84</v>
      </c>
      <c r="H384" s="597">
        <v>4706746</v>
      </c>
      <c r="I384" s="577">
        <v>3354348.74</v>
      </c>
      <c r="J384" s="204">
        <f t="shared" si="11"/>
        <v>71.26683147975268</v>
      </c>
      <c r="K384" s="51"/>
    </row>
    <row r="385" spans="1:11" ht="42" customHeight="1">
      <c r="A385" s="71" t="s">
        <v>380</v>
      </c>
      <c r="B385" s="650" t="s">
        <v>30</v>
      </c>
      <c r="C385" s="106" t="s">
        <v>118</v>
      </c>
      <c r="D385" s="104" t="s">
        <v>124</v>
      </c>
      <c r="E385" s="100" t="s">
        <v>310</v>
      </c>
      <c r="F385" s="104" t="s">
        <v>71</v>
      </c>
      <c r="G385" s="597">
        <v>838767.92</v>
      </c>
      <c r="H385" s="597">
        <v>1421535.3</v>
      </c>
      <c r="I385" s="577">
        <v>1009276.93</v>
      </c>
      <c r="J385" s="204">
        <f t="shared" si="11"/>
        <v>70.9990761397202</v>
      </c>
      <c r="K385" s="51"/>
    </row>
    <row r="386" spans="1:11" ht="14.25" customHeight="1">
      <c r="A386" s="85" t="s">
        <v>167</v>
      </c>
      <c r="B386" s="650" t="s">
        <v>30</v>
      </c>
      <c r="C386" s="106" t="s">
        <v>118</v>
      </c>
      <c r="D386" s="104" t="s">
        <v>124</v>
      </c>
      <c r="E386" s="100" t="s">
        <v>310</v>
      </c>
      <c r="F386" s="104" t="s">
        <v>166</v>
      </c>
      <c r="G386" s="597">
        <v>4750882.21</v>
      </c>
      <c r="H386" s="597">
        <v>6878718.7</v>
      </c>
      <c r="I386" s="577">
        <v>5126098.16</v>
      </c>
      <c r="J386" s="204">
        <f t="shared" si="11"/>
        <v>74.52111917296457</v>
      </c>
      <c r="K386" s="51"/>
    </row>
    <row r="387" spans="1:11" ht="30" customHeight="1">
      <c r="A387" s="79" t="s">
        <v>398</v>
      </c>
      <c r="B387" s="650" t="s">
        <v>30</v>
      </c>
      <c r="C387" s="116" t="s">
        <v>118</v>
      </c>
      <c r="D387" s="111" t="s">
        <v>124</v>
      </c>
      <c r="E387" s="103" t="s">
        <v>311</v>
      </c>
      <c r="F387" s="111"/>
      <c r="G387" s="603">
        <f>SUM(G388:G391)</f>
        <v>3114159.4899999998</v>
      </c>
      <c r="H387" s="603">
        <f>SUM(H388:H391)</f>
        <v>7896700</v>
      </c>
      <c r="I387" s="583">
        <f>SUM(I388:I391)</f>
        <v>3106778.2300000004</v>
      </c>
      <c r="J387" s="204">
        <f t="shared" si="11"/>
        <v>39.3427410184001</v>
      </c>
      <c r="K387" s="51"/>
    </row>
    <row r="388" spans="1:11" ht="22.5" customHeight="1">
      <c r="A388" s="71" t="s">
        <v>559</v>
      </c>
      <c r="B388" s="650" t="s">
        <v>30</v>
      </c>
      <c r="C388" s="106" t="s">
        <v>118</v>
      </c>
      <c r="D388" s="104" t="s">
        <v>124</v>
      </c>
      <c r="E388" s="100" t="s">
        <v>311</v>
      </c>
      <c r="F388" s="104" t="s">
        <v>168</v>
      </c>
      <c r="G388" s="597">
        <v>778116.45</v>
      </c>
      <c r="H388" s="597">
        <v>1973925</v>
      </c>
      <c r="I388" s="577">
        <v>784718.4</v>
      </c>
      <c r="J388" s="204">
        <f t="shared" si="11"/>
        <v>39.754215585698546</v>
      </c>
      <c r="K388" s="51"/>
    </row>
    <row r="389" spans="1:11" ht="15" customHeight="1">
      <c r="A389" s="71" t="s">
        <v>439</v>
      </c>
      <c r="B389" s="650" t="s">
        <v>30</v>
      </c>
      <c r="C389" s="106" t="s">
        <v>118</v>
      </c>
      <c r="D389" s="104" t="s">
        <v>124</v>
      </c>
      <c r="E389" s="100" t="s">
        <v>311</v>
      </c>
      <c r="F389" s="104" t="s">
        <v>168</v>
      </c>
      <c r="G389" s="597">
        <v>98.56</v>
      </c>
      <c r="H389" s="597">
        <v>250</v>
      </c>
      <c r="I389" s="577">
        <v>99.4</v>
      </c>
      <c r="J389" s="204">
        <f t="shared" si="11"/>
        <v>39.76</v>
      </c>
      <c r="K389" s="51"/>
    </row>
    <row r="390" spans="1:11" ht="18.75" customHeight="1">
      <c r="A390" s="85" t="s">
        <v>399</v>
      </c>
      <c r="B390" s="650" t="s">
        <v>30</v>
      </c>
      <c r="C390" s="106" t="s">
        <v>118</v>
      </c>
      <c r="D390" s="104" t="s">
        <v>124</v>
      </c>
      <c r="E390" s="100" t="s">
        <v>311</v>
      </c>
      <c r="F390" s="104" t="s">
        <v>166</v>
      </c>
      <c r="G390" s="597">
        <v>2335648.63</v>
      </c>
      <c r="H390" s="597">
        <v>5921775</v>
      </c>
      <c r="I390" s="577">
        <v>2321666.35</v>
      </c>
      <c r="J390" s="204">
        <f t="shared" si="11"/>
        <v>39.20558194122539</v>
      </c>
      <c r="K390" s="51"/>
    </row>
    <row r="391" spans="1:11" ht="18" customHeight="1">
      <c r="A391" s="85" t="s">
        <v>395</v>
      </c>
      <c r="B391" s="650" t="s">
        <v>30</v>
      </c>
      <c r="C391" s="106" t="s">
        <v>118</v>
      </c>
      <c r="D391" s="104" t="s">
        <v>124</v>
      </c>
      <c r="E391" s="100" t="s">
        <v>311</v>
      </c>
      <c r="F391" s="104" t="s">
        <v>166</v>
      </c>
      <c r="G391" s="597">
        <v>295.85</v>
      </c>
      <c r="H391" s="597">
        <v>750</v>
      </c>
      <c r="I391" s="577">
        <v>294.08</v>
      </c>
      <c r="J391" s="204">
        <f t="shared" si="11"/>
        <v>39.21066666666667</v>
      </c>
      <c r="K391" s="51"/>
    </row>
    <row r="392" spans="1:11" ht="36.75" customHeight="1">
      <c r="A392" s="74" t="s">
        <v>148</v>
      </c>
      <c r="B392" s="650" t="s">
        <v>30</v>
      </c>
      <c r="C392" s="105" t="s">
        <v>118</v>
      </c>
      <c r="D392" s="110" t="s">
        <v>124</v>
      </c>
      <c r="E392" s="98" t="s">
        <v>149</v>
      </c>
      <c r="F392" s="123"/>
      <c r="G392" s="603">
        <f>SUM(G393:G395)</f>
        <v>235396.21000000002</v>
      </c>
      <c r="H392" s="603">
        <f>SUM(H393:H395)</f>
        <v>273800</v>
      </c>
      <c r="I392" s="583">
        <f>SUM(I393:I395)</f>
        <v>142111.26</v>
      </c>
      <c r="J392" s="204">
        <f t="shared" si="11"/>
        <v>51.903308984660335</v>
      </c>
      <c r="K392" s="51"/>
    </row>
    <row r="393" spans="1:11" ht="27" customHeight="1">
      <c r="A393" s="71" t="s">
        <v>265</v>
      </c>
      <c r="B393" s="650" t="s">
        <v>30</v>
      </c>
      <c r="C393" s="99" t="s">
        <v>118</v>
      </c>
      <c r="D393" s="100" t="s">
        <v>124</v>
      </c>
      <c r="E393" s="100" t="s">
        <v>149</v>
      </c>
      <c r="F393" s="100" t="s">
        <v>263</v>
      </c>
      <c r="G393" s="597">
        <v>86.66</v>
      </c>
      <c r="H393" s="597">
        <v>0</v>
      </c>
      <c r="I393" s="577">
        <v>0</v>
      </c>
      <c r="J393" s="204" t="e">
        <f t="shared" si="11"/>
        <v>#DIV/0!</v>
      </c>
      <c r="K393" s="51"/>
    </row>
    <row r="394" spans="1:11" ht="14.25" customHeight="1">
      <c r="A394" s="71" t="s">
        <v>329</v>
      </c>
      <c r="B394" s="650" t="s">
        <v>30</v>
      </c>
      <c r="C394" s="99" t="s">
        <v>118</v>
      </c>
      <c r="D394" s="100" t="s">
        <v>124</v>
      </c>
      <c r="E394" s="100" t="s">
        <v>149</v>
      </c>
      <c r="F394" s="100" t="s">
        <v>168</v>
      </c>
      <c r="G394" s="597">
        <v>219954.1</v>
      </c>
      <c r="H394" s="597">
        <v>234454</v>
      </c>
      <c r="I394" s="577">
        <v>121959.39</v>
      </c>
      <c r="J394" s="204">
        <f t="shared" si="11"/>
        <v>52.01847270679962</v>
      </c>
      <c r="K394" s="51"/>
    </row>
    <row r="395" spans="1:11" ht="18" customHeight="1">
      <c r="A395" s="85" t="s">
        <v>167</v>
      </c>
      <c r="B395" s="650" t="s">
        <v>30</v>
      </c>
      <c r="C395" s="99" t="s">
        <v>118</v>
      </c>
      <c r="D395" s="100" t="s">
        <v>124</v>
      </c>
      <c r="E395" s="100" t="s">
        <v>149</v>
      </c>
      <c r="F395" s="100" t="s">
        <v>166</v>
      </c>
      <c r="G395" s="597">
        <v>15355.45</v>
      </c>
      <c r="H395" s="597">
        <v>39346</v>
      </c>
      <c r="I395" s="577">
        <v>20151.87</v>
      </c>
      <c r="J395" s="204">
        <f t="shared" si="11"/>
        <v>51.21707416255782</v>
      </c>
      <c r="K395" s="51"/>
    </row>
    <row r="396" spans="1:11" ht="68.25" customHeight="1">
      <c r="A396" s="74" t="s">
        <v>712</v>
      </c>
      <c r="B396" s="650" t="s">
        <v>30</v>
      </c>
      <c r="C396" s="105" t="s">
        <v>118</v>
      </c>
      <c r="D396" s="110" t="s">
        <v>124</v>
      </c>
      <c r="E396" s="98" t="s">
        <v>696</v>
      </c>
      <c r="F396" s="123"/>
      <c r="G396" s="603">
        <f>SUM(G397:G399)</f>
        <v>0</v>
      </c>
      <c r="H396" s="603">
        <f>SUM(H397:H399)</f>
        <v>1000</v>
      </c>
      <c r="I396" s="583">
        <f>SUM(I397:I399)</f>
        <v>357.6</v>
      </c>
      <c r="J396" s="204">
        <f aca="true" t="shared" si="12" ref="J396:J459">I396/H396*100</f>
        <v>35.760000000000005</v>
      </c>
      <c r="K396" s="51"/>
    </row>
    <row r="397" spans="1:11" ht="31.5" customHeight="1">
      <c r="A397" s="71" t="s">
        <v>265</v>
      </c>
      <c r="B397" s="650" t="s">
        <v>30</v>
      </c>
      <c r="C397" s="99" t="s">
        <v>118</v>
      </c>
      <c r="D397" s="100" t="s">
        <v>124</v>
      </c>
      <c r="E397" s="100" t="s">
        <v>696</v>
      </c>
      <c r="F397" s="100" t="s">
        <v>263</v>
      </c>
      <c r="G397" s="597">
        <v>0</v>
      </c>
      <c r="H397" s="597">
        <v>330.03</v>
      </c>
      <c r="I397" s="577">
        <v>206.46</v>
      </c>
      <c r="J397" s="204">
        <f t="shared" si="12"/>
        <v>62.55794927733843</v>
      </c>
      <c r="K397" s="51"/>
    </row>
    <row r="398" spans="1:11" ht="14.25" customHeight="1">
      <c r="A398" s="71" t="s">
        <v>329</v>
      </c>
      <c r="B398" s="650" t="s">
        <v>30</v>
      </c>
      <c r="C398" s="99" t="s">
        <v>118</v>
      </c>
      <c r="D398" s="100" t="s">
        <v>124</v>
      </c>
      <c r="E398" s="100" t="s">
        <v>696</v>
      </c>
      <c r="F398" s="100" t="s">
        <v>168</v>
      </c>
      <c r="G398" s="597">
        <v>0</v>
      </c>
      <c r="H398" s="597">
        <v>269.97</v>
      </c>
      <c r="I398" s="577">
        <v>129.99</v>
      </c>
      <c r="J398" s="204">
        <f t="shared" si="12"/>
        <v>48.1497944216024</v>
      </c>
      <c r="K398" s="51"/>
    </row>
    <row r="399" spans="1:11" ht="15.75" customHeight="1">
      <c r="A399" s="85" t="s">
        <v>167</v>
      </c>
      <c r="B399" s="650" t="s">
        <v>30</v>
      </c>
      <c r="C399" s="99" t="s">
        <v>118</v>
      </c>
      <c r="D399" s="100" t="s">
        <v>124</v>
      </c>
      <c r="E399" s="100" t="s">
        <v>696</v>
      </c>
      <c r="F399" s="100" t="s">
        <v>166</v>
      </c>
      <c r="G399" s="597">
        <v>0</v>
      </c>
      <c r="H399" s="597">
        <v>400</v>
      </c>
      <c r="I399" s="577">
        <v>21.15</v>
      </c>
      <c r="J399" s="204">
        <f t="shared" si="12"/>
        <v>5.2875</v>
      </c>
      <c r="K399" s="51"/>
    </row>
    <row r="400" spans="1:11" ht="68.25" customHeight="1">
      <c r="A400" s="74" t="s">
        <v>560</v>
      </c>
      <c r="B400" s="650" t="s">
        <v>30</v>
      </c>
      <c r="C400" s="105" t="s">
        <v>118</v>
      </c>
      <c r="D400" s="110" t="s">
        <v>124</v>
      </c>
      <c r="E400" s="98" t="s">
        <v>618</v>
      </c>
      <c r="F400" s="123"/>
      <c r="G400" s="603">
        <f>SUM(G401:G403)</f>
        <v>0</v>
      </c>
      <c r="H400" s="603">
        <f>SUM(H401:H403)</f>
        <v>21046800</v>
      </c>
      <c r="I400" s="583">
        <f>SUM(I401:I403)</f>
        <v>5995109.59</v>
      </c>
      <c r="J400" s="204">
        <f t="shared" si="12"/>
        <v>28.48466080354258</v>
      </c>
      <c r="K400" s="51"/>
    </row>
    <row r="401" spans="1:11" ht="32.25" customHeight="1">
      <c r="A401" s="71" t="s">
        <v>265</v>
      </c>
      <c r="B401" s="650" t="s">
        <v>30</v>
      </c>
      <c r="C401" s="99" t="s">
        <v>118</v>
      </c>
      <c r="D401" s="100" t="s">
        <v>124</v>
      </c>
      <c r="E401" s="100" t="s">
        <v>618</v>
      </c>
      <c r="F401" s="100" t="s">
        <v>263</v>
      </c>
      <c r="G401" s="597">
        <v>0</v>
      </c>
      <c r="H401" s="597">
        <v>9729051</v>
      </c>
      <c r="I401" s="577">
        <v>4250119.54</v>
      </c>
      <c r="J401" s="204">
        <f t="shared" si="12"/>
        <v>43.68483154215144</v>
      </c>
      <c r="K401" s="51"/>
    </row>
    <row r="402" spans="1:11" ht="11.25" customHeight="1">
      <c r="A402" s="71" t="s">
        <v>329</v>
      </c>
      <c r="B402" s="650" t="s">
        <v>30</v>
      </c>
      <c r="C402" s="99" t="s">
        <v>118</v>
      </c>
      <c r="D402" s="100" t="s">
        <v>124</v>
      </c>
      <c r="E402" s="100" t="s">
        <v>618</v>
      </c>
      <c r="F402" s="100" t="s">
        <v>168</v>
      </c>
      <c r="G402" s="597">
        <v>0</v>
      </c>
      <c r="H402" s="597">
        <v>3000000</v>
      </c>
      <c r="I402" s="577">
        <v>1309779.48</v>
      </c>
      <c r="J402" s="204">
        <f t="shared" si="12"/>
        <v>43.659316</v>
      </c>
      <c r="K402" s="51"/>
    </row>
    <row r="403" spans="1:11" ht="15.75" customHeight="1">
      <c r="A403" s="85" t="s">
        <v>167</v>
      </c>
      <c r="B403" s="650" t="s">
        <v>30</v>
      </c>
      <c r="C403" s="99" t="s">
        <v>118</v>
      </c>
      <c r="D403" s="100" t="s">
        <v>124</v>
      </c>
      <c r="E403" s="100" t="s">
        <v>618</v>
      </c>
      <c r="F403" s="100" t="s">
        <v>166</v>
      </c>
      <c r="G403" s="597">
        <v>0</v>
      </c>
      <c r="H403" s="597">
        <v>8317749</v>
      </c>
      <c r="I403" s="577">
        <v>435210.57</v>
      </c>
      <c r="J403" s="204">
        <f t="shared" si="12"/>
        <v>5.23231189111381</v>
      </c>
      <c r="K403" s="51"/>
    </row>
    <row r="404" spans="1:11" ht="50.25" customHeight="1">
      <c r="A404" s="74" t="s">
        <v>561</v>
      </c>
      <c r="B404" s="650" t="s">
        <v>30</v>
      </c>
      <c r="C404" s="105" t="s">
        <v>118</v>
      </c>
      <c r="D404" s="110" t="s">
        <v>124</v>
      </c>
      <c r="E404" s="98" t="s">
        <v>619</v>
      </c>
      <c r="F404" s="123"/>
      <c r="G404" s="603">
        <f>SUM(G405:G410)</f>
        <v>0</v>
      </c>
      <c r="H404" s="603">
        <f>SUM(H405:H410)</f>
        <v>1770800</v>
      </c>
      <c r="I404" s="583">
        <f>SUM(I405:I410)</f>
        <v>866520.76</v>
      </c>
      <c r="J404" s="204">
        <f t="shared" si="12"/>
        <v>48.933858143212106</v>
      </c>
      <c r="K404" s="51"/>
    </row>
    <row r="405" spans="1:11" ht="29.25" customHeight="1">
      <c r="A405" s="71" t="s">
        <v>562</v>
      </c>
      <c r="B405" s="650" t="s">
        <v>30</v>
      </c>
      <c r="C405" s="99" t="s">
        <v>118</v>
      </c>
      <c r="D405" s="100" t="s">
        <v>124</v>
      </c>
      <c r="E405" s="100" t="s">
        <v>619</v>
      </c>
      <c r="F405" s="100" t="s">
        <v>230</v>
      </c>
      <c r="G405" s="597">
        <v>0</v>
      </c>
      <c r="H405" s="597">
        <v>741684</v>
      </c>
      <c r="I405" s="577">
        <v>358065.07</v>
      </c>
      <c r="J405" s="204">
        <f t="shared" si="12"/>
        <v>48.27730812583256</v>
      </c>
      <c r="K405" s="51"/>
    </row>
    <row r="406" spans="1:11" ht="33.75" customHeight="1">
      <c r="A406" s="71" t="s">
        <v>563</v>
      </c>
      <c r="B406" s="650" t="s">
        <v>30</v>
      </c>
      <c r="C406" s="99" t="s">
        <v>118</v>
      </c>
      <c r="D406" s="100" t="s">
        <v>124</v>
      </c>
      <c r="E406" s="100" t="s">
        <v>619</v>
      </c>
      <c r="F406" s="100" t="s">
        <v>230</v>
      </c>
      <c r="G406" s="597">
        <v>0</v>
      </c>
      <c r="H406" s="597">
        <v>167.58</v>
      </c>
      <c r="I406" s="577">
        <v>80.92</v>
      </c>
      <c r="J406" s="204">
        <f t="shared" si="12"/>
        <v>48.28738512949039</v>
      </c>
      <c r="K406" s="51"/>
    </row>
    <row r="407" spans="1:11" ht="42.75" customHeight="1">
      <c r="A407" s="71" t="s">
        <v>564</v>
      </c>
      <c r="B407" s="650" t="s">
        <v>30</v>
      </c>
      <c r="C407" s="99" t="s">
        <v>118</v>
      </c>
      <c r="D407" s="100" t="s">
        <v>124</v>
      </c>
      <c r="E407" s="100" t="s">
        <v>619</v>
      </c>
      <c r="F407" s="100" t="s">
        <v>71</v>
      </c>
      <c r="G407" s="597">
        <v>0</v>
      </c>
      <c r="H407" s="597">
        <v>223988</v>
      </c>
      <c r="I407" s="577">
        <v>102817.53</v>
      </c>
      <c r="J407" s="204">
        <f t="shared" si="12"/>
        <v>45.90314213261424</v>
      </c>
      <c r="K407" s="51"/>
    </row>
    <row r="408" spans="1:11" ht="25.5" customHeight="1">
      <c r="A408" s="71" t="s">
        <v>565</v>
      </c>
      <c r="B408" s="650" t="s">
        <v>30</v>
      </c>
      <c r="C408" s="99" t="s">
        <v>118</v>
      </c>
      <c r="D408" s="100" t="s">
        <v>124</v>
      </c>
      <c r="E408" s="100" t="s">
        <v>619</v>
      </c>
      <c r="F408" s="100" t="s">
        <v>71</v>
      </c>
      <c r="G408" s="597">
        <v>0</v>
      </c>
      <c r="H408" s="597">
        <v>50.6</v>
      </c>
      <c r="I408" s="577">
        <v>23.23</v>
      </c>
      <c r="J408" s="204">
        <f t="shared" si="12"/>
        <v>45.909090909090914</v>
      </c>
      <c r="K408" s="51"/>
    </row>
    <row r="409" spans="1:11" ht="27" customHeight="1">
      <c r="A409" s="85" t="s">
        <v>566</v>
      </c>
      <c r="B409" s="650" t="s">
        <v>30</v>
      </c>
      <c r="C409" s="99" t="s">
        <v>118</v>
      </c>
      <c r="D409" s="100" t="s">
        <v>124</v>
      </c>
      <c r="E409" s="100" t="s">
        <v>619</v>
      </c>
      <c r="F409" s="100" t="s">
        <v>166</v>
      </c>
      <c r="G409" s="597">
        <v>0</v>
      </c>
      <c r="H409" s="597">
        <v>804728</v>
      </c>
      <c r="I409" s="577">
        <v>405442.38</v>
      </c>
      <c r="J409" s="204">
        <f t="shared" si="12"/>
        <v>50.38253670805539</v>
      </c>
      <c r="K409" s="51"/>
    </row>
    <row r="410" spans="1:11" ht="30.75" customHeight="1">
      <c r="A410" s="85" t="s">
        <v>567</v>
      </c>
      <c r="B410" s="650" t="s">
        <v>30</v>
      </c>
      <c r="C410" s="99" t="s">
        <v>118</v>
      </c>
      <c r="D410" s="100" t="s">
        <v>124</v>
      </c>
      <c r="E410" s="100" t="s">
        <v>619</v>
      </c>
      <c r="F410" s="100" t="s">
        <v>166</v>
      </c>
      <c r="G410" s="597">
        <v>0</v>
      </c>
      <c r="H410" s="597">
        <v>181.82</v>
      </c>
      <c r="I410" s="577">
        <v>91.63</v>
      </c>
      <c r="J410" s="204">
        <f t="shared" si="12"/>
        <v>50.395996040039606</v>
      </c>
      <c r="K410" s="51"/>
    </row>
    <row r="411" spans="1:11" ht="63" customHeight="1">
      <c r="A411" s="74" t="s">
        <v>869</v>
      </c>
      <c r="B411" s="650" t="s">
        <v>30</v>
      </c>
      <c r="C411" s="105" t="s">
        <v>118</v>
      </c>
      <c r="D411" s="110" t="s">
        <v>124</v>
      </c>
      <c r="E411" s="98" t="s">
        <v>867</v>
      </c>
      <c r="F411" s="123"/>
      <c r="G411" s="603">
        <f>SUM(G412:G413)</f>
        <v>542256.82</v>
      </c>
      <c r="H411" s="603">
        <f>SUM(H412:H413)</f>
        <v>0</v>
      </c>
      <c r="I411" s="583">
        <f>SUM(I412:I413)</f>
        <v>0</v>
      </c>
      <c r="J411" s="204" t="e">
        <f t="shared" si="12"/>
        <v>#DIV/0!</v>
      </c>
      <c r="K411" s="51"/>
    </row>
    <row r="412" spans="1:11" ht="15" customHeight="1">
      <c r="A412" s="71" t="s">
        <v>329</v>
      </c>
      <c r="B412" s="650" t="s">
        <v>30</v>
      </c>
      <c r="C412" s="99" t="s">
        <v>118</v>
      </c>
      <c r="D412" s="100" t="s">
        <v>124</v>
      </c>
      <c r="E412" s="100" t="s">
        <v>867</v>
      </c>
      <c r="F412" s="100" t="s">
        <v>168</v>
      </c>
      <c r="G412" s="597">
        <v>447549.55</v>
      </c>
      <c r="H412" s="597">
        <v>0</v>
      </c>
      <c r="I412" s="577">
        <v>0</v>
      </c>
      <c r="J412" s="204" t="e">
        <f t="shared" si="12"/>
        <v>#DIV/0!</v>
      </c>
      <c r="K412" s="51"/>
    </row>
    <row r="413" spans="1:11" ht="15" customHeight="1">
      <c r="A413" s="85" t="s">
        <v>868</v>
      </c>
      <c r="B413" s="650" t="s">
        <v>30</v>
      </c>
      <c r="C413" s="99" t="s">
        <v>118</v>
      </c>
      <c r="D413" s="100" t="s">
        <v>124</v>
      </c>
      <c r="E413" s="100" t="s">
        <v>867</v>
      </c>
      <c r="F413" s="100" t="s">
        <v>166</v>
      </c>
      <c r="G413" s="597">
        <v>94707.27</v>
      </c>
      <c r="H413" s="597">
        <v>0</v>
      </c>
      <c r="I413" s="577">
        <v>0</v>
      </c>
      <c r="J413" s="204" t="e">
        <f t="shared" si="12"/>
        <v>#DIV/0!</v>
      </c>
      <c r="K413" s="51"/>
    </row>
    <row r="414" spans="1:11" ht="16.5" customHeight="1">
      <c r="A414" s="645" t="s">
        <v>113</v>
      </c>
      <c r="B414" s="632" t="s">
        <v>30</v>
      </c>
      <c r="C414" s="196" t="s">
        <v>118</v>
      </c>
      <c r="D414" s="646" t="s">
        <v>126</v>
      </c>
      <c r="E414" s="638"/>
      <c r="F414" s="647"/>
      <c r="G414" s="648">
        <f>G415+G417+G419+G421+G423+G425</f>
        <v>14426216.46</v>
      </c>
      <c r="H414" s="648">
        <f>H415+H417+H419+H421+H423+H425</f>
        <v>19450445.12</v>
      </c>
      <c r="I414" s="649">
        <f>I415+I417+I419+I421+I423+I425</f>
        <v>15241649.06</v>
      </c>
      <c r="J414" s="634">
        <f t="shared" si="12"/>
        <v>78.3614409128751</v>
      </c>
      <c r="K414" s="51"/>
    </row>
    <row r="415" spans="1:11" ht="33" customHeight="1">
      <c r="A415" s="79" t="s">
        <v>526</v>
      </c>
      <c r="B415" s="650" t="s">
        <v>30</v>
      </c>
      <c r="C415" s="105" t="s">
        <v>118</v>
      </c>
      <c r="D415" s="110" t="s">
        <v>126</v>
      </c>
      <c r="E415" s="98" t="s">
        <v>323</v>
      </c>
      <c r="F415" s="104"/>
      <c r="G415" s="603">
        <f>G416</f>
        <v>1308053.05</v>
      </c>
      <c r="H415" s="603">
        <f>H416</f>
        <v>1800000</v>
      </c>
      <c r="I415" s="583">
        <f>I416</f>
        <v>1732807.53</v>
      </c>
      <c r="J415" s="204">
        <f t="shared" si="12"/>
        <v>96.267085</v>
      </c>
      <c r="K415" s="51"/>
    </row>
    <row r="416" spans="1:11" ht="59.25" customHeight="1">
      <c r="A416" s="71" t="s">
        <v>0</v>
      </c>
      <c r="B416" s="650" t="s">
        <v>30</v>
      </c>
      <c r="C416" s="106" t="s">
        <v>118</v>
      </c>
      <c r="D416" s="104" t="s">
        <v>126</v>
      </c>
      <c r="E416" s="100" t="s">
        <v>323</v>
      </c>
      <c r="F416" s="104" t="s">
        <v>1</v>
      </c>
      <c r="G416" s="597">
        <v>1308053.05</v>
      </c>
      <c r="H416" s="597">
        <v>1800000</v>
      </c>
      <c r="I416" s="577">
        <v>1732807.53</v>
      </c>
      <c r="J416" s="204">
        <f t="shared" si="12"/>
        <v>96.267085</v>
      </c>
      <c r="K416" s="51"/>
    </row>
    <row r="417" spans="1:11" ht="27.75" customHeight="1">
      <c r="A417" s="72" t="s">
        <v>401</v>
      </c>
      <c r="B417" s="650" t="s">
        <v>30</v>
      </c>
      <c r="C417" s="105" t="s">
        <v>118</v>
      </c>
      <c r="D417" s="110" t="s">
        <v>126</v>
      </c>
      <c r="E417" s="98" t="s">
        <v>194</v>
      </c>
      <c r="F417" s="104"/>
      <c r="G417" s="603">
        <f>G418</f>
        <v>9348189.94</v>
      </c>
      <c r="H417" s="603">
        <f>H418</f>
        <v>9400000</v>
      </c>
      <c r="I417" s="583">
        <f>I418</f>
        <v>9333165.46</v>
      </c>
      <c r="J417" s="204">
        <f t="shared" si="12"/>
        <v>99.28899425531917</v>
      </c>
      <c r="K417" s="51"/>
    </row>
    <row r="418" spans="1:11" ht="63.75" customHeight="1">
      <c r="A418" s="71" t="s">
        <v>0</v>
      </c>
      <c r="B418" s="650" t="s">
        <v>30</v>
      </c>
      <c r="C418" s="106" t="s">
        <v>118</v>
      </c>
      <c r="D418" s="104" t="s">
        <v>126</v>
      </c>
      <c r="E418" s="100" t="s">
        <v>194</v>
      </c>
      <c r="F418" s="104" t="s">
        <v>1</v>
      </c>
      <c r="G418" s="597">
        <v>9348189.94</v>
      </c>
      <c r="H418" s="597">
        <v>9400000</v>
      </c>
      <c r="I418" s="577">
        <v>9333165.46</v>
      </c>
      <c r="J418" s="204">
        <f t="shared" si="12"/>
        <v>99.28899425531917</v>
      </c>
      <c r="K418" s="51"/>
    </row>
    <row r="419" spans="1:11" ht="29.25" customHeight="1">
      <c r="A419" s="72" t="s">
        <v>261</v>
      </c>
      <c r="B419" s="650" t="s">
        <v>30</v>
      </c>
      <c r="C419" s="105" t="s">
        <v>118</v>
      </c>
      <c r="D419" s="110" t="s">
        <v>126</v>
      </c>
      <c r="E419" s="98" t="s">
        <v>262</v>
      </c>
      <c r="F419" s="104"/>
      <c r="G419" s="603">
        <f>G420</f>
        <v>1537874.3</v>
      </c>
      <c r="H419" s="603">
        <f>H420</f>
        <v>6176695.12</v>
      </c>
      <c r="I419" s="583">
        <f>I420</f>
        <v>2908308.1</v>
      </c>
      <c r="J419" s="204">
        <f t="shared" si="12"/>
        <v>47.085181371231414</v>
      </c>
      <c r="K419" s="51"/>
    </row>
    <row r="420" spans="1:11" ht="54" customHeight="1">
      <c r="A420" s="71" t="s">
        <v>0</v>
      </c>
      <c r="B420" s="650" t="s">
        <v>30</v>
      </c>
      <c r="C420" s="106" t="s">
        <v>118</v>
      </c>
      <c r="D420" s="104" t="s">
        <v>126</v>
      </c>
      <c r="E420" s="100" t="s">
        <v>262</v>
      </c>
      <c r="F420" s="104" t="s">
        <v>1</v>
      </c>
      <c r="G420" s="597">
        <v>1537874.3</v>
      </c>
      <c r="H420" s="597">
        <v>6176695.12</v>
      </c>
      <c r="I420" s="577">
        <v>2908308.1</v>
      </c>
      <c r="J420" s="204">
        <f t="shared" si="12"/>
        <v>47.085181371231414</v>
      </c>
      <c r="K420" s="51"/>
    </row>
    <row r="421" spans="1:11" ht="45" customHeight="1">
      <c r="A421" s="70" t="s">
        <v>148</v>
      </c>
      <c r="B421" s="650" t="s">
        <v>30</v>
      </c>
      <c r="C421" s="97" t="s">
        <v>118</v>
      </c>
      <c r="D421" s="98" t="s">
        <v>126</v>
      </c>
      <c r="E421" s="98" t="s">
        <v>149</v>
      </c>
      <c r="F421" s="100"/>
      <c r="G421" s="603">
        <f>G422</f>
        <v>249999.98</v>
      </c>
      <c r="H421" s="603">
        <f>H422</f>
        <v>414750</v>
      </c>
      <c r="I421" s="583">
        <f>I422</f>
        <v>250680</v>
      </c>
      <c r="J421" s="204">
        <f t="shared" si="12"/>
        <v>60.44122965641952</v>
      </c>
      <c r="K421" s="51"/>
    </row>
    <row r="422" spans="1:11" ht="12.75" customHeight="1">
      <c r="A422" s="85" t="s">
        <v>167</v>
      </c>
      <c r="B422" s="650" t="s">
        <v>30</v>
      </c>
      <c r="C422" s="99" t="s">
        <v>118</v>
      </c>
      <c r="D422" s="100" t="s">
        <v>126</v>
      </c>
      <c r="E422" s="100" t="s">
        <v>149</v>
      </c>
      <c r="F422" s="100" t="s">
        <v>166</v>
      </c>
      <c r="G422" s="597">
        <v>249999.98</v>
      </c>
      <c r="H422" s="597">
        <v>414750</v>
      </c>
      <c r="I422" s="577">
        <v>250680</v>
      </c>
      <c r="J422" s="204">
        <f t="shared" si="12"/>
        <v>60.44122965641952</v>
      </c>
      <c r="K422" s="51"/>
    </row>
    <row r="423" spans="1:11" ht="29.25" customHeight="1">
      <c r="A423" s="74" t="s">
        <v>397</v>
      </c>
      <c r="B423" s="650" t="s">
        <v>30</v>
      </c>
      <c r="C423" s="105" t="s">
        <v>118</v>
      </c>
      <c r="D423" s="110" t="s">
        <v>126</v>
      </c>
      <c r="E423" s="98" t="s">
        <v>209</v>
      </c>
      <c r="F423" s="100"/>
      <c r="G423" s="603">
        <f>G424</f>
        <v>1032099.09</v>
      </c>
      <c r="H423" s="603">
        <f>H424</f>
        <v>1659000</v>
      </c>
      <c r="I423" s="583">
        <f>I424</f>
        <v>1016687.97</v>
      </c>
      <c r="J423" s="204">
        <f t="shared" si="12"/>
        <v>61.2831808318264</v>
      </c>
      <c r="K423" s="51"/>
    </row>
    <row r="424" spans="1:11" ht="12.75" customHeight="1">
      <c r="A424" s="85" t="s">
        <v>167</v>
      </c>
      <c r="B424" s="650" t="s">
        <v>30</v>
      </c>
      <c r="C424" s="106" t="s">
        <v>118</v>
      </c>
      <c r="D424" s="104" t="s">
        <v>126</v>
      </c>
      <c r="E424" s="100" t="s">
        <v>209</v>
      </c>
      <c r="F424" s="104" t="s">
        <v>166</v>
      </c>
      <c r="G424" s="597">
        <v>1032099.09</v>
      </c>
      <c r="H424" s="597">
        <v>1659000</v>
      </c>
      <c r="I424" s="577">
        <v>1016687.97</v>
      </c>
      <c r="J424" s="204">
        <f t="shared" si="12"/>
        <v>61.2831808318264</v>
      </c>
      <c r="K424" s="51"/>
    </row>
    <row r="425" spans="1:11" ht="39" customHeight="1">
      <c r="A425" s="74" t="s">
        <v>871</v>
      </c>
      <c r="B425" s="650" t="s">
        <v>30</v>
      </c>
      <c r="C425" s="105" t="s">
        <v>118</v>
      </c>
      <c r="D425" s="110" t="s">
        <v>126</v>
      </c>
      <c r="E425" s="98" t="s">
        <v>870</v>
      </c>
      <c r="F425" s="100"/>
      <c r="G425" s="603">
        <f>G426</f>
        <v>950000.1</v>
      </c>
      <c r="H425" s="603">
        <f>H426</f>
        <v>0</v>
      </c>
      <c r="I425" s="583">
        <f>I426</f>
        <v>0</v>
      </c>
      <c r="J425" s="204" t="e">
        <f t="shared" si="12"/>
        <v>#DIV/0!</v>
      </c>
      <c r="K425" s="51"/>
    </row>
    <row r="426" spans="1:11" ht="12.75" customHeight="1">
      <c r="A426" s="85" t="s">
        <v>167</v>
      </c>
      <c r="B426" s="650" t="s">
        <v>30</v>
      </c>
      <c r="C426" s="106" t="s">
        <v>118</v>
      </c>
      <c r="D426" s="104" t="s">
        <v>126</v>
      </c>
      <c r="E426" s="100" t="s">
        <v>870</v>
      </c>
      <c r="F426" s="104" t="s">
        <v>166</v>
      </c>
      <c r="G426" s="597">
        <v>950000.1</v>
      </c>
      <c r="H426" s="597">
        <v>0</v>
      </c>
      <c r="I426" s="577">
        <v>0</v>
      </c>
      <c r="J426" s="204" t="e">
        <f t="shared" si="12"/>
        <v>#DIV/0!</v>
      </c>
      <c r="K426" s="51"/>
    </row>
    <row r="427" spans="1:11" ht="15" customHeight="1">
      <c r="A427" s="635" t="s">
        <v>165</v>
      </c>
      <c r="B427" s="632" t="s">
        <v>30</v>
      </c>
      <c r="C427" s="636" t="s">
        <v>118</v>
      </c>
      <c r="D427" s="637" t="s">
        <v>118</v>
      </c>
      <c r="E427" s="638"/>
      <c r="F427" s="639"/>
      <c r="G427" s="640">
        <f>G428+G431+G436+G440+G443+G447</f>
        <v>971303.74</v>
      </c>
      <c r="H427" s="640">
        <f>H428+H431+H436+H440+H443+H447</f>
        <v>2024930.0399999998</v>
      </c>
      <c r="I427" s="641">
        <f>I428+I431+I436+I440+I443+I447</f>
        <v>999898.46</v>
      </c>
      <c r="J427" s="634">
        <f t="shared" si="12"/>
        <v>49.3794076954876</v>
      </c>
      <c r="K427" s="52"/>
    </row>
    <row r="428" spans="1:11" ht="30.75" customHeight="1">
      <c r="A428" s="70" t="s">
        <v>402</v>
      </c>
      <c r="B428" s="650" t="s">
        <v>30</v>
      </c>
      <c r="C428" s="105" t="s">
        <v>118</v>
      </c>
      <c r="D428" s="110" t="s">
        <v>118</v>
      </c>
      <c r="E428" s="98" t="s">
        <v>207</v>
      </c>
      <c r="F428" s="98"/>
      <c r="G428" s="603">
        <f>G429+G430</f>
        <v>654556.5</v>
      </c>
      <c r="H428" s="603">
        <f>H429+H430</f>
        <v>1368000</v>
      </c>
      <c r="I428" s="583">
        <f>I429+I430</f>
        <v>615295.4</v>
      </c>
      <c r="J428" s="204">
        <f t="shared" si="12"/>
        <v>44.977733918128656</v>
      </c>
      <c r="K428" s="51"/>
    </row>
    <row r="429" spans="1:11" ht="15.75" customHeight="1">
      <c r="A429" s="71" t="s">
        <v>329</v>
      </c>
      <c r="B429" s="650" t="s">
        <v>30</v>
      </c>
      <c r="C429" s="106" t="s">
        <v>118</v>
      </c>
      <c r="D429" s="104" t="s">
        <v>118</v>
      </c>
      <c r="E429" s="100" t="s">
        <v>207</v>
      </c>
      <c r="F429" s="100" t="s">
        <v>168</v>
      </c>
      <c r="G429" s="597">
        <v>268536</v>
      </c>
      <c r="H429" s="597">
        <v>463944.1</v>
      </c>
      <c r="I429" s="577">
        <v>181692</v>
      </c>
      <c r="J429" s="204">
        <f t="shared" si="12"/>
        <v>39.162476686307684</v>
      </c>
      <c r="K429" s="50"/>
    </row>
    <row r="430" spans="1:11" ht="13.5" customHeight="1">
      <c r="A430" s="85" t="s">
        <v>167</v>
      </c>
      <c r="B430" s="650" t="s">
        <v>30</v>
      </c>
      <c r="C430" s="106" t="s">
        <v>118</v>
      </c>
      <c r="D430" s="104" t="s">
        <v>118</v>
      </c>
      <c r="E430" s="100" t="s">
        <v>207</v>
      </c>
      <c r="F430" s="100" t="s">
        <v>166</v>
      </c>
      <c r="G430" s="597">
        <v>386020.5</v>
      </c>
      <c r="H430" s="597">
        <v>904055.9</v>
      </c>
      <c r="I430" s="577">
        <v>433603.4</v>
      </c>
      <c r="J430" s="204">
        <f t="shared" si="12"/>
        <v>47.962012083544835</v>
      </c>
      <c r="K430" s="51"/>
    </row>
    <row r="431" spans="1:11" ht="28.5" customHeight="1">
      <c r="A431" s="72" t="s">
        <v>403</v>
      </c>
      <c r="B431" s="650" t="s">
        <v>30</v>
      </c>
      <c r="C431" s="105" t="s">
        <v>118</v>
      </c>
      <c r="D431" s="98" t="s">
        <v>118</v>
      </c>
      <c r="E431" s="98" t="s">
        <v>208</v>
      </c>
      <c r="F431" s="98"/>
      <c r="G431" s="603">
        <f>SUM(G432:G435)</f>
        <v>66155.04000000001</v>
      </c>
      <c r="H431" s="603">
        <f>SUM(H432:H435)</f>
        <v>152000</v>
      </c>
      <c r="I431" s="583">
        <f>SUM(I432:I435)</f>
        <v>73774.56</v>
      </c>
      <c r="J431" s="204">
        <f t="shared" si="12"/>
        <v>48.5358947368421</v>
      </c>
      <c r="K431" s="51"/>
    </row>
    <row r="432" spans="1:11" ht="15" customHeight="1">
      <c r="A432" s="71" t="s">
        <v>379</v>
      </c>
      <c r="B432" s="650" t="s">
        <v>30</v>
      </c>
      <c r="C432" s="106" t="s">
        <v>118</v>
      </c>
      <c r="D432" s="104" t="s">
        <v>118</v>
      </c>
      <c r="E432" s="100" t="s">
        <v>208</v>
      </c>
      <c r="F432" s="100" t="s">
        <v>230</v>
      </c>
      <c r="G432" s="597">
        <v>10808.13</v>
      </c>
      <c r="H432" s="597">
        <v>808.82</v>
      </c>
      <c r="I432" s="577">
        <v>808.82</v>
      </c>
      <c r="J432" s="204">
        <f t="shared" si="12"/>
        <v>100</v>
      </c>
      <c r="K432" s="51"/>
    </row>
    <row r="433" spans="1:11" ht="20.25" customHeight="1">
      <c r="A433" s="71" t="s">
        <v>329</v>
      </c>
      <c r="B433" s="650" t="s">
        <v>30</v>
      </c>
      <c r="C433" s="106" t="s">
        <v>118</v>
      </c>
      <c r="D433" s="104" t="s">
        <v>118</v>
      </c>
      <c r="E433" s="100" t="s">
        <v>208</v>
      </c>
      <c r="F433" s="100" t="s">
        <v>168</v>
      </c>
      <c r="G433" s="597">
        <v>11980.65</v>
      </c>
      <c r="H433" s="597">
        <v>42359</v>
      </c>
      <c r="I433" s="577">
        <v>16405</v>
      </c>
      <c r="J433" s="204">
        <f t="shared" si="12"/>
        <v>38.72848745248943</v>
      </c>
      <c r="K433" s="51"/>
    </row>
    <row r="434" spans="1:11" ht="14.25" customHeight="1">
      <c r="A434" s="71" t="s">
        <v>318</v>
      </c>
      <c r="B434" s="650" t="s">
        <v>30</v>
      </c>
      <c r="C434" s="106" t="s">
        <v>118</v>
      </c>
      <c r="D434" s="104" t="s">
        <v>118</v>
      </c>
      <c r="E434" s="100" t="s">
        <v>208</v>
      </c>
      <c r="F434" s="100" t="s">
        <v>320</v>
      </c>
      <c r="G434" s="597">
        <v>6838.32</v>
      </c>
      <c r="H434" s="597">
        <v>8382.18</v>
      </c>
      <c r="I434" s="577">
        <v>8382.18</v>
      </c>
      <c r="J434" s="204">
        <f t="shared" si="12"/>
        <v>100</v>
      </c>
      <c r="K434" s="51"/>
    </row>
    <row r="435" spans="1:11" ht="15" customHeight="1">
      <c r="A435" s="85" t="s">
        <v>167</v>
      </c>
      <c r="B435" s="650" t="s">
        <v>30</v>
      </c>
      <c r="C435" s="106" t="s">
        <v>118</v>
      </c>
      <c r="D435" s="104" t="s">
        <v>118</v>
      </c>
      <c r="E435" s="100" t="s">
        <v>208</v>
      </c>
      <c r="F435" s="100" t="s">
        <v>166</v>
      </c>
      <c r="G435" s="597">
        <v>36527.94</v>
      </c>
      <c r="H435" s="597">
        <v>100450</v>
      </c>
      <c r="I435" s="577">
        <v>48178.56</v>
      </c>
      <c r="J435" s="204">
        <f t="shared" si="12"/>
        <v>47.962727725236434</v>
      </c>
      <c r="K435" s="51"/>
    </row>
    <row r="436" spans="1:11" ht="30" customHeight="1">
      <c r="A436" s="72" t="s">
        <v>568</v>
      </c>
      <c r="B436" s="650" t="s">
        <v>30</v>
      </c>
      <c r="C436" s="105" t="s">
        <v>118</v>
      </c>
      <c r="D436" s="98" t="s">
        <v>118</v>
      </c>
      <c r="E436" s="98" t="s">
        <v>620</v>
      </c>
      <c r="F436" s="100"/>
      <c r="G436" s="603">
        <f>SUM(G437:G439)</f>
        <v>0</v>
      </c>
      <c r="H436" s="603">
        <f>SUM(H437:H439)</f>
        <v>306079.61</v>
      </c>
      <c r="I436" s="583">
        <f>SUM(I437:I439)</f>
        <v>252474.09</v>
      </c>
      <c r="J436" s="204">
        <f t="shared" si="12"/>
        <v>82.48641260357068</v>
      </c>
      <c r="K436" s="51"/>
    </row>
    <row r="437" spans="1:11" ht="21" customHeight="1">
      <c r="A437" s="71" t="s">
        <v>379</v>
      </c>
      <c r="B437" s="650" t="s">
        <v>30</v>
      </c>
      <c r="C437" s="106" t="s">
        <v>118</v>
      </c>
      <c r="D437" s="100" t="s">
        <v>118</v>
      </c>
      <c r="E437" s="100" t="s">
        <v>620</v>
      </c>
      <c r="F437" s="100" t="s">
        <v>230</v>
      </c>
      <c r="G437" s="597">
        <v>0</v>
      </c>
      <c r="H437" s="597">
        <v>133875.21</v>
      </c>
      <c r="I437" s="577">
        <v>133875.18</v>
      </c>
      <c r="J437" s="204">
        <f t="shared" si="12"/>
        <v>99.99997759107157</v>
      </c>
      <c r="K437" s="51"/>
    </row>
    <row r="438" spans="1:11" ht="45" customHeight="1">
      <c r="A438" s="71" t="s">
        <v>380</v>
      </c>
      <c r="B438" s="650" t="s">
        <v>30</v>
      </c>
      <c r="C438" s="106" t="s">
        <v>118</v>
      </c>
      <c r="D438" s="100" t="s">
        <v>118</v>
      </c>
      <c r="E438" s="100" t="s">
        <v>620</v>
      </c>
      <c r="F438" s="100" t="s">
        <v>71</v>
      </c>
      <c r="G438" s="597">
        <v>0</v>
      </c>
      <c r="H438" s="597">
        <v>40823.84</v>
      </c>
      <c r="I438" s="577">
        <v>40430.29</v>
      </c>
      <c r="J438" s="204">
        <f t="shared" si="12"/>
        <v>99.03597995680956</v>
      </c>
      <c r="K438" s="51"/>
    </row>
    <row r="439" spans="1:11" ht="15.75" customHeight="1">
      <c r="A439" s="85" t="s">
        <v>167</v>
      </c>
      <c r="B439" s="650" t="s">
        <v>30</v>
      </c>
      <c r="C439" s="106" t="s">
        <v>118</v>
      </c>
      <c r="D439" s="104" t="s">
        <v>118</v>
      </c>
      <c r="E439" s="100" t="s">
        <v>620</v>
      </c>
      <c r="F439" s="100" t="s">
        <v>166</v>
      </c>
      <c r="G439" s="597">
        <v>0</v>
      </c>
      <c r="H439" s="597">
        <v>131380.56</v>
      </c>
      <c r="I439" s="577">
        <v>78168.62</v>
      </c>
      <c r="J439" s="204">
        <f t="shared" si="12"/>
        <v>59.497858739527366</v>
      </c>
      <c r="K439" s="51"/>
    </row>
    <row r="440" spans="1:11" ht="42" customHeight="1">
      <c r="A440" s="72" t="s">
        <v>569</v>
      </c>
      <c r="B440" s="650" t="s">
        <v>30</v>
      </c>
      <c r="C440" s="105" t="s">
        <v>118</v>
      </c>
      <c r="D440" s="98" t="s">
        <v>118</v>
      </c>
      <c r="E440" s="98" t="s">
        <v>621</v>
      </c>
      <c r="F440" s="98"/>
      <c r="G440" s="603">
        <f>SUM(G441:G442)</f>
        <v>0</v>
      </c>
      <c r="H440" s="603">
        <f>SUM(H441:H442)</f>
        <v>198850.43</v>
      </c>
      <c r="I440" s="583">
        <f>SUM(I441:I442)</f>
        <v>58354.41</v>
      </c>
      <c r="J440" s="204">
        <f t="shared" si="12"/>
        <v>29.345880720499324</v>
      </c>
      <c r="K440" s="51"/>
    </row>
    <row r="441" spans="1:11" ht="15.75" customHeight="1">
      <c r="A441" s="71" t="s">
        <v>417</v>
      </c>
      <c r="B441" s="650" t="s">
        <v>30</v>
      </c>
      <c r="C441" s="106" t="s">
        <v>118</v>
      </c>
      <c r="D441" s="104" t="s">
        <v>118</v>
      </c>
      <c r="E441" s="100" t="s">
        <v>621</v>
      </c>
      <c r="F441" s="100" t="s">
        <v>168</v>
      </c>
      <c r="G441" s="597"/>
      <c r="H441" s="597">
        <v>154346.41</v>
      </c>
      <c r="I441" s="577">
        <v>58354.41</v>
      </c>
      <c r="J441" s="204">
        <f t="shared" si="12"/>
        <v>37.80742940506359</v>
      </c>
      <c r="K441" s="51"/>
    </row>
    <row r="442" spans="1:11" ht="15.75" customHeight="1">
      <c r="A442" s="71" t="s">
        <v>223</v>
      </c>
      <c r="B442" s="650" t="s">
        <v>30</v>
      </c>
      <c r="C442" s="106" t="s">
        <v>118</v>
      </c>
      <c r="D442" s="104" t="s">
        <v>118</v>
      </c>
      <c r="E442" s="100" t="s">
        <v>621</v>
      </c>
      <c r="F442" s="100" t="s">
        <v>224</v>
      </c>
      <c r="G442" s="597"/>
      <c r="H442" s="597">
        <v>44504.02</v>
      </c>
      <c r="I442" s="577">
        <v>0</v>
      </c>
      <c r="J442" s="204">
        <f t="shared" si="12"/>
        <v>0</v>
      </c>
      <c r="K442" s="51"/>
    </row>
    <row r="443" spans="1:11" ht="25.5" customHeight="1">
      <c r="A443" s="72" t="s">
        <v>873</v>
      </c>
      <c r="B443" s="650" t="s">
        <v>30</v>
      </c>
      <c r="C443" s="105" t="s">
        <v>118</v>
      </c>
      <c r="D443" s="98" t="s">
        <v>118</v>
      </c>
      <c r="E443" s="98" t="s">
        <v>874</v>
      </c>
      <c r="F443" s="98"/>
      <c r="G443" s="603">
        <f>SUM(G444:G446)</f>
        <v>191944.39</v>
      </c>
      <c r="H443" s="603">
        <f>SUM(H444:H446)</f>
        <v>0</v>
      </c>
      <c r="I443" s="583">
        <f>SUM(I444:I446)</f>
        <v>0</v>
      </c>
      <c r="J443" s="204" t="e">
        <f t="shared" si="12"/>
        <v>#DIV/0!</v>
      </c>
      <c r="K443" s="51"/>
    </row>
    <row r="444" spans="1:11" ht="15.75" customHeight="1">
      <c r="A444" s="71" t="s">
        <v>379</v>
      </c>
      <c r="B444" s="650" t="s">
        <v>30</v>
      </c>
      <c r="C444" s="106" t="s">
        <v>118</v>
      </c>
      <c r="D444" s="104" t="s">
        <v>118</v>
      </c>
      <c r="E444" s="100" t="s">
        <v>874</v>
      </c>
      <c r="F444" s="100" t="s">
        <v>230</v>
      </c>
      <c r="G444" s="597">
        <v>87179.86</v>
      </c>
      <c r="H444" s="597">
        <v>0</v>
      </c>
      <c r="I444" s="577">
        <v>0</v>
      </c>
      <c r="J444" s="204" t="e">
        <f t="shared" si="12"/>
        <v>#DIV/0!</v>
      </c>
      <c r="K444" s="51"/>
    </row>
    <row r="445" spans="1:11" ht="43.5" customHeight="1">
      <c r="A445" s="71" t="s">
        <v>380</v>
      </c>
      <c r="B445" s="650" t="s">
        <v>30</v>
      </c>
      <c r="C445" s="106" t="s">
        <v>118</v>
      </c>
      <c r="D445" s="104" t="s">
        <v>118</v>
      </c>
      <c r="E445" s="100" t="s">
        <v>874</v>
      </c>
      <c r="F445" s="100" t="s">
        <v>71</v>
      </c>
      <c r="G445" s="597">
        <v>26328.26</v>
      </c>
      <c r="H445" s="597">
        <v>0</v>
      </c>
      <c r="I445" s="577">
        <v>0</v>
      </c>
      <c r="J445" s="204" t="e">
        <f t="shared" si="12"/>
        <v>#DIV/0!</v>
      </c>
      <c r="K445" s="51"/>
    </row>
    <row r="446" spans="1:11" ht="15.75" customHeight="1">
      <c r="A446" s="85" t="s">
        <v>167</v>
      </c>
      <c r="B446" s="650" t="s">
        <v>30</v>
      </c>
      <c r="C446" s="106" t="s">
        <v>118</v>
      </c>
      <c r="D446" s="104" t="s">
        <v>118</v>
      </c>
      <c r="E446" s="100" t="s">
        <v>874</v>
      </c>
      <c r="F446" s="100" t="s">
        <v>166</v>
      </c>
      <c r="G446" s="597">
        <v>78436.27</v>
      </c>
      <c r="H446" s="597">
        <v>0</v>
      </c>
      <c r="I446" s="577">
        <v>0</v>
      </c>
      <c r="J446" s="204" t="e">
        <f t="shared" si="12"/>
        <v>#DIV/0!</v>
      </c>
      <c r="K446" s="51"/>
    </row>
    <row r="447" spans="1:11" ht="16.5" customHeight="1">
      <c r="A447" s="72" t="s">
        <v>875</v>
      </c>
      <c r="B447" s="650" t="s">
        <v>30</v>
      </c>
      <c r="C447" s="105" t="s">
        <v>118</v>
      </c>
      <c r="D447" s="98" t="s">
        <v>118</v>
      </c>
      <c r="E447" s="98" t="s">
        <v>872</v>
      </c>
      <c r="F447" s="98"/>
      <c r="G447" s="603">
        <f>G448</f>
        <v>58647.81</v>
      </c>
      <c r="H447" s="603">
        <f>H448</f>
        <v>0</v>
      </c>
      <c r="I447" s="583">
        <f>I448</f>
        <v>0</v>
      </c>
      <c r="J447" s="204" t="e">
        <f t="shared" si="12"/>
        <v>#DIV/0!</v>
      </c>
      <c r="K447" s="51"/>
    </row>
    <row r="448" spans="1:11" ht="15.75" customHeight="1">
      <c r="A448" s="71" t="s">
        <v>417</v>
      </c>
      <c r="B448" s="650" t="s">
        <v>30</v>
      </c>
      <c r="C448" s="106" t="s">
        <v>118</v>
      </c>
      <c r="D448" s="104" t="s">
        <v>118</v>
      </c>
      <c r="E448" s="100" t="s">
        <v>872</v>
      </c>
      <c r="F448" s="100" t="s">
        <v>168</v>
      </c>
      <c r="G448" s="597">
        <v>58647.81</v>
      </c>
      <c r="H448" s="597">
        <v>0</v>
      </c>
      <c r="I448" s="577">
        <v>0</v>
      </c>
      <c r="J448" s="204" t="e">
        <f t="shared" si="12"/>
        <v>#DIV/0!</v>
      </c>
      <c r="K448" s="51"/>
    </row>
    <row r="449" spans="1:11" ht="15.75" customHeight="1">
      <c r="A449" s="642" t="s">
        <v>139</v>
      </c>
      <c r="B449" s="632" t="s">
        <v>30</v>
      </c>
      <c r="C449" s="643" t="s">
        <v>118</v>
      </c>
      <c r="D449" s="644" t="s">
        <v>120</v>
      </c>
      <c r="E449" s="644"/>
      <c r="F449" s="644"/>
      <c r="G449" s="640">
        <f>G450+G463+G465+G468+G459</f>
        <v>11308153.86</v>
      </c>
      <c r="H449" s="640">
        <f>H450+H463+H465+H468+H459</f>
        <v>14165218.38</v>
      </c>
      <c r="I449" s="641">
        <f>I450+I463+I465+I468+I459</f>
        <v>12558871.940000001</v>
      </c>
      <c r="J449" s="634">
        <f t="shared" si="12"/>
        <v>88.6599246343564</v>
      </c>
      <c r="K449" s="51"/>
    </row>
    <row r="450" spans="1:11" ht="41.25" customHeight="1">
      <c r="A450" s="87" t="s">
        <v>97</v>
      </c>
      <c r="B450" s="650" t="s">
        <v>30</v>
      </c>
      <c r="C450" s="124" t="s">
        <v>118</v>
      </c>
      <c r="D450" s="125" t="s">
        <v>120</v>
      </c>
      <c r="E450" s="125" t="s">
        <v>622</v>
      </c>
      <c r="F450" s="125"/>
      <c r="G450" s="610">
        <f>SUM(G451:G458)</f>
        <v>5537946.9399999995</v>
      </c>
      <c r="H450" s="610">
        <f>SUM(H451:H458)</f>
        <v>6738068.8100000005</v>
      </c>
      <c r="I450" s="591">
        <f>SUM(I451:I458)</f>
        <v>5654937.17</v>
      </c>
      <c r="J450" s="204">
        <f t="shared" si="12"/>
        <v>83.92519176425566</v>
      </c>
      <c r="K450" s="51"/>
    </row>
    <row r="451" spans="1:11" ht="18" customHeight="1">
      <c r="A451" s="71" t="s">
        <v>379</v>
      </c>
      <c r="B451" s="650" t="s">
        <v>30</v>
      </c>
      <c r="C451" s="106" t="s">
        <v>118</v>
      </c>
      <c r="D451" s="100" t="s">
        <v>120</v>
      </c>
      <c r="E451" s="100" t="s">
        <v>622</v>
      </c>
      <c r="F451" s="100" t="s">
        <v>230</v>
      </c>
      <c r="G451" s="597">
        <v>3329856.12</v>
      </c>
      <c r="H451" s="597">
        <v>4440000</v>
      </c>
      <c r="I451" s="577">
        <v>3492445.48</v>
      </c>
      <c r="J451" s="204">
        <f t="shared" si="12"/>
        <v>78.65868198198199</v>
      </c>
      <c r="K451" s="50"/>
    </row>
    <row r="452" spans="1:11" ht="33" customHeight="1">
      <c r="A452" s="71" t="s">
        <v>381</v>
      </c>
      <c r="B452" s="650" t="s">
        <v>30</v>
      </c>
      <c r="C452" s="106" t="s">
        <v>118</v>
      </c>
      <c r="D452" s="100" t="s">
        <v>120</v>
      </c>
      <c r="E452" s="100" t="s">
        <v>622</v>
      </c>
      <c r="F452" s="100" t="s">
        <v>231</v>
      </c>
      <c r="G452" s="597">
        <v>72296.9</v>
      </c>
      <c r="H452" s="597">
        <v>49700</v>
      </c>
      <c r="I452" s="577">
        <v>45875.6</v>
      </c>
      <c r="J452" s="204">
        <f t="shared" si="12"/>
        <v>92.30503018108651</v>
      </c>
      <c r="K452" s="50"/>
    </row>
    <row r="453" spans="1:11" ht="45.75" customHeight="1">
      <c r="A453" s="71" t="s">
        <v>380</v>
      </c>
      <c r="B453" s="650" t="s">
        <v>30</v>
      </c>
      <c r="C453" s="106" t="s">
        <v>118</v>
      </c>
      <c r="D453" s="100" t="s">
        <v>120</v>
      </c>
      <c r="E453" s="100" t="s">
        <v>622</v>
      </c>
      <c r="F453" s="100" t="s">
        <v>71</v>
      </c>
      <c r="G453" s="597">
        <v>1299000</v>
      </c>
      <c r="H453" s="597">
        <v>1268500</v>
      </c>
      <c r="I453" s="577">
        <v>1268500</v>
      </c>
      <c r="J453" s="204">
        <f t="shared" si="12"/>
        <v>100</v>
      </c>
      <c r="K453" s="50"/>
    </row>
    <row r="454" spans="1:11" ht="12.75" customHeight="1">
      <c r="A454" s="71" t="s">
        <v>417</v>
      </c>
      <c r="B454" s="650" t="s">
        <v>30</v>
      </c>
      <c r="C454" s="106" t="s">
        <v>118</v>
      </c>
      <c r="D454" s="100" t="s">
        <v>120</v>
      </c>
      <c r="E454" s="100" t="s">
        <v>622</v>
      </c>
      <c r="F454" s="100" t="s">
        <v>168</v>
      </c>
      <c r="G454" s="597">
        <v>743756.78</v>
      </c>
      <c r="H454" s="597">
        <v>958804.73</v>
      </c>
      <c r="I454" s="577">
        <v>828052.01</v>
      </c>
      <c r="J454" s="204">
        <f t="shared" si="12"/>
        <v>86.36294587324366</v>
      </c>
      <c r="K454" s="50"/>
    </row>
    <row r="455" spans="1:11" ht="33.75" customHeight="1">
      <c r="A455" s="71" t="s">
        <v>189</v>
      </c>
      <c r="B455" s="650" t="s">
        <v>30</v>
      </c>
      <c r="C455" s="106" t="s">
        <v>118</v>
      </c>
      <c r="D455" s="100" t="s">
        <v>120</v>
      </c>
      <c r="E455" s="100" t="s">
        <v>622</v>
      </c>
      <c r="F455" s="100" t="s">
        <v>190</v>
      </c>
      <c r="G455" s="597">
        <v>85897.35</v>
      </c>
      <c r="H455" s="597">
        <v>0</v>
      </c>
      <c r="I455" s="577">
        <v>0</v>
      </c>
      <c r="J455" s="204" t="e">
        <f t="shared" si="12"/>
        <v>#DIV/0!</v>
      </c>
      <c r="K455" s="50"/>
    </row>
    <row r="456" spans="1:11" ht="31.5" customHeight="1">
      <c r="A456" s="71" t="s">
        <v>91</v>
      </c>
      <c r="B456" s="650" t="s">
        <v>30</v>
      </c>
      <c r="C456" s="106" t="s">
        <v>118</v>
      </c>
      <c r="D456" s="100" t="s">
        <v>120</v>
      </c>
      <c r="E456" s="100" t="s">
        <v>622</v>
      </c>
      <c r="F456" s="100" t="s">
        <v>226</v>
      </c>
      <c r="G456" s="597">
        <v>0</v>
      </c>
      <c r="H456" s="597">
        <v>4524.44</v>
      </c>
      <c r="I456" s="577">
        <v>4524.44</v>
      </c>
      <c r="J456" s="204">
        <f t="shared" si="12"/>
        <v>100</v>
      </c>
      <c r="K456" s="50"/>
    </row>
    <row r="457" spans="1:11" ht="30" customHeight="1">
      <c r="A457" s="71" t="s">
        <v>225</v>
      </c>
      <c r="B457" s="650" t="s">
        <v>30</v>
      </c>
      <c r="C457" s="106" t="s">
        <v>118</v>
      </c>
      <c r="D457" s="100" t="s">
        <v>120</v>
      </c>
      <c r="E457" s="100" t="s">
        <v>622</v>
      </c>
      <c r="F457" s="100" t="s">
        <v>228</v>
      </c>
      <c r="G457" s="597">
        <v>0</v>
      </c>
      <c r="H457" s="597">
        <v>1000</v>
      </c>
      <c r="I457" s="577">
        <v>0</v>
      </c>
      <c r="J457" s="204">
        <f t="shared" si="12"/>
        <v>0</v>
      </c>
      <c r="K457" s="50"/>
    </row>
    <row r="458" spans="1:11" ht="21" customHeight="1">
      <c r="A458" s="71" t="s">
        <v>181</v>
      </c>
      <c r="B458" s="650" t="s">
        <v>30</v>
      </c>
      <c r="C458" s="106" t="s">
        <v>118</v>
      </c>
      <c r="D458" s="100" t="s">
        <v>120</v>
      </c>
      <c r="E458" s="100" t="s">
        <v>622</v>
      </c>
      <c r="F458" s="100" t="s">
        <v>182</v>
      </c>
      <c r="G458" s="597">
        <v>7139.79</v>
      </c>
      <c r="H458" s="597">
        <v>15539.64</v>
      </c>
      <c r="I458" s="577">
        <v>15539.64</v>
      </c>
      <c r="J458" s="204">
        <f t="shared" si="12"/>
        <v>100</v>
      </c>
      <c r="K458" s="50"/>
    </row>
    <row r="459" spans="1:11" ht="149.25" customHeight="1">
      <c r="A459" s="74" t="s">
        <v>553</v>
      </c>
      <c r="B459" s="650" t="s">
        <v>30</v>
      </c>
      <c r="C459" s="105" t="s">
        <v>118</v>
      </c>
      <c r="D459" s="98" t="s">
        <v>120</v>
      </c>
      <c r="E459" s="98" t="s">
        <v>623</v>
      </c>
      <c r="F459" s="98"/>
      <c r="G459" s="596">
        <f>SUM(G460:G462)</f>
        <v>5024184.92</v>
      </c>
      <c r="H459" s="596">
        <f>SUM(H460:H462)</f>
        <v>6696000</v>
      </c>
      <c r="I459" s="576">
        <f>SUM(I460:I462)</f>
        <v>6451276.5600000005</v>
      </c>
      <c r="J459" s="204">
        <f t="shared" si="12"/>
        <v>96.34522939068101</v>
      </c>
      <c r="K459" s="50"/>
    </row>
    <row r="460" spans="1:11" ht="24.75" customHeight="1">
      <c r="A460" s="71" t="s">
        <v>379</v>
      </c>
      <c r="B460" s="650" t="s">
        <v>30</v>
      </c>
      <c r="C460" s="106" t="s">
        <v>118</v>
      </c>
      <c r="D460" s="104" t="s">
        <v>120</v>
      </c>
      <c r="E460" s="100" t="s">
        <v>623</v>
      </c>
      <c r="F460" s="100" t="s">
        <v>230</v>
      </c>
      <c r="G460" s="597">
        <v>4192230.28</v>
      </c>
      <c r="H460" s="597">
        <v>5143000</v>
      </c>
      <c r="I460" s="577">
        <v>5143000</v>
      </c>
      <c r="J460" s="204">
        <f aca="true" t="shared" si="13" ref="J460:J523">I460/H460*100</f>
        <v>100</v>
      </c>
      <c r="K460" s="51"/>
    </row>
    <row r="461" spans="1:11" ht="45.75" customHeight="1">
      <c r="A461" s="71" t="s">
        <v>380</v>
      </c>
      <c r="B461" s="650" t="s">
        <v>30</v>
      </c>
      <c r="C461" s="106" t="s">
        <v>118</v>
      </c>
      <c r="D461" s="100" t="s">
        <v>120</v>
      </c>
      <c r="E461" s="100" t="s">
        <v>623</v>
      </c>
      <c r="F461" s="100" t="s">
        <v>71</v>
      </c>
      <c r="G461" s="597">
        <v>827828.64</v>
      </c>
      <c r="H461" s="597">
        <v>1550401</v>
      </c>
      <c r="I461" s="577">
        <v>1305677.56</v>
      </c>
      <c r="J461" s="204">
        <f t="shared" si="13"/>
        <v>84.21547457722228</v>
      </c>
      <c r="K461" s="51"/>
    </row>
    <row r="462" spans="1:11" ht="22.5" customHeight="1">
      <c r="A462" s="71" t="s">
        <v>571</v>
      </c>
      <c r="B462" s="650" t="s">
        <v>30</v>
      </c>
      <c r="C462" s="106" t="s">
        <v>118</v>
      </c>
      <c r="D462" s="100" t="s">
        <v>120</v>
      </c>
      <c r="E462" s="100" t="s">
        <v>623</v>
      </c>
      <c r="F462" s="100" t="s">
        <v>168</v>
      </c>
      <c r="G462" s="597">
        <v>4126</v>
      </c>
      <c r="H462" s="597">
        <v>2599</v>
      </c>
      <c r="I462" s="577">
        <v>2599</v>
      </c>
      <c r="J462" s="204">
        <f t="shared" si="13"/>
        <v>100</v>
      </c>
      <c r="K462" s="51"/>
    </row>
    <row r="463" spans="1:11" ht="28.5" customHeight="1">
      <c r="A463" s="72" t="s">
        <v>570</v>
      </c>
      <c r="B463" s="650" t="s">
        <v>30</v>
      </c>
      <c r="C463" s="105" t="s">
        <v>118</v>
      </c>
      <c r="D463" s="98" t="s">
        <v>120</v>
      </c>
      <c r="E463" s="348" t="s">
        <v>624</v>
      </c>
      <c r="F463" s="98"/>
      <c r="G463" s="596">
        <f>SUM(G464:G464)</f>
        <v>29412</v>
      </c>
      <c r="H463" s="596">
        <f>SUM(H464:H464)</f>
        <v>31149.57</v>
      </c>
      <c r="I463" s="576">
        <f>SUM(I464:I464)</f>
        <v>31149.57</v>
      </c>
      <c r="J463" s="204">
        <f t="shared" si="13"/>
        <v>100</v>
      </c>
      <c r="K463" s="51"/>
    </row>
    <row r="464" spans="1:11" ht="22.5" customHeight="1">
      <c r="A464" s="71" t="s">
        <v>571</v>
      </c>
      <c r="B464" s="650" t="s">
        <v>30</v>
      </c>
      <c r="C464" s="106" t="s">
        <v>118</v>
      </c>
      <c r="D464" s="100" t="s">
        <v>120</v>
      </c>
      <c r="E464" s="197" t="s">
        <v>624</v>
      </c>
      <c r="F464" s="100" t="s">
        <v>168</v>
      </c>
      <c r="G464" s="597">
        <v>29412</v>
      </c>
      <c r="H464" s="597">
        <v>31149.57</v>
      </c>
      <c r="I464" s="577">
        <v>31149.57</v>
      </c>
      <c r="J464" s="204">
        <f t="shared" si="13"/>
        <v>100</v>
      </c>
      <c r="K464" s="51"/>
    </row>
    <row r="465" spans="1:11" ht="52.5" customHeight="1">
      <c r="A465" s="72" t="s">
        <v>572</v>
      </c>
      <c r="B465" s="650" t="s">
        <v>30</v>
      </c>
      <c r="C465" s="105" t="s">
        <v>118</v>
      </c>
      <c r="D465" s="98" t="s">
        <v>120</v>
      </c>
      <c r="E465" s="98" t="s">
        <v>625</v>
      </c>
      <c r="F465" s="98"/>
      <c r="G465" s="596">
        <f>G466+G467</f>
        <v>451999</v>
      </c>
      <c r="H465" s="596">
        <f>H466+H467</f>
        <v>400000</v>
      </c>
      <c r="I465" s="576">
        <f>I466+I467</f>
        <v>264508.64</v>
      </c>
      <c r="J465" s="204">
        <f t="shared" si="13"/>
        <v>66.12716</v>
      </c>
      <c r="K465" s="51"/>
    </row>
    <row r="466" spans="1:11" ht="21" customHeight="1">
      <c r="A466" s="71" t="s">
        <v>571</v>
      </c>
      <c r="B466" s="650" t="s">
        <v>30</v>
      </c>
      <c r="C466" s="106" t="s">
        <v>118</v>
      </c>
      <c r="D466" s="100" t="s">
        <v>120</v>
      </c>
      <c r="E466" s="100" t="s">
        <v>625</v>
      </c>
      <c r="F466" s="100" t="s">
        <v>168</v>
      </c>
      <c r="G466" s="597">
        <v>199999</v>
      </c>
      <c r="H466" s="597">
        <v>322798</v>
      </c>
      <c r="I466" s="577">
        <v>237748</v>
      </c>
      <c r="J466" s="204">
        <f t="shared" si="13"/>
        <v>73.65225311185324</v>
      </c>
      <c r="K466" s="51"/>
    </row>
    <row r="467" spans="1:11" ht="18" customHeight="1">
      <c r="A467" s="85" t="s">
        <v>167</v>
      </c>
      <c r="B467" s="650" t="s">
        <v>30</v>
      </c>
      <c r="C467" s="106" t="s">
        <v>118</v>
      </c>
      <c r="D467" s="100" t="s">
        <v>120</v>
      </c>
      <c r="E467" s="100" t="s">
        <v>625</v>
      </c>
      <c r="F467" s="100" t="s">
        <v>166</v>
      </c>
      <c r="G467" s="597">
        <v>252000</v>
      </c>
      <c r="H467" s="597">
        <v>77202</v>
      </c>
      <c r="I467" s="577">
        <v>26760.64</v>
      </c>
      <c r="J467" s="204">
        <f t="shared" si="13"/>
        <v>34.66314344187975</v>
      </c>
      <c r="K467" s="51"/>
    </row>
    <row r="468" spans="1:11" ht="36" customHeight="1">
      <c r="A468" s="187" t="s">
        <v>573</v>
      </c>
      <c r="B468" s="650" t="s">
        <v>30</v>
      </c>
      <c r="C468" s="105" t="s">
        <v>118</v>
      </c>
      <c r="D468" s="98" t="s">
        <v>120</v>
      </c>
      <c r="E468" s="98" t="s">
        <v>626</v>
      </c>
      <c r="F468" s="98"/>
      <c r="G468" s="596">
        <f>G469</f>
        <v>264611</v>
      </c>
      <c r="H468" s="596">
        <f>H469</f>
        <v>300000</v>
      </c>
      <c r="I468" s="576">
        <f>I469</f>
        <v>157000</v>
      </c>
      <c r="J468" s="204">
        <f t="shared" si="13"/>
        <v>52.33333333333333</v>
      </c>
      <c r="K468" s="51"/>
    </row>
    <row r="469" spans="1:11" ht="20.25" customHeight="1">
      <c r="A469" s="71" t="s">
        <v>329</v>
      </c>
      <c r="B469" s="650" t="s">
        <v>30</v>
      </c>
      <c r="C469" s="106" t="s">
        <v>118</v>
      </c>
      <c r="D469" s="100" t="s">
        <v>120</v>
      </c>
      <c r="E469" s="100" t="s">
        <v>626</v>
      </c>
      <c r="F469" s="100" t="s">
        <v>168</v>
      </c>
      <c r="G469" s="597">
        <v>264611</v>
      </c>
      <c r="H469" s="597">
        <v>300000</v>
      </c>
      <c r="I469" s="577">
        <v>157000</v>
      </c>
      <c r="J469" s="204">
        <f t="shared" si="13"/>
        <v>52.33333333333333</v>
      </c>
      <c r="K469" s="51"/>
    </row>
    <row r="470" spans="1:11" ht="16.5" customHeight="1">
      <c r="A470" s="89" t="s">
        <v>163</v>
      </c>
      <c r="B470" s="346" t="s">
        <v>30</v>
      </c>
      <c r="C470" s="108" t="s">
        <v>119</v>
      </c>
      <c r="D470" s="109"/>
      <c r="E470" s="107"/>
      <c r="F470" s="109"/>
      <c r="G470" s="594">
        <f aca="true" t="shared" si="14" ref="G470:I471">G471</f>
        <v>26864098.990000002</v>
      </c>
      <c r="H470" s="594">
        <f t="shared" si="14"/>
        <v>36575228.46</v>
      </c>
      <c r="I470" s="584">
        <f t="shared" si="14"/>
        <v>27910209.06</v>
      </c>
      <c r="J470" s="628">
        <f t="shared" si="13"/>
        <v>76.30904914380403</v>
      </c>
      <c r="K470" s="51"/>
    </row>
    <row r="471" spans="1:11" ht="14.25" customHeight="1">
      <c r="A471" s="642" t="s">
        <v>140</v>
      </c>
      <c r="B471" s="632" t="s">
        <v>30</v>
      </c>
      <c r="C471" s="633" t="s">
        <v>119</v>
      </c>
      <c r="D471" s="644" t="s">
        <v>117</v>
      </c>
      <c r="E471" s="644"/>
      <c r="F471" s="644"/>
      <c r="G471" s="640">
        <f t="shared" si="14"/>
        <v>26864098.990000002</v>
      </c>
      <c r="H471" s="640">
        <f t="shared" si="14"/>
        <v>36575228.46</v>
      </c>
      <c r="I471" s="641">
        <f t="shared" si="14"/>
        <v>27910209.06</v>
      </c>
      <c r="J471" s="634">
        <f t="shared" si="13"/>
        <v>76.30904914380403</v>
      </c>
      <c r="K471" s="51"/>
    </row>
    <row r="472" spans="1:11" ht="28.5" customHeight="1">
      <c r="A472" s="87" t="s">
        <v>574</v>
      </c>
      <c r="B472" s="650" t="s">
        <v>30</v>
      </c>
      <c r="C472" s="127" t="s">
        <v>119</v>
      </c>
      <c r="D472" s="125" t="s">
        <v>117</v>
      </c>
      <c r="E472" s="125" t="s">
        <v>196</v>
      </c>
      <c r="F472" s="125"/>
      <c r="G472" s="606">
        <f>G473+G502+G498</f>
        <v>26864098.990000002</v>
      </c>
      <c r="H472" s="606">
        <f>H473+H502+H498</f>
        <v>36575228.46</v>
      </c>
      <c r="I472" s="587">
        <f>I473+I502+I498</f>
        <v>27910209.06</v>
      </c>
      <c r="J472" s="204">
        <f t="shared" si="13"/>
        <v>76.30904914380403</v>
      </c>
      <c r="K472" s="51"/>
    </row>
    <row r="473" spans="1:11" ht="54" customHeight="1">
      <c r="A473" s="69" t="s">
        <v>98</v>
      </c>
      <c r="B473" s="632" t="s">
        <v>30</v>
      </c>
      <c r="C473" s="112" t="s">
        <v>99</v>
      </c>
      <c r="D473" s="96" t="s">
        <v>117</v>
      </c>
      <c r="E473" s="96" t="s">
        <v>197</v>
      </c>
      <c r="F473" s="96"/>
      <c r="G473" s="602">
        <f>G474+G476+G478+G480+G482+G484+G486+G488+G490+G492+G494+G496</f>
        <v>12039901.88</v>
      </c>
      <c r="H473" s="602">
        <f>H474+H476+H478+H480+H482+H484+H486+H488+H490+H492+H494+H496</f>
        <v>22740148.92</v>
      </c>
      <c r="I473" s="582">
        <f>I474+I476+I478+I480+I482+I484+I486+I488+I490+I492+I494+I496</f>
        <v>16069471.36</v>
      </c>
      <c r="J473" s="630">
        <f t="shared" si="13"/>
        <v>70.66563819143185</v>
      </c>
      <c r="K473" s="51"/>
    </row>
    <row r="474" spans="1:11" ht="29.25" customHeight="1">
      <c r="A474" s="72" t="s">
        <v>526</v>
      </c>
      <c r="B474" s="650" t="s">
        <v>30</v>
      </c>
      <c r="C474" s="97" t="s">
        <v>119</v>
      </c>
      <c r="D474" s="98" t="s">
        <v>117</v>
      </c>
      <c r="E474" s="98" t="s">
        <v>325</v>
      </c>
      <c r="F474" s="98"/>
      <c r="G474" s="603">
        <f>SUM(G475:G475)</f>
        <v>1415191.92</v>
      </c>
      <c r="H474" s="603">
        <f>SUM(H475:H475)</f>
        <v>2100000</v>
      </c>
      <c r="I474" s="583">
        <f>SUM(I475:I475)</f>
        <v>1864372.02</v>
      </c>
      <c r="J474" s="204">
        <f t="shared" si="13"/>
        <v>88.77962000000001</v>
      </c>
      <c r="K474" s="51"/>
    </row>
    <row r="475" spans="1:11" ht="56.25" customHeight="1">
      <c r="A475" s="71" t="s">
        <v>0</v>
      </c>
      <c r="B475" s="650" t="s">
        <v>30</v>
      </c>
      <c r="C475" s="128" t="s">
        <v>119</v>
      </c>
      <c r="D475" s="100" t="s">
        <v>117</v>
      </c>
      <c r="E475" s="100" t="s">
        <v>325</v>
      </c>
      <c r="F475" s="100" t="s">
        <v>1</v>
      </c>
      <c r="G475" s="597">
        <v>1415191.92</v>
      </c>
      <c r="H475" s="597">
        <v>2100000</v>
      </c>
      <c r="I475" s="577">
        <v>1864372.02</v>
      </c>
      <c r="J475" s="204">
        <f t="shared" si="13"/>
        <v>88.77962000000001</v>
      </c>
      <c r="K475" s="51"/>
    </row>
    <row r="476" spans="1:11" ht="24.75" customHeight="1">
      <c r="A476" s="72" t="s">
        <v>575</v>
      </c>
      <c r="B476" s="650" t="s">
        <v>30</v>
      </c>
      <c r="C476" s="97" t="s">
        <v>119</v>
      </c>
      <c r="D476" s="98" t="s">
        <v>117</v>
      </c>
      <c r="E476" s="98" t="s">
        <v>198</v>
      </c>
      <c r="F476" s="98"/>
      <c r="G476" s="603">
        <f>SUM(G477:G477)</f>
        <v>8568331.34</v>
      </c>
      <c r="H476" s="603">
        <f>SUM(H477:H477)</f>
        <v>11840000</v>
      </c>
      <c r="I476" s="583">
        <f>SUM(I477:I477)</f>
        <v>10598853.73</v>
      </c>
      <c r="J476" s="204">
        <f t="shared" si="13"/>
        <v>89.51734569256757</v>
      </c>
      <c r="K476" s="51"/>
    </row>
    <row r="477" spans="1:11" ht="58.5" customHeight="1">
      <c r="A477" s="71" t="s">
        <v>0</v>
      </c>
      <c r="B477" s="650" t="s">
        <v>30</v>
      </c>
      <c r="C477" s="128" t="s">
        <v>119</v>
      </c>
      <c r="D477" s="100" t="s">
        <v>117</v>
      </c>
      <c r="E477" s="100" t="s">
        <v>198</v>
      </c>
      <c r="F477" s="100" t="s">
        <v>1</v>
      </c>
      <c r="G477" s="597">
        <v>8568331.34</v>
      </c>
      <c r="H477" s="597">
        <v>11840000</v>
      </c>
      <c r="I477" s="577">
        <v>10598853.73</v>
      </c>
      <c r="J477" s="204">
        <f t="shared" si="13"/>
        <v>89.51734569256757</v>
      </c>
      <c r="K477" s="51"/>
    </row>
    <row r="478" spans="1:11" ht="57" customHeight="1">
      <c r="A478" s="70" t="s">
        <v>404</v>
      </c>
      <c r="B478" s="650" t="s">
        <v>30</v>
      </c>
      <c r="C478" s="105" t="s">
        <v>119</v>
      </c>
      <c r="D478" s="98" t="s">
        <v>117</v>
      </c>
      <c r="E478" s="98" t="s">
        <v>239</v>
      </c>
      <c r="F478" s="98"/>
      <c r="G478" s="603">
        <f>SUM(G479:G479)</f>
        <v>1005100</v>
      </c>
      <c r="H478" s="603">
        <f>SUM(H479:H479)</f>
        <v>2278800</v>
      </c>
      <c r="I478" s="583">
        <f>SUM(I479:I479)</f>
        <v>1576500</v>
      </c>
      <c r="J478" s="204">
        <f t="shared" si="13"/>
        <v>69.18114797261717</v>
      </c>
      <c r="K478" s="51"/>
    </row>
    <row r="479" spans="1:11" ht="15.75" customHeight="1">
      <c r="A479" s="85" t="s">
        <v>167</v>
      </c>
      <c r="B479" s="650" t="s">
        <v>30</v>
      </c>
      <c r="C479" s="106" t="s">
        <v>119</v>
      </c>
      <c r="D479" s="100" t="s">
        <v>117</v>
      </c>
      <c r="E479" s="100" t="s">
        <v>239</v>
      </c>
      <c r="F479" s="100" t="s">
        <v>166</v>
      </c>
      <c r="G479" s="597">
        <v>1005100</v>
      </c>
      <c r="H479" s="597">
        <v>2278800</v>
      </c>
      <c r="I479" s="577">
        <v>1576500</v>
      </c>
      <c r="J479" s="204">
        <f t="shared" si="13"/>
        <v>69.18114797261717</v>
      </c>
      <c r="K479" s="51"/>
    </row>
    <row r="480" spans="1:11" ht="39" customHeight="1">
      <c r="A480" s="70" t="s">
        <v>692</v>
      </c>
      <c r="B480" s="650" t="s">
        <v>30</v>
      </c>
      <c r="C480" s="105" t="s">
        <v>119</v>
      </c>
      <c r="D480" s="98" t="s">
        <v>117</v>
      </c>
      <c r="E480" s="98" t="s">
        <v>691</v>
      </c>
      <c r="F480" s="98"/>
      <c r="G480" s="603">
        <f>SUM(G481:G481)</f>
        <v>0</v>
      </c>
      <c r="H480" s="603">
        <f>SUM(H481:H481)</f>
        <v>4949900</v>
      </c>
      <c r="I480" s="583">
        <f>SUM(I481:I481)</f>
        <v>1484970</v>
      </c>
      <c r="J480" s="204">
        <f t="shared" si="13"/>
        <v>30</v>
      </c>
      <c r="K480" s="51"/>
    </row>
    <row r="481" spans="1:11" ht="15.75" customHeight="1">
      <c r="A481" s="85" t="s">
        <v>167</v>
      </c>
      <c r="B481" s="650" t="s">
        <v>30</v>
      </c>
      <c r="C481" s="106" t="s">
        <v>119</v>
      </c>
      <c r="D481" s="100" t="s">
        <v>117</v>
      </c>
      <c r="E481" s="100" t="s">
        <v>691</v>
      </c>
      <c r="F481" s="100" t="s">
        <v>166</v>
      </c>
      <c r="G481" s="597"/>
      <c r="H481" s="597">
        <v>4949900</v>
      </c>
      <c r="I481" s="577">
        <v>1484970</v>
      </c>
      <c r="J481" s="204">
        <f t="shared" si="13"/>
        <v>30</v>
      </c>
      <c r="K481" s="51"/>
    </row>
    <row r="482" spans="1:11" ht="44.25" customHeight="1">
      <c r="A482" s="70" t="s">
        <v>819</v>
      </c>
      <c r="B482" s="650" t="s">
        <v>30</v>
      </c>
      <c r="C482" s="105" t="s">
        <v>119</v>
      </c>
      <c r="D482" s="98" t="s">
        <v>117</v>
      </c>
      <c r="E482" s="98" t="s">
        <v>818</v>
      </c>
      <c r="F482" s="98"/>
      <c r="G482" s="603">
        <f>SUM(G483:G483)</f>
        <v>227640</v>
      </c>
      <c r="H482" s="603">
        <f>SUM(H483:H483)</f>
        <v>227640</v>
      </c>
      <c r="I482" s="583">
        <f>SUM(I483:I483)</f>
        <v>0</v>
      </c>
      <c r="J482" s="204">
        <f t="shared" si="13"/>
        <v>0</v>
      </c>
      <c r="K482" s="51"/>
    </row>
    <row r="483" spans="1:11" ht="15.75" customHeight="1">
      <c r="A483" s="85" t="s">
        <v>167</v>
      </c>
      <c r="B483" s="650" t="s">
        <v>30</v>
      </c>
      <c r="C483" s="106" t="s">
        <v>119</v>
      </c>
      <c r="D483" s="100" t="s">
        <v>117</v>
      </c>
      <c r="E483" s="100" t="s">
        <v>818</v>
      </c>
      <c r="F483" s="100" t="s">
        <v>166</v>
      </c>
      <c r="G483" s="597">
        <v>227640</v>
      </c>
      <c r="H483" s="597">
        <v>227640</v>
      </c>
      <c r="I483" s="577">
        <v>0</v>
      </c>
      <c r="J483" s="204">
        <f t="shared" si="13"/>
        <v>0</v>
      </c>
      <c r="K483" s="51"/>
    </row>
    <row r="484" spans="1:11" ht="54.75" customHeight="1">
      <c r="A484" s="70" t="s">
        <v>877</v>
      </c>
      <c r="B484" s="650" t="s">
        <v>30</v>
      </c>
      <c r="C484" s="105" t="s">
        <v>119</v>
      </c>
      <c r="D484" s="98" t="s">
        <v>117</v>
      </c>
      <c r="E484" s="98" t="s">
        <v>876</v>
      </c>
      <c r="F484" s="98"/>
      <c r="G484" s="603">
        <f>SUM(G485:G485)</f>
        <v>421958.21</v>
      </c>
      <c r="H484" s="603">
        <f>SUM(H485:H485)</f>
        <v>0</v>
      </c>
      <c r="I484" s="583">
        <f>SUM(I485:I485)</f>
        <v>0</v>
      </c>
      <c r="J484" s="204" t="e">
        <f t="shared" si="13"/>
        <v>#DIV/0!</v>
      </c>
      <c r="K484" s="51"/>
    </row>
    <row r="485" spans="1:11" ht="55.5" customHeight="1">
      <c r="A485" s="71" t="s">
        <v>0</v>
      </c>
      <c r="B485" s="650" t="s">
        <v>30</v>
      </c>
      <c r="C485" s="106" t="s">
        <v>119</v>
      </c>
      <c r="D485" s="100" t="s">
        <v>117</v>
      </c>
      <c r="E485" s="100" t="s">
        <v>876</v>
      </c>
      <c r="F485" s="100" t="s">
        <v>1</v>
      </c>
      <c r="G485" s="597">
        <v>421958.21</v>
      </c>
      <c r="H485" s="597">
        <v>0</v>
      </c>
      <c r="I485" s="577">
        <v>0</v>
      </c>
      <c r="J485" s="204" t="e">
        <f t="shared" si="13"/>
        <v>#DIV/0!</v>
      </c>
      <c r="K485" s="51"/>
    </row>
    <row r="486" spans="1:11" ht="51">
      <c r="A486" s="70" t="s">
        <v>405</v>
      </c>
      <c r="B486" s="650" t="s">
        <v>30</v>
      </c>
      <c r="C486" s="105" t="s">
        <v>119</v>
      </c>
      <c r="D486" s="98" t="s">
        <v>117</v>
      </c>
      <c r="E486" s="98" t="s">
        <v>84</v>
      </c>
      <c r="F486" s="98"/>
      <c r="G486" s="603">
        <f>G487</f>
        <v>299650</v>
      </c>
      <c r="H486" s="603">
        <f>H487</f>
        <v>565500</v>
      </c>
      <c r="I486" s="583">
        <f>I487</f>
        <v>394125</v>
      </c>
      <c r="J486" s="204">
        <f t="shared" si="13"/>
        <v>69.6949602122016</v>
      </c>
      <c r="K486" s="51"/>
    </row>
    <row r="487" spans="1:11" ht="13.5" customHeight="1">
      <c r="A487" s="85" t="s">
        <v>167</v>
      </c>
      <c r="B487" s="650" t="s">
        <v>30</v>
      </c>
      <c r="C487" s="106" t="s">
        <v>119</v>
      </c>
      <c r="D487" s="100" t="s">
        <v>117</v>
      </c>
      <c r="E487" s="100" t="s">
        <v>84</v>
      </c>
      <c r="F487" s="100" t="s">
        <v>166</v>
      </c>
      <c r="G487" s="597">
        <v>299650</v>
      </c>
      <c r="H487" s="597">
        <v>565500</v>
      </c>
      <c r="I487" s="577">
        <v>394125</v>
      </c>
      <c r="J487" s="204">
        <f t="shared" si="13"/>
        <v>69.6949602122016</v>
      </c>
      <c r="K487" s="51"/>
    </row>
    <row r="488" spans="1:11" ht="30" customHeight="1">
      <c r="A488" s="70" t="s">
        <v>576</v>
      </c>
      <c r="B488" s="650" t="s">
        <v>30</v>
      </c>
      <c r="C488" s="105" t="s">
        <v>119</v>
      </c>
      <c r="D488" s="98" t="s">
        <v>117</v>
      </c>
      <c r="E488" s="98" t="s">
        <v>627</v>
      </c>
      <c r="F488" s="98"/>
      <c r="G488" s="603">
        <f>G489</f>
        <v>0</v>
      </c>
      <c r="H488" s="603">
        <f>H489</f>
        <v>160000</v>
      </c>
      <c r="I488" s="583">
        <f>I489</f>
        <v>88341.69</v>
      </c>
      <c r="J488" s="204">
        <f t="shared" si="13"/>
        <v>55.21355625</v>
      </c>
      <c r="K488" s="51"/>
    </row>
    <row r="489" spans="1:11" ht="13.5" customHeight="1">
      <c r="A489" s="85" t="s">
        <v>167</v>
      </c>
      <c r="B489" s="650" t="s">
        <v>30</v>
      </c>
      <c r="C489" s="106" t="s">
        <v>119</v>
      </c>
      <c r="D489" s="100" t="s">
        <v>117</v>
      </c>
      <c r="E489" s="100" t="s">
        <v>627</v>
      </c>
      <c r="F489" s="100" t="s">
        <v>166</v>
      </c>
      <c r="G489" s="597">
        <v>0</v>
      </c>
      <c r="H489" s="597">
        <v>160000</v>
      </c>
      <c r="I489" s="577">
        <v>88341.69</v>
      </c>
      <c r="J489" s="204">
        <f t="shared" si="13"/>
        <v>55.21355625</v>
      </c>
      <c r="K489" s="51"/>
    </row>
    <row r="490" spans="1:11" ht="26.25" customHeight="1">
      <c r="A490" s="70" t="s">
        <v>683</v>
      </c>
      <c r="B490" s="650" t="s">
        <v>30</v>
      </c>
      <c r="C490" s="105" t="s">
        <v>119</v>
      </c>
      <c r="D490" s="98" t="s">
        <v>117</v>
      </c>
      <c r="E490" s="98" t="s">
        <v>694</v>
      </c>
      <c r="F490" s="98"/>
      <c r="G490" s="605">
        <f>G491</f>
        <v>0</v>
      </c>
      <c r="H490" s="605">
        <f>H491</f>
        <v>556000</v>
      </c>
      <c r="I490" s="586">
        <f>I491</f>
        <v>0</v>
      </c>
      <c r="J490" s="204">
        <f t="shared" si="13"/>
        <v>0</v>
      </c>
      <c r="K490" s="51"/>
    </row>
    <row r="491" spans="1:11" ht="13.5" customHeight="1">
      <c r="A491" s="71" t="s">
        <v>417</v>
      </c>
      <c r="B491" s="650" t="s">
        <v>30</v>
      </c>
      <c r="C491" s="106" t="s">
        <v>119</v>
      </c>
      <c r="D491" s="100" t="s">
        <v>117</v>
      </c>
      <c r="E491" s="100" t="s">
        <v>694</v>
      </c>
      <c r="F491" s="100" t="s">
        <v>168</v>
      </c>
      <c r="G491" s="597">
        <v>0</v>
      </c>
      <c r="H491" s="597">
        <v>556000</v>
      </c>
      <c r="I491" s="577">
        <v>0</v>
      </c>
      <c r="J491" s="204">
        <f t="shared" si="13"/>
        <v>0</v>
      </c>
      <c r="K491" s="51"/>
    </row>
    <row r="492" spans="1:11" ht="42" customHeight="1">
      <c r="A492" s="70" t="s">
        <v>546</v>
      </c>
      <c r="B492" s="650" t="s">
        <v>30</v>
      </c>
      <c r="C492" s="105" t="s">
        <v>119</v>
      </c>
      <c r="D492" s="98" t="s">
        <v>117</v>
      </c>
      <c r="E492" s="98" t="s">
        <v>695</v>
      </c>
      <c r="F492" s="110"/>
      <c r="G492" s="605">
        <f>G493</f>
        <v>0</v>
      </c>
      <c r="H492" s="605">
        <f>H493</f>
        <v>35808.92</v>
      </c>
      <c r="I492" s="586">
        <f>I493</f>
        <v>35808.92</v>
      </c>
      <c r="J492" s="204">
        <f t="shared" si="13"/>
        <v>100</v>
      </c>
      <c r="K492" s="51"/>
    </row>
    <row r="493" spans="1:11" ht="13.5" customHeight="1">
      <c r="A493" s="71" t="s">
        <v>417</v>
      </c>
      <c r="B493" s="650" t="s">
        <v>30</v>
      </c>
      <c r="C493" s="106" t="s">
        <v>119</v>
      </c>
      <c r="D493" s="100" t="s">
        <v>117</v>
      </c>
      <c r="E493" s="100" t="s">
        <v>695</v>
      </c>
      <c r="F493" s="104" t="s">
        <v>168</v>
      </c>
      <c r="G493" s="597">
        <v>0</v>
      </c>
      <c r="H493" s="597">
        <v>35808.92</v>
      </c>
      <c r="I493" s="577">
        <v>35808.92</v>
      </c>
      <c r="J493" s="204">
        <f t="shared" si="13"/>
        <v>100</v>
      </c>
      <c r="K493" s="51"/>
    </row>
    <row r="494" spans="1:11" ht="56.25" customHeight="1">
      <c r="A494" s="70" t="s">
        <v>879</v>
      </c>
      <c r="B494" s="650" t="s">
        <v>30</v>
      </c>
      <c r="C494" s="105" t="s">
        <v>119</v>
      </c>
      <c r="D494" s="98" t="s">
        <v>117</v>
      </c>
      <c r="E494" s="98" t="s">
        <v>878</v>
      </c>
      <c r="F494" s="110"/>
      <c r="G494" s="605">
        <f>G495</f>
        <v>102030.41</v>
      </c>
      <c r="H494" s="605">
        <f>H495</f>
        <v>0</v>
      </c>
      <c r="I494" s="586">
        <f>I495</f>
        <v>0</v>
      </c>
      <c r="J494" s="204" t="e">
        <f t="shared" si="13"/>
        <v>#DIV/0!</v>
      </c>
      <c r="K494" s="51"/>
    </row>
    <row r="495" spans="1:11" ht="13.5" customHeight="1">
      <c r="A495" s="71" t="s">
        <v>417</v>
      </c>
      <c r="B495" s="650" t="s">
        <v>30</v>
      </c>
      <c r="C495" s="106" t="s">
        <v>119</v>
      </c>
      <c r="D495" s="100" t="s">
        <v>117</v>
      </c>
      <c r="E495" s="100" t="s">
        <v>878</v>
      </c>
      <c r="F495" s="104" t="s">
        <v>168</v>
      </c>
      <c r="G495" s="597">
        <v>102030.41</v>
      </c>
      <c r="H495" s="597">
        <v>0</v>
      </c>
      <c r="I495" s="577">
        <v>0</v>
      </c>
      <c r="J495" s="204" t="e">
        <f t="shared" si="13"/>
        <v>#DIV/0!</v>
      </c>
      <c r="K495" s="51"/>
    </row>
    <row r="496" spans="1:11" ht="48" customHeight="1">
      <c r="A496" s="70" t="s">
        <v>792</v>
      </c>
      <c r="B496" s="650" t="s">
        <v>30</v>
      </c>
      <c r="C496" s="105" t="s">
        <v>119</v>
      </c>
      <c r="D496" s="98" t="s">
        <v>117</v>
      </c>
      <c r="E496" s="98" t="s">
        <v>693</v>
      </c>
      <c r="F496" s="110"/>
      <c r="G496" s="605">
        <f>G497</f>
        <v>0</v>
      </c>
      <c r="H496" s="605">
        <f>H497</f>
        <v>26500</v>
      </c>
      <c r="I496" s="586">
        <f>I497</f>
        <v>26500</v>
      </c>
      <c r="J496" s="204">
        <f t="shared" si="13"/>
        <v>100</v>
      </c>
      <c r="K496" s="51"/>
    </row>
    <row r="497" spans="1:11" ht="13.5" customHeight="1">
      <c r="A497" s="71" t="s">
        <v>417</v>
      </c>
      <c r="B497" s="650" t="s">
        <v>30</v>
      </c>
      <c r="C497" s="106" t="s">
        <v>119</v>
      </c>
      <c r="D497" s="100" t="s">
        <v>117</v>
      </c>
      <c r="E497" s="100" t="s">
        <v>693</v>
      </c>
      <c r="F497" s="104" t="s">
        <v>168</v>
      </c>
      <c r="G497" s="597">
        <v>0</v>
      </c>
      <c r="H497" s="597">
        <v>26500</v>
      </c>
      <c r="I497" s="577">
        <v>26500</v>
      </c>
      <c r="J497" s="204">
        <f t="shared" si="13"/>
        <v>100</v>
      </c>
      <c r="K497" s="51"/>
    </row>
    <row r="498" spans="1:11" ht="24.75" customHeight="1">
      <c r="A498" s="90" t="s">
        <v>577</v>
      </c>
      <c r="B498" s="632" t="s">
        <v>30</v>
      </c>
      <c r="C498" s="126" t="s">
        <v>99</v>
      </c>
      <c r="D498" s="130" t="s">
        <v>117</v>
      </c>
      <c r="E498" s="130" t="s">
        <v>628</v>
      </c>
      <c r="F498" s="130"/>
      <c r="G498" s="602">
        <f>G499</f>
        <v>0</v>
      </c>
      <c r="H498" s="602">
        <f>H499</f>
        <v>177500</v>
      </c>
      <c r="I498" s="582">
        <f>I499</f>
        <v>150954.95</v>
      </c>
      <c r="J498" s="630">
        <f t="shared" si="13"/>
        <v>85.04504225352113</v>
      </c>
      <c r="K498" s="51"/>
    </row>
    <row r="499" spans="1:11" ht="42.75" customHeight="1">
      <c r="A499" s="70" t="s">
        <v>578</v>
      </c>
      <c r="B499" s="650" t="s">
        <v>30</v>
      </c>
      <c r="C499" s="105" t="s">
        <v>119</v>
      </c>
      <c r="D499" s="98" t="s">
        <v>117</v>
      </c>
      <c r="E499" s="98" t="s">
        <v>629</v>
      </c>
      <c r="F499" s="98"/>
      <c r="G499" s="603">
        <f>G500+G501</f>
        <v>0</v>
      </c>
      <c r="H499" s="603">
        <f>H500+H501</f>
        <v>177500</v>
      </c>
      <c r="I499" s="583">
        <f>I500+I501</f>
        <v>150954.95</v>
      </c>
      <c r="J499" s="204">
        <f t="shared" si="13"/>
        <v>85.04504225352113</v>
      </c>
      <c r="K499" s="51"/>
    </row>
    <row r="500" spans="1:11" ht="19.5" customHeight="1">
      <c r="A500" s="71" t="s">
        <v>329</v>
      </c>
      <c r="B500" s="650" t="s">
        <v>30</v>
      </c>
      <c r="C500" s="106" t="s">
        <v>119</v>
      </c>
      <c r="D500" s="100" t="s">
        <v>117</v>
      </c>
      <c r="E500" s="100" t="s">
        <v>629</v>
      </c>
      <c r="F500" s="100" t="s">
        <v>168</v>
      </c>
      <c r="G500" s="597"/>
      <c r="H500" s="597">
        <v>120000</v>
      </c>
      <c r="I500" s="577">
        <v>93454.95</v>
      </c>
      <c r="J500" s="204">
        <f t="shared" si="13"/>
        <v>77.87912499999999</v>
      </c>
      <c r="K500" s="51"/>
    </row>
    <row r="501" spans="1:11" ht="30" customHeight="1">
      <c r="A501" s="71" t="s">
        <v>804</v>
      </c>
      <c r="B501" s="650" t="s">
        <v>30</v>
      </c>
      <c r="C501" s="106" t="s">
        <v>119</v>
      </c>
      <c r="D501" s="100" t="s">
        <v>117</v>
      </c>
      <c r="E501" s="100" t="s">
        <v>629</v>
      </c>
      <c r="F501" s="100" t="s">
        <v>168</v>
      </c>
      <c r="G501" s="597"/>
      <c r="H501" s="597">
        <v>57500</v>
      </c>
      <c r="I501" s="577">
        <v>57500</v>
      </c>
      <c r="J501" s="204">
        <f t="shared" si="13"/>
        <v>100</v>
      </c>
      <c r="K501" s="51"/>
    </row>
    <row r="502" spans="1:11" ht="31.5" customHeight="1">
      <c r="A502" s="188" t="s">
        <v>579</v>
      </c>
      <c r="B502" s="650" t="s">
        <v>30</v>
      </c>
      <c r="C502" s="198" t="s">
        <v>119</v>
      </c>
      <c r="D502" s="118" t="s">
        <v>117</v>
      </c>
      <c r="E502" s="118" t="s">
        <v>406</v>
      </c>
      <c r="F502" s="118"/>
      <c r="G502" s="606">
        <f>G503+G505+G508+G510+G512+G514+G516+G518+G520+G522</f>
        <v>14824197.11</v>
      </c>
      <c r="H502" s="606">
        <f>H503+H505+H508+H510+H512+H514+H516+H518+H520+H522</f>
        <v>13657579.540000001</v>
      </c>
      <c r="I502" s="587">
        <f>I503+I505+I508+I510+I512+I514+I516+I518+I520+I522</f>
        <v>11689782.75</v>
      </c>
      <c r="J502" s="204">
        <f t="shared" si="13"/>
        <v>85.59190679258529</v>
      </c>
      <c r="K502" s="51"/>
    </row>
    <row r="503" spans="1:11" ht="25.5" customHeight="1">
      <c r="A503" s="72" t="s">
        <v>580</v>
      </c>
      <c r="B503" s="650" t="s">
        <v>30</v>
      </c>
      <c r="C503" s="97" t="s">
        <v>119</v>
      </c>
      <c r="D503" s="98" t="s">
        <v>117</v>
      </c>
      <c r="E503" s="98" t="s">
        <v>630</v>
      </c>
      <c r="F503" s="98"/>
      <c r="G503" s="603">
        <f>SUM(G504:G504)</f>
        <v>2417421.6</v>
      </c>
      <c r="H503" s="603">
        <f>SUM(H504:H504)</f>
        <v>3648785.05</v>
      </c>
      <c r="I503" s="583">
        <f>SUM(I504:I504)</f>
        <v>3111263.03</v>
      </c>
      <c r="J503" s="204">
        <f t="shared" si="13"/>
        <v>85.2684657321757</v>
      </c>
      <c r="K503" s="51"/>
    </row>
    <row r="504" spans="1:11" ht="58.5" customHeight="1">
      <c r="A504" s="71" t="s">
        <v>0</v>
      </c>
      <c r="B504" s="650" t="s">
        <v>30</v>
      </c>
      <c r="C504" s="128" t="s">
        <v>119</v>
      </c>
      <c r="D504" s="100" t="s">
        <v>117</v>
      </c>
      <c r="E504" s="100" t="s">
        <v>630</v>
      </c>
      <c r="F504" s="100" t="s">
        <v>1</v>
      </c>
      <c r="G504" s="597">
        <f>613000+599997+166000+361068.7+677355.9</f>
        <v>2417421.6</v>
      </c>
      <c r="H504" s="597">
        <v>3648785.05</v>
      </c>
      <c r="I504" s="577">
        <v>3111263.03</v>
      </c>
      <c r="J504" s="204">
        <f t="shared" si="13"/>
        <v>85.2684657321757</v>
      </c>
      <c r="K504" s="51"/>
    </row>
    <row r="505" spans="1:11" ht="27" customHeight="1">
      <c r="A505" s="72" t="s">
        <v>581</v>
      </c>
      <c r="B505" s="650" t="s">
        <v>30</v>
      </c>
      <c r="C505" s="97" t="s">
        <v>119</v>
      </c>
      <c r="D505" s="98" t="s">
        <v>117</v>
      </c>
      <c r="E505" s="98" t="s">
        <v>631</v>
      </c>
      <c r="F505" s="98"/>
      <c r="G505" s="603">
        <f>SUM(G506:G507)</f>
        <v>6845585.359999999</v>
      </c>
      <c r="H505" s="603">
        <f>SUM(H506:H507)</f>
        <v>7716381.77</v>
      </c>
      <c r="I505" s="583">
        <f>SUM(I506:I507)</f>
        <v>7399144.72</v>
      </c>
      <c r="J505" s="204">
        <f t="shared" si="13"/>
        <v>95.88878493242306</v>
      </c>
      <c r="K505" s="51"/>
    </row>
    <row r="506" spans="1:11" ht="51" customHeight="1">
      <c r="A506" s="71" t="s">
        <v>0</v>
      </c>
      <c r="B506" s="650" t="s">
        <v>30</v>
      </c>
      <c r="C506" s="128" t="s">
        <v>119</v>
      </c>
      <c r="D506" s="100" t="s">
        <v>117</v>
      </c>
      <c r="E506" s="100" t="s">
        <v>631</v>
      </c>
      <c r="F506" s="100" t="s">
        <v>1</v>
      </c>
      <c r="G506" s="597">
        <f>1025905+1213000+1220000+579433.36+2807247</f>
        <v>6845585.359999999</v>
      </c>
      <c r="H506" s="597">
        <v>7651381.77</v>
      </c>
      <c r="I506" s="577">
        <v>7334144.72</v>
      </c>
      <c r="J506" s="204">
        <f t="shared" si="13"/>
        <v>95.85385934807434</v>
      </c>
      <c r="K506" s="51"/>
    </row>
    <row r="507" spans="1:11" ht="51" customHeight="1">
      <c r="A507" s="71" t="s">
        <v>805</v>
      </c>
      <c r="B507" s="650" t="s">
        <v>30</v>
      </c>
      <c r="C507" s="128" t="s">
        <v>119</v>
      </c>
      <c r="D507" s="100" t="s">
        <v>117</v>
      </c>
      <c r="E507" s="100" t="s">
        <v>631</v>
      </c>
      <c r="F507" s="100" t="s">
        <v>1</v>
      </c>
      <c r="G507" s="597">
        <v>0</v>
      </c>
      <c r="H507" s="597">
        <v>65000</v>
      </c>
      <c r="I507" s="577">
        <v>65000</v>
      </c>
      <c r="J507" s="204">
        <f t="shared" si="13"/>
        <v>100</v>
      </c>
      <c r="K507" s="51"/>
    </row>
    <row r="508" spans="1:11" ht="60" customHeight="1">
      <c r="A508" s="70" t="s">
        <v>404</v>
      </c>
      <c r="B508" s="650" t="s">
        <v>30</v>
      </c>
      <c r="C508" s="105" t="s">
        <v>119</v>
      </c>
      <c r="D508" s="98" t="s">
        <v>117</v>
      </c>
      <c r="E508" s="98" t="s">
        <v>632</v>
      </c>
      <c r="F508" s="98"/>
      <c r="G508" s="603">
        <f>SUM(G509:G509)</f>
        <v>745900</v>
      </c>
      <c r="H508" s="603">
        <f>SUM(H509:H509)</f>
        <v>1347000</v>
      </c>
      <c r="I508" s="583">
        <f>SUM(I509:I509)</f>
        <v>943500</v>
      </c>
      <c r="J508" s="204">
        <f t="shared" si="13"/>
        <v>70.0445434298441</v>
      </c>
      <c r="K508" s="51"/>
    </row>
    <row r="509" spans="1:11" ht="15" customHeight="1">
      <c r="A509" s="85" t="s">
        <v>167</v>
      </c>
      <c r="B509" s="650" t="s">
        <v>30</v>
      </c>
      <c r="C509" s="106" t="s">
        <v>119</v>
      </c>
      <c r="D509" s="100" t="s">
        <v>117</v>
      </c>
      <c r="E509" s="100" t="s">
        <v>632</v>
      </c>
      <c r="F509" s="100" t="s">
        <v>166</v>
      </c>
      <c r="G509" s="597">
        <f>157400+170500+68600+45600+303800</f>
        <v>745900</v>
      </c>
      <c r="H509" s="597">
        <v>1347000</v>
      </c>
      <c r="I509" s="577">
        <v>943500</v>
      </c>
      <c r="J509" s="204">
        <f t="shared" si="13"/>
        <v>70.0445434298441</v>
      </c>
      <c r="K509" s="51"/>
    </row>
    <row r="510" spans="1:11" ht="44.25" customHeight="1">
      <c r="A510" s="70" t="s">
        <v>871</v>
      </c>
      <c r="B510" s="650" t="s">
        <v>30</v>
      </c>
      <c r="C510" s="105" t="s">
        <v>119</v>
      </c>
      <c r="D510" s="98" t="s">
        <v>117</v>
      </c>
      <c r="E510" s="98" t="s">
        <v>899</v>
      </c>
      <c r="F510" s="98"/>
      <c r="G510" s="603">
        <f>SUM(G511:G511)</f>
        <v>2495700</v>
      </c>
      <c r="H510" s="603">
        <f>SUM(H511:H511)</f>
        <v>0</v>
      </c>
      <c r="I510" s="583">
        <f>SUM(I511:I511)</f>
        <v>0</v>
      </c>
      <c r="J510" s="204" t="e">
        <f t="shared" si="13"/>
        <v>#DIV/0!</v>
      </c>
      <c r="K510" s="51"/>
    </row>
    <row r="511" spans="1:11" ht="15" customHeight="1">
      <c r="A511" s="85" t="s">
        <v>167</v>
      </c>
      <c r="B511" s="650" t="s">
        <v>30</v>
      </c>
      <c r="C511" s="106" t="s">
        <v>119</v>
      </c>
      <c r="D511" s="100" t="s">
        <v>117</v>
      </c>
      <c r="E511" s="100" t="s">
        <v>899</v>
      </c>
      <c r="F511" s="100" t="s">
        <v>166</v>
      </c>
      <c r="G511" s="597">
        <f>335000+2160700</f>
        <v>2495700</v>
      </c>
      <c r="H511" s="597">
        <v>0</v>
      </c>
      <c r="I511" s="577">
        <v>0</v>
      </c>
      <c r="J511" s="204" t="e">
        <f t="shared" si="13"/>
        <v>#DIV/0!</v>
      </c>
      <c r="K511" s="51"/>
    </row>
    <row r="512" spans="1:11" ht="47.25" customHeight="1">
      <c r="A512" s="70" t="s">
        <v>819</v>
      </c>
      <c r="B512" s="650" t="s">
        <v>30</v>
      </c>
      <c r="C512" s="105" t="s">
        <v>119</v>
      </c>
      <c r="D512" s="98" t="s">
        <v>117</v>
      </c>
      <c r="E512" s="98" t="s">
        <v>823</v>
      </c>
      <c r="F512" s="98"/>
      <c r="G512" s="603">
        <f>SUM(G513:G513)</f>
        <v>21680</v>
      </c>
      <c r="H512" s="603">
        <f>SUM(H513:H513)</f>
        <v>32520</v>
      </c>
      <c r="I512" s="583">
        <f>SUM(I513:I513)</f>
        <v>0</v>
      </c>
      <c r="J512" s="204">
        <f t="shared" si="13"/>
        <v>0</v>
      </c>
      <c r="K512" s="51"/>
    </row>
    <row r="513" spans="1:11" ht="15" customHeight="1">
      <c r="A513" s="85" t="s">
        <v>167</v>
      </c>
      <c r="B513" s="650" t="s">
        <v>30</v>
      </c>
      <c r="C513" s="106" t="s">
        <v>119</v>
      </c>
      <c r="D513" s="100" t="s">
        <v>117</v>
      </c>
      <c r="E513" s="100" t="s">
        <v>823</v>
      </c>
      <c r="F513" s="100" t="s">
        <v>166</v>
      </c>
      <c r="G513" s="597">
        <v>21680</v>
      </c>
      <c r="H513" s="597">
        <v>32520</v>
      </c>
      <c r="I513" s="577">
        <v>0</v>
      </c>
      <c r="J513" s="204">
        <f t="shared" si="13"/>
        <v>0</v>
      </c>
      <c r="K513" s="51"/>
    </row>
    <row r="514" spans="1:11" ht="66" customHeight="1">
      <c r="A514" s="70" t="s">
        <v>680</v>
      </c>
      <c r="B514" s="650" t="s">
        <v>30</v>
      </c>
      <c r="C514" s="105" t="s">
        <v>119</v>
      </c>
      <c r="D514" s="98" t="s">
        <v>117</v>
      </c>
      <c r="E514" s="98" t="s">
        <v>820</v>
      </c>
      <c r="F514" s="98"/>
      <c r="G514" s="603">
        <f>SUM(G515:G515)</f>
        <v>0</v>
      </c>
      <c r="H514" s="603">
        <f>SUM(H515:H515)</f>
        <v>571942.72</v>
      </c>
      <c r="I514" s="583">
        <f>SUM(I515:I515)</f>
        <v>0</v>
      </c>
      <c r="J514" s="204">
        <f t="shared" si="13"/>
        <v>0</v>
      </c>
      <c r="K514" s="51"/>
    </row>
    <row r="515" spans="1:11" ht="15" customHeight="1">
      <c r="A515" s="71" t="s">
        <v>329</v>
      </c>
      <c r="B515" s="650" t="s">
        <v>30</v>
      </c>
      <c r="C515" s="106" t="s">
        <v>119</v>
      </c>
      <c r="D515" s="100" t="s">
        <v>117</v>
      </c>
      <c r="E515" s="100" t="s">
        <v>820</v>
      </c>
      <c r="F515" s="100" t="s">
        <v>168</v>
      </c>
      <c r="G515" s="597">
        <v>0</v>
      </c>
      <c r="H515" s="597">
        <v>571942.72</v>
      </c>
      <c r="I515" s="577">
        <v>0</v>
      </c>
      <c r="J515" s="204">
        <f t="shared" si="13"/>
        <v>0</v>
      </c>
      <c r="K515" s="51"/>
    </row>
    <row r="516" spans="1:11" ht="56.25" customHeight="1">
      <c r="A516" s="70" t="s">
        <v>405</v>
      </c>
      <c r="B516" s="650" t="s">
        <v>30</v>
      </c>
      <c r="C516" s="105" t="s">
        <v>119</v>
      </c>
      <c r="D516" s="98" t="s">
        <v>117</v>
      </c>
      <c r="E516" s="98" t="s">
        <v>633</v>
      </c>
      <c r="F516" s="98"/>
      <c r="G516" s="603">
        <f>G517</f>
        <v>182230</v>
      </c>
      <c r="H516" s="603">
        <f>H517</f>
        <v>340950</v>
      </c>
      <c r="I516" s="583">
        <f>I517</f>
        <v>235875</v>
      </c>
      <c r="J516" s="204">
        <f t="shared" si="13"/>
        <v>69.18169819621646</v>
      </c>
      <c r="K516" s="51"/>
    </row>
    <row r="517" spans="1:11" ht="14.25" customHeight="1">
      <c r="A517" s="85" t="s">
        <v>167</v>
      </c>
      <c r="B517" s="650" t="s">
        <v>30</v>
      </c>
      <c r="C517" s="106" t="s">
        <v>119</v>
      </c>
      <c r="D517" s="100" t="s">
        <v>117</v>
      </c>
      <c r="E517" s="100" t="s">
        <v>633</v>
      </c>
      <c r="F517" s="100" t="s">
        <v>166</v>
      </c>
      <c r="G517" s="597">
        <f>37655+42625+16500+9500+75950</f>
        <v>182230</v>
      </c>
      <c r="H517" s="597">
        <v>340950</v>
      </c>
      <c r="I517" s="577">
        <v>235875</v>
      </c>
      <c r="J517" s="204">
        <f t="shared" si="13"/>
        <v>69.18169819621646</v>
      </c>
      <c r="K517" s="51"/>
    </row>
    <row r="518" spans="1:11" ht="54.75" customHeight="1">
      <c r="A518" s="70" t="s">
        <v>901</v>
      </c>
      <c r="B518" s="650" t="s">
        <v>30</v>
      </c>
      <c r="C518" s="105" t="s">
        <v>119</v>
      </c>
      <c r="D518" s="98" t="s">
        <v>117</v>
      </c>
      <c r="E518" s="98" t="s">
        <v>900</v>
      </c>
      <c r="F518" s="98"/>
      <c r="G518" s="603">
        <f>G519</f>
        <v>176767.68</v>
      </c>
      <c r="H518" s="603">
        <f>H519</f>
        <v>0</v>
      </c>
      <c r="I518" s="583">
        <f>I519</f>
        <v>0</v>
      </c>
      <c r="J518" s="204" t="e">
        <f t="shared" si="13"/>
        <v>#DIV/0!</v>
      </c>
      <c r="K518" s="51"/>
    </row>
    <row r="519" spans="1:11" ht="14.25" customHeight="1">
      <c r="A519" s="85" t="s">
        <v>167</v>
      </c>
      <c r="B519" s="650" t="s">
        <v>30</v>
      </c>
      <c r="C519" s="106" t="s">
        <v>119</v>
      </c>
      <c r="D519" s="100" t="s">
        <v>117</v>
      </c>
      <c r="E519" s="100" t="s">
        <v>900</v>
      </c>
      <c r="F519" s="100" t="s">
        <v>166</v>
      </c>
      <c r="G519" s="597">
        <v>176767.68</v>
      </c>
      <c r="H519" s="597">
        <v>0</v>
      </c>
      <c r="I519" s="577">
        <v>0</v>
      </c>
      <c r="J519" s="204" t="e">
        <f t="shared" si="13"/>
        <v>#DIV/0!</v>
      </c>
      <c r="K519" s="51"/>
    </row>
    <row r="520" spans="1:11" ht="40.5" customHeight="1">
      <c r="A520" s="84" t="s">
        <v>907</v>
      </c>
      <c r="B520" s="650" t="s">
        <v>30</v>
      </c>
      <c r="C520" s="105" t="s">
        <v>119</v>
      </c>
      <c r="D520" s="98" t="s">
        <v>117</v>
      </c>
      <c r="E520" s="98" t="s">
        <v>908</v>
      </c>
      <c r="F520" s="98"/>
      <c r="G520" s="603">
        <f>G521</f>
        <v>1833212.47</v>
      </c>
      <c r="H520" s="603">
        <f>H521</f>
        <v>0</v>
      </c>
      <c r="I520" s="583">
        <f>I521</f>
        <v>0</v>
      </c>
      <c r="J520" s="204" t="e">
        <f t="shared" si="13"/>
        <v>#DIV/0!</v>
      </c>
      <c r="K520" s="51"/>
    </row>
    <row r="521" spans="1:11" ht="13.5" customHeight="1">
      <c r="A521" s="71" t="s">
        <v>329</v>
      </c>
      <c r="B521" s="650" t="s">
        <v>30</v>
      </c>
      <c r="C521" s="106" t="s">
        <v>119</v>
      </c>
      <c r="D521" s="100" t="s">
        <v>117</v>
      </c>
      <c r="E521" s="100" t="s">
        <v>908</v>
      </c>
      <c r="F521" s="100" t="s">
        <v>168</v>
      </c>
      <c r="G521" s="597">
        <v>1833212.47</v>
      </c>
      <c r="H521" s="597">
        <v>0</v>
      </c>
      <c r="I521" s="577">
        <v>0</v>
      </c>
      <c r="J521" s="204" t="e">
        <f t="shared" si="13"/>
        <v>#DIV/0!</v>
      </c>
      <c r="K521" s="51"/>
    </row>
    <row r="522" spans="1:11" ht="32.25" customHeight="1">
      <c r="A522" s="70" t="s">
        <v>881</v>
      </c>
      <c r="B522" s="650" t="s">
        <v>30</v>
      </c>
      <c r="C522" s="105" t="s">
        <v>119</v>
      </c>
      <c r="D522" s="98" t="s">
        <v>117</v>
      </c>
      <c r="E522" s="98" t="s">
        <v>880</v>
      </c>
      <c r="F522" s="98"/>
      <c r="G522" s="603">
        <f>G523</f>
        <v>105700</v>
      </c>
      <c r="H522" s="603">
        <f>H523</f>
        <v>0</v>
      </c>
      <c r="I522" s="583">
        <f>I523</f>
        <v>0</v>
      </c>
      <c r="J522" s="204" t="e">
        <f t="shared" si="13"/>
        <v>#DIV/0!</v>
      </c>
      <c r="K522" s="51"/>
    </row>
    <row r="523" spans="1:11" ht="14.25" customHeight="1">
      <c r="A523" s="85" t="s">
        <v>167</v>
      </c>
      <c r="B523" s="650" t="s">
        <v>30</v>
      </c>
      <c r="C523" s="106" t="s">
        <v>119</v>
      </c>
      <c r="D523" s="100" t="s">
        <v>117</v>
      </c>
      <c r="E523" s="100" t="s">
        <v>880</v>
      </c>
      <c r="F523" s="100" t="s">
        <v>166</v>
      </c>
      <c r="G523" s="597">
        <v>105700</v>
      </c>
      <c r="H523" s="597">
        <v>0</v>
      </c>
      <c r="I523" s="577">
        <v>0</v>
      </c>
      <c r="J523" s="204" t="e">
        <f t="shared" si="13"/>
        <v>#DIV/0!</v>
      </c>
      <c r="K523" s="51"/>
    </row>
    <row r="524" spans="1:11" ht="15" customHeight="1">
      <c r="A524" s="89" t="s">
        <v>128</v>
      </c>
      <c r="B524" s="346" t="s">
        <v>30</v>
      </c>
      <c r="C524" s="108" t="s">
        <v>122</v>
      </c>
      <c r="D524" s="109"/>
      <c r="E524" s="107"/>
      <c r="F524" s="109"/>
      <c r="G524" s="594">
        <f>G525+G528+G538+G548</f>
        <v>16291610.959999999</v>
      </c>
      <c r="H524" s="594">
        <f>H525+H528+H538+H548</f>
        <v>28779300</v>
      </c>
      <c r="I524" s="584">
        <f>I525+I528+I538+I548</f>
        <v>15020485.05</v>
      </c>
      <c r="J524" s="628">
        <f aca="true" t="shared" si="15" ref="J524:J587">I524/H524*100</f>
        <v>52.191974961170004</v>
      </c>
      <c r="K524" s="51"/>
    </row>
    <row r="525" spans="1:11" ht="15" customHeight="1">
      <c r="A525" s="657" t="s">
        <v>132</v>
      </c>
      <c r="B525" s="632" t="s">
        <v>30</v>
      </c>
      <c r="C525" s="659" t="s">
        <v>122</v>
      </c>
      <c r="D525" s="644" t="s">
        <v>117</v>
      </c>
      <c r="E525" s="644"/>
      <c r="F525" s="644"/>
      <c r="G525" s="640">
        <f aca="true" t="shared" si="16" ref="G525:I526">G526</f>
        <v>4620766.01</v>
      </c>
      <c r="H525" s="640">
        <f t="shared" si="16"/>
        <v>6400000</v>
      </c>
      <c r="I525" s="641">
        <f t="shared" si="16"/>
        <v>4636618.94</v>
      </c>
      <c r="J525" s="634">
        <f t="shared" si="15"/>
        <v>72.4471709375</v>
      </c>
      <c r="K525" s="51"/>
    </row>
    <row r="526" spans="1:11" ht="15.75" customHeight="1">
      <c r="A526" s="72" t="s">
        <v>144</v>
      </c>
      <c r="B526" s="650" t="s">
        <v>30</v>
      </c>
      <c r="C526" s="97" t="s">
        <v>122</v>
      </c>
      <c r="D526" s="98" t="s">
        <v>117</v>
      </c>
      <c r="E526" s="98" t="s">
        <v>634</v>
      </c>
      <c r="F526" s="98"/>
      <c r="G526" s="596">
        <f t="shared" si="16"/>
        <v>4620766.01</v>
      </c>
      <c r="H526" s="596">
        <f t="shared" si="16"/>
        <v>6400000</v>
      </c>
      <c r="I526" s="576">
        <f t="shared" si="16"/>
        <v>4636618.94</v>
      </c>
      <c r="J526" s="204">
        <f t="shared" si="15"/>
        <v>72.4471709375</v>
      </c>
      <c r="K526" s="51"/>
    </row>
    <row r="527" spans="1:11" ht="13.5" customHeight="1">
      <c r="A527" s="85" t="s">
        <v>2</v>
      </c>
      <c r="B527" s="650" t="s">
        <v>30</v>
      </c>
      <c r="C527" s="128" t="s">
        <v>122</v>
      </c>
      <c r="D527" s="100" t="s">
        <v>117</v>
      </c>
      <c r="E527" s="100" t="s">
        <v>634</v>
      </c>
      <c r="F527" s="100" t="s">
        <v>3</v>
      </c>
      <c r="G527" s="597">
        <f>3818623.95+171786.12+323834+90397.56+216124.38</f>
        <v>4620766.01</v>
      </c>
      <c r="H527" s="597">
        <v>6400000</v>
      </c>
      <c r="I527" s="577">
        <v>4636618.94</v>
      </c>
      <c r="J527" s="204">
        <f t="shared" si="15"/>
        <v>72.4471709375</v>
      </c>
      <c r="K527" s="51"/>
    </row>
    <row r="528" spans="1:11" ht="15.75" customHeight="1">
      <c r="A528" s="657" t="s">
        <v>129</v>
      </c>
      <c r="B528" s="632" t="s">
        <v>30</v>
      </c>
      <c r="C528" s="659" t="s">
        <v>122</v>
      </c>
      <c r="D528" s="644" t="s">
        <v>126</v>
      </c>
      <c r="E528" s="644"/>
      <c r="F528" s="644"/>
      <c r="G528" s="640">
        <f>G532+G535+G529</f>
        <v>2884801.09</v>
      </c>
      <c r="H528" s="640">
        <f>H532+H535+H529</f>
        <v>10670000</v>
      </c>
      <c r="I528" s="641">
        <f>I532+I535+I529</f>
        <v>4388913.03</v>
      </c>
      <c r="J528" s="634">
        <f t="shared" si="15"/>
        <v>41.13320552952203</v>
      </c>
      <c r="K528" s="51"/>
    </row>
    <row r="529" spans="1:11" ht="96" customHeight="1">
      <c r="A529" s="187" t="s">
        <v>392</v>
      </c>
      <c r="B529" s="650" t="s">
        <v>30</v>
      </c>
      <c r="C529" s="97" t="s">
        <v>122</v>
      </c>
      <c r="D529" s="98" t="s">
        <v>126</v>
      </c>
      <c r="E529" s="199" t="s">
        <v>635</v>
      </c>
      <c r="F529" s="98"/>
      <c r="G529" s="596">
        <f>SUM(G530:G531)</f>
        <v>20958</v>
      </c>
      <c r="H529" s="596">
        <f>SUM(H530:H531)</f>
        <v>30000</v>
      </c>
      <c r="I529" s="576">
        <f>SUM(I530:I531)</f>
        <v>6816</v>
      </c>
      <c r="J529" s="204">
        <f t="shared" si="15"/>
        <v>22.720000000000002</v>
      </c>
      <c r="K529" s="51"/>
    </row>
    <row r="530" spans="1:11" ht="14.25" customHeight="1">
      <c r="A530" s="85" t="s">
        <v>189</v>
      </c>
      <c r="B530" s="650" t="s">
        <v>30</v>
      </c>
      <c r="C530" s="99" t="s">
        <v>122</v>
      </c>
      <c r="D530" s="100" t="s">
        <v>126</v>
      </c>
      <c r="E530" s="200" t="s">
        <v>635</v>
      </c>
      <c r="F530" s="100" t="s">
        <v>190</v>
      </c>
      <c r="G530" s="597">
        <v>568</v>
      </c>
      <c r="H530" s="597">
        <v>10000</v>
      </c>
      <c r="I530" s="577">
        <v>0</v>
      </c>
      <c r="J530" s="204">
        <f t="shared" si="15"/>
        <v>0</v>
      </c>
      <c r="K530" s="51"/>
    </row>
    <row r="531" spans="1:11" ht="18" customHeight="1">
      <c r="A531" s="85" t="s">
        <v>167</v>
      </c>
      <c r="B531" s="650" t="s">
        <v>30</v>
      </c>
      <c r="C531" s="99" t="s">
        <v>122</v>
      </c>
      <c r="D531" s="100" t="s">
        <v>126</v>
      </c>
      <c r="E531" s="200" t="s">
        <v>635</v>
      </c>
      <c r="F531" s="100" t="s">
        <v>166</v>
      </c>
      <c r="G531" s="597">
        <v>20390</v>
      </c>
      <c r="H531" s="597">
        <v>20000</v>
      </c>
      <c r="I531" s="577">
        <v>6816</v>
      </c>
      <c r="J531" s="204">
        <f t="shared" si="15"/>
        <v>34.08</v>
      </c>
      <c r="K531" s="51"/>
    </row>
    <row r="532" spans="1:11" ht="52.5" customHeight="1">
      <c r="A532" s="72" t="s">
        <v>407</v>
      </c>
      <c r="B532" s="650" t="s">
        <v>30</v>
      </c>
      <c r="C532" s="97" t="s">
        <v>122</v>
      </c>
      <c r="D532" s="98" t="s">
        <v>126</v>
      </c>
      <c r="E532" s="199" t="s">
        <v>636</v>
      </c>
      <c r="F532" s="98"/>
      <c r="G532" s="596">
        <f>G533+G534</f>
        <v>2577458.58</v>
      </c>
      <c r="H532" s="596">
        <f>H533+H534</f>
        <v>9576000</v>
      </c>
      <c r="I532" s="576">
        <f>I533+I534</f>
        <v>3943062.45</v>
      </c>
      <c r="J532" s="204">
        <f t="shared" si="15"/>
        <v>41.17650845864662</v>
      </c>
      <c r="K532" s="51"/>
    </row>
    <row r="533" spans="1:11" ht="27.75" customHeight="1">
      <c r="A533" s="85" t="s">
        <v>87</v>
      </c>
      <c r="B533" s="650" t="s">
        <v>30</v>
      </c>
      <c r="C533" s="99" t="s">
        <v>122</v>
      </c>
      <c r="D533" s="100" t="s">
        <v>126</v>
      </c>
      <c r="E533" s="200" t="s">
        <v>636</v>
      </c>
      <c r="F533" s="100" t="s">
        <v>88</v>
      </c>
      <c r="G533" s="597">
        <v>913665.52</v>
      </c>
      <c r="H533" s="597">
        <v>5550300</v>
      </c>
      <c r="I533" s="577">
        <v>1381675.45</v>
      </c>
      <c r="J533" s="204">
        <f t="shared" si="15"/>
        <v>24.893707547339783</v>
      </c>
      <c r="K533" s="51"/>
    </row>
    <row r="534" spans="1:11" ht="18" customHeight="1">
      <c r="A534" s="85" t="s">
        <v>167</v>
      </c>
      <c r="B534" s="650" t="s">
        <v>30</v>
      </c>
      <c r="C534" s="99" t="s">
        <v>122</v>
      </c>
      <c r="D534" s="100" t="s">
        <v>126</v>
      </c>
      <c r="E534" s="200" t="s">
        <v>636</v>
      </c>
      <c r="F534" s="100" t="s">
        <v>166</v>
      </c>
      <c r="G534" s="597">
        <v>1663793.06</v>
      </c>
      <c r="H534" s="597">
        <v>4025700</v>
      </c>
      <c r="I534" s="577">
        <v>2561387</v>
      </c>
      <c r="J534" s="204">
        <f t="shared" si="15"/>
        <v>63.62587872916512</v>
      </c>
      <c r="K534" s="51"/>
    </row>
    <row r="535" spans="1:11" ht="58.5" customHeight="1">
      <c r="A535" s="72" t="s">
        <v>408</v>
      </c>
      <c r="B535" s="650" t="s">
        <v>30</v>
      </c>
      <c r="C535" s="97" t="s">
        <v>122</v>
      </c>
      <c r="D535" s="98" t="s">
        <v>126</v>
      </c>
      <c r="E535" s="199" t="s">
        <v>637</v>
      </c>
      <c r="F535" s="98"/>
      <c r="G535" s="596">
        <f>G536+G537</f>
        <v>286384.51</v>
      </c>
      <c r="H535" s="596">
        <f>H536+H537</f>
        <v>1064000</v>
      </c>
      <c r="I535" s="576">
        <f>I536+I537</f>
        <v>439034.58</v>
      </c>
      <c r="J535" s="204">
        <f t="shared" si="15"/>
        <v>41.2626484962406</v>
      </c>
      <c r="K535" s="51"/>
    </row>
    <row r="536" spans="1:11" ht="30" customHeight="1">
      <c r="A536" s="85" t="s">
        <v>87</v>
      </c>
      <c r="B536" s="650" t="s">
        <v>30</v>
      </c>
      <c r="C536" s="99" t="s">
        <v>122</v>
      </c>
      <c r="D536" s="100" t="s">
        <v>126</v>
      </c>
      <c r="E536" s="200" t="s">
        <v>637</v>
      </c>
      <c r="F536" s="100" t="s">
        <v>88</v>
      </c>
      <c r="G536" s="611">
        <v>101518.57</v>
      </c>
      <c r="H536" s="611">
        <v>616700</v>
      </c>
      <c r="I536" s="592">
        <v>154436</v>
      </c>
      <c r="J536" s="204">
        <f t="shared" si="15"/>
        <v>25.04232203664667</v>
      </c>
      <c r="K536" s="51"/>
    </row>
    <row r="537" spans="1:11" ht="12" customHeight="1">
      <c r="A537" s="85" t="s">
        <v>167</v>
      </c>
      <c r="B537" s="650" t="s">
        <v>30</v>
      </c>
      <c r="C537" s="99" t="s">
        <v>122</v>
      </c>
      <c r="D537" s="100" t="s">
        <v>126</v>
      </c>
      <c r="E537" s="200" t="s">
        <v>637</v>
      </c>
      <c r="F537" s="100" t="s">
        <v>166</v>
      </c>
      <c r="G537" s="611">
        <v>184865.94</v>
      </c>
      <c r="H537" s="611">
        <v>447300</v>
      </c>
      <c r="I537" s="592">
        <v>284598.58</v>
      </c>
      <c r="J537" s="204">
        <f t="shared" si="15"/>
        <v>63.625884194053214</v>
      </c>
      <c r="K537" s="51"/>
    </row>
    <row r="538" spans="1:11" ht="15" customHeight="1">
      <c r="A538" s="657" t="s">
        <v>157</v>
      </c>
      <c r="B538" s="632" t="s">
        <v>30</v>
      </c>
      <c r="C538" s="659" t="s">
        <v>122</v>
      </c>
      <c r="D538" s="644" t="s">
        <v>127</v>
      </c>
      <c r="E538" s="670"/>
      <c r="F538" s="644"/>
      <c r="G538" s="640">
        <f>G539+G543+G546</f>
        <v>7835136.859999999</v>
      </c>
      <c r="H538" s="640">
        <f>H539+H543+H546</f>
        <v>10431800</v>
      </c>
      <c r="I538" s="641">
        <f>I539+I543+I546</f>
        <v>5156347.99</v>
      </c>
      <c r="J538" s="634">
        <f t="shared" si="15"/>
        <v>49.42913006384325</v>
      </c>
      <c r="K538" s="51"/>
    </row>
    <row r="539" spans="1:11" ht="67.5" customHeight="1">
      <c r="A539" s="72" t="s">
        <v>151</v>
      </c>
      <c r="B539" s="650" t="s">
        <v>30</v>
      </c>
      <c r="C539" s="105" t="s">
        <v>122</v>
      </c>
      <c r="D539" s="110" t="s">
        <v>127</v>
      </c>
      <c r="E539" s="199" t="s">
        <v>638</v>
      </c>
      <c r="F539" s="110"/>
      <c r="G539" s="596">
        <f>SUM(G540:G542)</f>
        <v>3935136.86</v>
      </c>
      <c r="H539" s="596">
        <f>SUM(H540:H542)</f>
        <v>6044100</v>
      </c>
      <c r="I539" s="576">
        <f>SUM(I540:I542)</f>
        <v>3613291.9899999998</v>
      </c>
      <c r="J539" s="204">
        <f t="shared" si="15"/>
        <v>59.782134478251514</v>
      </c>
      <c r="K539" s="51"/>
    </row>
    <row r="540" spans="1:11" ht="17.25" customHeight="1">
      <c r="A540" s="71" t="s">
        <v>328</v>
      </c>
      <c r="B540" s="650" t="s">
        <v>30</v>
      </c>
      <c r="C540" s="106" t="s">
        <v>122</v>
      </c>
      <c r="D540" s="104" t="s">
        <v>127</v>
      </c>
      <c r="E540" s="200" t="s">
        <v>638</v>
      </c>
      <c r="F540" s="104" t="s">
        <v>168</v>
      </c>
      <c r="G540" s="597">
        <v>35710.57</v>
      </c>
      <c r="H540" s="597">
        <v>46500</v>
      </c>
      <c r="I540" s="577">
        <v>5586.11</v>
      </c>
      <c r="J540" s="204">
        <f t="shared" si="15"/>
        <v>12.013139784946237</v>
      </c>
      <c r="K540" s="51"/>
    </row>
    <row r="541" spans="1:11" ht="27" customHeight="1">
      <c r="A541" s="85" t="s">
        <v>87</v>
      </c>
      <c r="B541" s="650" t="s">
        <v>30</v>
      </c>
      <c r="C541" s="106" t="s">
        <v>122</v>
      </c>
      <c r="D541" s="104" t="s">
        <v>127</v>
      </c>
      <c r="E541" s="200" t="s">
        <v>638</v>
      </c>
      <c r="F541" s="104" t="s">
        <v>88</v>
      </c>
      <c r="G541" s="597">
        <v>3682174.41</v>
      </c>
      <c r="H541" s="597">
        <v>5743600</v>
      </c>
      <c r="I541" s="577">
        <v>3424722.67</v>
      </c>
      <c r="J541" s="204">
        <f t="shared" si="15"/>
        <v>59.62676143881885</v>
      </c>
      <c r="K541" s="51"/>
    </row>
    <row r="542" spans="1:11" ht="19.5" customHeight="1">
      <c r="A542" s="85" t="s">
        <v>167</v>
      </c>
      <c r="B542" s="650" t="s">
        <v>30</v>
      </c>
      <c r="C542" s="106" t="s">
        <v>4</v>
      </c>
      <c r="D542" s="104" t="s">
        <v>127</v>
      </c>
      <c r="E542" s="200" t="s">
        <v>638</v>
      </c>
      <c r="F542" s="104" t="s">
        <v>166</v>
      </c>
      <c r="G542" s="597">
        <v>217251.88</v>
      </c>
      <c r="H542" s="597">
        <v>254000</v>
      </c>
      <c r="I542" s="577">
        <v>182983.21</v>
      </c>
      <c r="J542" s="204">
        <f t="shared" si="15"/>
        <v>72.04063385826771</v>
      </c>
      <c r="K542" s="51"/>
    </row>
    <row r="543" spans="1:11" ht="82.5" customHeight="1">
      <c r="A543" s="88" t="s">
        <v>822</v>
      </c>
      <c r="B543" s="650" t="s">
        <v>30</v>
      </c>
      <c r="C543" s="105" t="s">
        <v>122</v>
      </c>
      <c r="D543" s="110" t="s">
        <v>127</v>
      </c>
      <c r="E543" s="199" t="s">
        <v>821</v>
      </c>
      <c r="F543" s="110"/>
      <c r="G543" s="596">
        <f>SUM(G544:G545)</f>
        <v>0</v>
      </c>
      <c r="H543" s="596">
        <f>SUM(H544:H545)</f>
        <v>487700</v>
      </c>
      <c r="I543" s="576">
        <f>SUM(I544:I545)</f>
        <v>243056</v>
      </c>
      <c r="J543" s="204">
        <f t="shared" si="15"/>
        <v>49.83719499692434</v>
      </c>
      <c r="K543" s="51"/>
    </row>
    <row r="544" spans="1:11" ht="19.5" customHeight="1">
      <c r="A544" s="71" t="s">
        <v>328</v>
      </c>
      <c r="B544" s="650" t="s">
        <v>30</v>
      </c>
      <c r="C544" s="106" t="s">
        <v>122</v>
      </c>
      <c r="D544" s="104" t="s">
        <v>127</v>
      </c>
      <c r="E544" s="200" t="s">
        <v>821</v>
      </c>
      <c r="F544" s="104" t="s">
        <v>168</v>
      </c>
      <c r="G544" s="597">
        <v>0</v>
      </c>
      <c r="H544" s="597">
        <v>481651.4</v>
      </c>
      <c r="I544" s="577">
        <v>243056</v>
      </c>
      <c r="J544" s="204">
        <f t="shared" si="15"/>
        <v>50.46305273897262</v>
      </c>
      <c r="K544" s="51"/>
    </row>
    <row r="545" spans="1:11" ht="19.5" customHeight="1">
      <c r="A545" s="85" t="s">
        <v>167</v>
      </c>
      <c r="B545" s="650" t="s">
        <v>30</v>
      </c>
      <c r="C545" s="106" t="s">
        <v>122</v>
      </c>
      <c r="D545" s="104" t="s">
        <v>127</v>
      </c>
      <c r="E545" s="200" t="s">
        <v>821</v>
      </c>
      <c r="F545" s="104" t="s">
        <v>166</v>
      </c>
      <c r="G545" s="597">
        <v>0</v>
      </c>
      <c r="H545" s="597">
        <v>6048.6</v>
      </c>
      <c r="I545" s="577">
        <v>0</v>
      </c>
      <c r="J545" s="204">
        <f t="shared" si="15"/>
        <v>0</v>
      </c>
      <c r="K545" s="51"/>
    </row>
    <row r="546" spans="1:11" ht="54" customHeight="1">
      <c r="A546" s="88" t="s">
        <v>409</v>
      </c>
      <c r="B546" s="650" t="s">
        <v>30</v>
      </c>
      <c r="C546" s="105" t="s">
        <v>122</v>
      </c>
      <c r="D546" s="110" t="s">
        <v>127</v>
      </c>
      <c r="E546" s="199" t="s">
        <v>639</v>
      </c>
      <c r="F546" s="110"/>
      <c r="G546" s="596">
        <f>G547</f>
        <v>3900000</v>
      </c>
      <c r="H546" s="596">
        <f>H547</f>
        <v>3900000</v>
      </c>
      <c r="I546" s="576">
        <f>I547</f>
        <v>1300000</v>
      </c>
      <c r="J546" s="204">
        <f t="shared" si="15"/>
        <v>33.33333333333333</v>
      </c>
      <c r="K546" s="51"/>
    </row>
    <row r="547" spans="1:11" ht="45" customHeight="1">
      <c r="A547" s="71" t="s">
        <v>410</v>
      </c>
      <c r="B547" s="650" t="s">
        <v>30</v>
      </c>
      <c r="C547" s="106" t="s">
        <v>122</v>
      </c>
      <c r="D547" s="104" t="s">
        <v>127</v>
      </c>
      <c r="E547" s="100" t="s">
        <v>639</v>
      </c>
      <c r="F547" s="104" t="s">
        <v>9</v>
      </c>
      <c r="G547" s="597">
        <v>3900000</v>
      </c>
      <c r="H547" s="597">
        <v>3900000</v>
      </c>
      <c r="I547" s="577">
        <v>1300000</v>
      </c>
      <c r="J547" s="204">
        <f t="shared" si="15"/>
        <v>33.33333333333333</v>
      </c>
      <c r="K547" s="51"/>
    </row>
    <row r="548" spans="1:11" ht="15.75" customHeight="1">
      <c r="A548" s="657" t="s">
        <v>101</v>
      </c>
      <c r="B548" s="632" t="s">
        <v>30</v>
      </c>
      <c r="C548" s="659" t="s">
        <v>122</v>
      </c>
      <c r="D548" s="644" t="s">
        <v>52</v>
      </c>
      <c r="E548" s="644"/>
      <c r="F548" s="644"/>
      <c r="G548" s="640">
        <f>G549+G551+G555+G558</f>
        <v>950907</v>
      </c>
      <c r="H548" s="640">
        <f>H549+H551+H555+H558</f>
        <v>1277500</v>
      </c>
      <c r="I548" s="641">
        <f>I549+I551+I555+I558</f>
        <v>838605.0900000001</v>
      </c>
      <c r="J548" s="634">
        <f t="shared" si="15"/>
        <v>65.64423405088064</v>
      </c>
      <c r="K548" s="51"/>
    </row>
    <row r="549" spans="1:11" ht="15.75" customHeight="1">
      <c r="A549" s="88" t="s">
        <v>883</v>
      </c>
      <c r="B549" s="650" t="s">
        <v>30</v>
      </c>
      <c r="C549" s="105" t="s">
        <v>122</v>
      </c>
      <c r="D549" s="110" t="s">
        <v>52</v>
      </c>
      <c r="E549" s="98" t="s">
        <v>882</v>
      </c>
      <c r="F549" s="110"/>
      <c r="G549" s="596">
        <f>G550</f>
        <v>154200</v>
      </c>
      <c r="H549" s="596">
        <f>H550</f>
        <v>0</v>
      </c>
      <c r="I549" s="576">
        <f>I550</f>
        <v>0</v>
      </c>
      <c r="J549" s="204" t="e">
        <f t="shared" si="15"/>
        <v>#DIV/0!</v>
      </c>
      <c r="K549" s="51"/>
    </row>
    <row r="550" spans="1:11" ht="15.75" customHeight="1">
      <c r="A550" s="71" t="s">
        <v>328</v>
      </c>
      <c r="B550" s="650" t="s">
        <v>30</v>
      </c>
      <c r="C550" s="99" t="s">
        <v>122</v>
      </c>
      <c r="D550" s="100" t="s">
        <v>52</v>
      </c>
      <c r="E550" s="100" t="s">
        <v>882</v>
      </c>
      <c r="F550" s="100" t="s">
        <v>168</v>
      </c>
      <c r="G550" s="597">
        <v>154200</v>
      </c>
      <c r="H550" s="597">
        <v>0</v>
      </c>
      <c r="I550" s="577">
        <v>0</v>
      </c>
      <c r="J550" s="204" t="e">
        <f t="shared" si="15"/>
        <v>#DIV/0!</v>
      </c>
      <c r="K550" s="51"/>
    </row>
    <row r="551" spans="1:11" ht="26.25" customHeight="1">
      <c r="A551" s="88" t="s">
        <v>374</v>
      </c>
      <c r="B551" s="650" t="s">
        <v>30</v>
      </c>
      <c r="C551" s="105" t="s">
        <v>122</v>
      </c>
      <c r="D551" s="110" t="s">
        <v>52</v>
      </c>
      <c r="E551" s="98" t="s">
        <v>640</v>
      </c>
      <c r="F551" s="110"/>
      <c r="G551" s="596">
        <f>SUM(G552:G554)</f>
        <v>793707</v>
      </c>
      <c r="H551" s="596">
        <f>SUM(H552:H554)</f>
        <v>1069500</v>
      </c>
      <c r="I551" s="576">
        <f>SUM(I552:I554)</f>
        <v>800588.8300000001</v>
      </c>
      <c r="J551" s="204">
        <f t="shared" si="15"/>
        <v>74.85636559139786</v>
      </c>
      <c r="K551" s="51"/>
    </row>
    <row r="552" spans="1:11" ht="21" customHeight="1">
      <c r="A552" s="71" t="s">
        <v>373</v>
      </c>
      <c r="B552" s="650" t="s">
        <v>30</v>
      </c>
      <c r="C552" s="99" t="s">
        <v>122</v>
      </c>
      <c r="D552" s="100" t="s">
        <v>52</v>
      </c>
      <c r="E552" s="100" t="s">
        <v>640</v>
      </c>
      <c r="F552" s="100" t="s">
        <v>169</v>
      </c>
      <c r="G552" s="597">
        <v>633650</v>
      </c>
      <c r="H552" s="597">
        <v>746800</v>
      </c>
      <c r="I552" s="577">
        <v>562149.83</v>
      </c>
      <c r="J552" s="204">
        <f t="shared" si="15"/>
        <v>75.27448178896626</v>
      </c>
      <c r="K552" s="51"/>
    </row>
    <row r="553" spans="1:11" ht="45.75" customHeight="1">
      <c r="A553" s="71" t="s">
        <v>177</v>
      </c>
      <c r="B553" s="650" t="s">
        <v>30</v>
      </c>
      <c r="C553" s="99" t="s">
        <v>122</v>
      </c>
      <c r="D553" s="100" t="s">
        <v>52</v>
      </c>
      <c r="E553" s="100" t="s">
        <v>640</v>
      </c>
      <c r="F553" s="100" t="s">
        <v>178</v>
      </c>
      <c r="G553" s="597">
        <v>142600</v>
      </c>
      <c r="H553" s="597">
        <v>216631.2</v>
      </c>
      <c r="I553" s="577">
        <v>216631.2</v>
      </c>
      <c r="J553" s="204">
        <f t="shared" si="15"/>
        <v>100</v>
      </c>
      <c r="K553" s="51"/>
    </row>
    <row r="554" spans="1:11" ht="14.25" customHeight="1">
      <c r="A554" s="71" t="s">
        <v>328</v>
      </c>
      <c r="B554" s="650" t="s">
        <v>30</v>
      </c>
      <c r="C554" s="99" t="s">
        <v>122</v>
      </c>
      <c r="D554" s="100" t="s">
        <v>52</v>
      </c>
      <c r="E554" s="100" t="s">
        <v>640</v>
      </c>
      <c r="F554" s="100" t="s">
        <v>168</v>
      </c>
      <c r="G554" s="597">
        <v>17457</v>
      </c>
      <c r="H554" s="597">
        <v>106068.8</v>
      </c>
      <c r="I554" s="577">
        <v>21807.8</v>
      </c>
      <c r="J554" s="204">
        <f t="shared" si="15"/>
        <v>20.560051589157226</v>
      </c>
      <c r="K554" s="51"/>
    </row>
    <row r="555" spans="1:11" ht="26.25" customHeight="1">
      <c r="A555" s="88" t="s">
        <v>582</v>
      </c>
      <c r="B555" s="650" t="s">
        <v>30</v>
      </c>
      <c r="C555" s="105" t="s">
        <v>122</v>
      </c>
      <c r="D555" s="110" t="s">
        <v>52</v>
      </c>
      <c r="E555" s="199" t="s">
        <v>641</v>
      </c>
      <c r="F555" s="110"/>
      <c r="G555" s="596">
        <f>G556+G557</f>
        <v>3000</v>
      </c>
      <c r="H555" s="596">
        <f>H556+H557</f>
        <v>130000</v>
      </c>
      <c r="I555" s="576">
        <f>I556+I557</f>
        <v>38016.26</v>
      </c>
      <c r="J555" s="204">
        <f t="shared" si="15"/>
        <v>29.243276923076927</v>
      </c>
      <c r="K555" s="51"/>
    </row>
    <row r="556" spans="1:11" ht="15" customHeight="1">
      <c r="A556" s="71" t="s">
        <v>327</v>
      </c>
      <c r="B556" s="650" t="s">
        <v>30</v>
      </c>
      <c r="C556" s="99" t="s">
        <v>122</v>
      </c>
      <c r="D556" s="100" t="s">
        <v>52</v>
      </c>
      <c r="E556" s="200" t="s">
        <v>641</v>
      </c>
      <c r="F556" s="100" t="s">
        <v>168</v>
      </c>
      <c r="G556" s="597">
        <v>3000</v>
      </c>
      <c r="H556" s="597">
        <v>70000</v>
      </c>
      <c r="I556" s="577">
        <v>38016.26</v>
      </c>
      <c r="J556" s="204">
        <f t="shared" si="15"/>
        <v>54.30894285714286</v>
      </c>
      <c r="K556" s="51"/>
    </row>
    <row r="557" spans="1:11" ht="15" customHeight="1">
      <c r="A557" s="71" t="s">
        <v>223</v>
      </c>
      <c r="B557" s="650" t="s">
        <v>30</v>
      </c>
      <c r="C557" s="99" t="s">
        <v>122</v>
      </c>
      <c r="D557" s="100" t="s">
        <v>52</v>
      </c>
      <c r="E557" s="200" t="s">
        <v>641</v>
      </c>
      <c r="F557" s="100" t="s">
        <v>224</v>
      </c>
      <c r="G557" s="597">
        <v>0</v>
      </c>
      <c r="H557" s="597">
        <v>60000</v>
      </c>
      <c r="I557" s="577">
        <v>0</v>
      </c>
      <c r="J557" s="204">
        <f t="shared" si="15"/>
        <v>0</v>
      </c>
      <c r="K557" s="51"/>
    </row>
    <row r="558" spans="1:11" ht="57" customHeight="1">
      <c r="A558" s="88" t="s">
        <v>409</v>
      </c>
      <c r="B558" s="650" t="s">
        <v>30</v>
      </c>
      <c r="C558" s="105" t="s">
        <v>122</v>
      </c>
      <c r="D558" s="110" t="s">
        <v>52</v>
      </c>
      <c r="E558" s="98" t="s">
        <v>639</v>
      </c>
      <c r="F558" s="110"/>
      <c r="G558" s="596">
        <f>G559</f>
        <v>0</v>
      </c>
      <c r="H558" s="596">
        <f>H559</f>
        <v>78000</v>
      </c>
      <c r="I558" s="576">
        <f>I559</f>
        <v>0</v>
      </c>
      <c r="J558" s="204">
        <f t="shared" si="15"/>
        <v>0</v>
      </c>
      <c r="K558" s="51"/>
    </row>
    <row r="559" spans="1:11" ht="18" customHeight="1">
      <c r="A559" s="71" t="s">
        <v>327</v>
      </c>
      <c r="B559" s="650" t="s">
        <v>30</v>
      </c>
      <c r="C559" s="106" t="s">
        <v>122</v>
      </c>
      <c r="D559" s="104" t="s">
        <v>52</v>
      </c>
      <c r="E559" s="100" t="s">
        <v>639</v>
      </c>
      <c r="F559" s="104" t="s">
        <v>168</v>
      </c>
      <c r="G559" s="597">
        <v>0</v>
      </c>
      <c r="H559" s="597">
        <v>78000</v>
      </c>
      <c r="I559" s="577">
        <v>0</v>
      </c>
      <c r="J559" s="204">
        <f t="shared" si="15"/>
        <v>0</v>
      </c>
      <c r="K559" s="51"/>
    </row>
    <row r="560" spans="1:11" ht="15" customHeight="1">
      <c r="A560" s="89" t="s">
        <v>158</v>
      </c>
      <c r="B560" s="346" t="s">
        <v>30</v>
      </c>
      <c r="C560" s="349" t="s">
        <v>145</v>
      </c>
      <c r="D560" s="349"/>
      <c r="E560" s="107"/>
      <c r="F560" s="349"/>
      <c r="G560" s="594">
        <f>G561+G567+G575+G586</f>
        <v>27339331.349999998</v>
      </c>
      <c r="H560" s="594">
        <f>H561+H567+H575+H586</f>
        <v>24594812.82</v>
      </c>
      <c r="I560" s="584">
        <f>I561+I567+I575+I586</f>
        <v>18705205.3</v>
      </c>
      <c r="J560" s="628">
        <f t="shared" si="15"/>
        <v>76.05345662476158</v>
      </c>
      <c r="K560" s="278"/>
    </row>
    <row r="561" spans="1:11" ht="15" customHeight="1">
      <c r="A561" s="657" t="s">
        <v>267</v>
      </c>
      <c r="B561" s="632" t="s">
        <v>30</v>
      </c>
      <c r="C561" s="643" t="s">
        <v>145</v>
      </c>
      <c r="D561" s="651" t="s">
        <v>117</v>
      </c>
      <c r="E561" s="644"/>
      <c r="F561" s="651"/>
      <c r="G561" s="640">
        <f>G562</f>
        <v>15555546.79</v>
      </c>
      <c r="H561" s="640">
        <f>H562</f>
        <v>19973000</v>
      </c>
      <c r="I561" s="641">
        <f>I562</f>
        <v>17534772.68</v>
      </c>
      <c r="J561" s="634">
        <f t="shared" si="15"/>
        <v>87.79238311720823</v>
      </c>
      <c r="K561" s="51"/>
    </row>
    <row r="562" spans="1:11" ht="28.5" customHeight="1">
      <c r="A562" s="189" t="s">
        <v>583</v>
      </c>
      <c r="B562" s="650" t="s">
        <v>30</v>
      </c>
      <c r="C562" s="129" t="s">
        <v>145</v>
      </c>
      <c r="D562" s="125" t="s">
        <v>117</v>
      </c>
      <c r="E562" s="125" t="s">
        <v>412</v>
      </c>
      <c r="F562" s="125"/>
      <c r="G562" s="610">
        <f>G563+G565</f>
        <v>15555546.79</v>
      </c>
      <c r="H562" s="610">
        <f>H563+H565</f>
        <v>19973000</v>
      </c>
      <c r="I562" s="591">
        <f>I563+I565</f>
        <v>17534772.68</v>
      </c>
      <c r="J562" s="204">
        <f t="shared" si="15"/>
        <v>87.79238311720823</v>
      </c>
      <c r="K562" s="51"/>
    </row>
    <row r="563" spans="1:11" ht="25.5" customHeight="1">
      <c r="A563" s="72" t="s">
        <v>526</v>
      </c>
      <c r="B563" s="650" t="s">
        <v>30</v>
      </c>
      <c r="C563" s="97" t="s">
        <v>145</v>
      </c>
      <c r="D563" s="98" t="s">
        <v>117</v>
      </c>
      <c r="E563" s="98" t="s">
        <v>326</v>
      </c>
      <c r="F563" s="98"/>
      <c r="G563" s="596">
        <f>G564</f>
        <v>4575920.29</v>
      </c>
      <c r="H563" s="596">
        <f>H564</f>
        <v>6868000</v>
      </c>
      <c r="I563" s="576">
        <f>I564</f>
        <v>6504813.99</v>
      </c>
      <c r="J563" s="204">
        <f t="shared" si="15"/>
        <v>94.71191016307513</v>
      </c>
      <c r="K563" s="51"/>
    </row>
    <row r="564" spans="1:11" ht="59.25" customHeight="1">
      <c r="A564" s="71" t="s">
        <v>0</v>
      </c>
      <c r="B564" s="650" t="s">
        <v>30</v>
      </c>
      <c r="C564" s="99" t="s">
        <v>145</v>
      </c>
      <c r="D564" s="100" t="s">
        <v>117</v>
      </c>
      <c r="E564" s="100" t="s">
        <v>326</v>
      </c>
      <c r="F564" s="100" t="s">
        <v>1</v>
      </c>
      <c r="G564" s="597">
        <v>4575920.29</v>
      </c>
      <c r="H564" s="597">
        <v>6868000</v>
      </c>
      <c r="I564" s="577">
        <v>6504813.99</v>
      </c>
      <c r="J564" s="204">
        <f t="shared" si="15"/>
        <v>94.71191016307513</v>
      </c>
      <c r="K564" s="51"/>
    </row>
    <row r="565" spans="1:11" ht="28.5" customHeight="1">
      <c r="A565" s="72" t="s">
        <v>413</v>
      </c>
      <c r="B565" s="650" t="s">
        <v>30</v>
      </c>
      <c r="C565" s="97" t="s">
        <v>145</v>
      </c>
      <c r="D565" s="98" t="s">
        <v>117</v>
      </c>
      <c r="E565" s="98" t="s">
        <v>266</v>
      </c>
      <c r="F565" s="98"/>
      <c r="G565" s="596">
        <f>G566</f>
        <v>10979626.5</v>
      </c>
      <c r="H565" s="596">
        <f>H566</f>
        <v>13105000</v>
      </c>
      <c r="I565" s="576">
        <f>I566</f>
        <v>11029958.69</v>
      </c>
      <c r="J565" s="204">
        <f t="shared" si="15"/>
        <v>84.16603349866463</v>
      </c>
      <c r="K565" s="51"/>
    </row>
    <row r="566" spans="1:11" ht="60" customHeight="1">
      <c r="A566" s="71" t="s">
        <v>0</v>
      </c>
      <c r="B566" s="650" t="s">
        <v>30</v>
      </c>
      <c r="C566" s="99" t="s">
        <v>145</v>
      </c>
      <c r="D566" s="100" t="s">
        <v>117</v>
      </c>
      <c r="E566" s="100" t="s">
        <v>266</v>
      </c>
      <c r="F566" s="100" t="s">
        <v>1</v>
      </c>
      <c r="G566" s="597">
        <v>10979626.5</v>
      </c>
      <c r="H566" s="597">
        <v>13105000</v>
      </c>
      <c r="I566" s="577">
        <v>11029958.69</v>
      </c>
      <c r="J566" s="204">
        <f t="shared" si="15"/>
        <v>84.16603349866463</v>
      </c>
      <c r="K566" s="51"/>
    </row>
    <row r="567" spans="1:11" ht="17.25" customHeight="1">
      <c r="A567" s="657" t="s">
        <v>294</v>
      </c>
      <c r="B567" s="632" t="s">
        <v>30</v>
      </c>
      <c r="C567" s="643" t="s">
        <v>145</v>
      </c>
      <c r="D567" s="651" t="s">
        <v>124</v>
      </c>
      <c r="E567" s="644"/>
      <c r="F567" s="651"/>
      <c r="G567" s="640">
        <f>G568</f>
        <v>2042056.6</v>
      </c>
      <c r="H567" s="640">
        <f>H568</f>
        <v>0</v>
      </c>
      <c r="I567" s="641">
        <f>I568</f>
        <v>0</v>
      </c>
      <c r="J567" s="634" t="e">
        <f t="shared" si="15"/>
        <v>#DIV/0!</v>
      </c>
      <c r="K567" s="51"/>
    </row>
    <row r="568" spans="1:11" ht="27.75" customHeight="1">
      <c r="A568" s="189" t="s">
        <v>583</v>
      </c>
      <c r="B568" s="650" t="s">
        <v>30</v>
      </c>
      <c r="C568" s="129" t="s">
        <v>145</v>
      </c>
      <c r="D568" s="125" t="s">
        <v>124</v>
      </c>
      <c r="E568" s="125" t="s">
        <v>412</v>
      </c>
      <c r="F568" s="125"/>
      <c r="G568" s="610">
        <f>G569+G571+G573</f>
        <v>2042056.6</v>
      </c>
      <c r="H568" s="610">
        <f>H569+H571+H573</f>
        <v>0</v>
      </c>
      <c r="I568" s="591">
        <f>I569+I571+I573</f>
        <v>0</v>
      </c>
      <c r="J568" s="204" t="e">
        <f t="shared" si="15"/>
        <v>#DIV/0!</v>
      </c>
      <c r="K568" s="51"/>
    </row>
    <row r="569" spans="1:11" ht="51.75" customHeight="1">
      <c r="A569" s="72" t="s">
        <v>885</v>
      </c>
      <c r="B569" s="650" t="s">
        <v>30</v>
      </c>
      <c r="C569" s="97" t="s">
        <v>145</v>
      </c>
      <c r="D569" s="98" t="s">
        <v>124</v>
      </c>
      <c r="E569" s="98" t="s">
        <v>884</v>
      </c>
      <c r="F569" s="98"/>
      <c r="G569" s="596">
        <f>G570</f>
        <v>1191000</v>
      </c>
      <c r="H569" s="596">
        <f>H570</f>
        <v>0</v>
      </c>
      <c r="I569" s="576">
        <f>I570</f>
        <v>0</v>
      </c>
      <c r="J569" s="204" t="e">
        <f t="shared" si="15"/>
        <v>#DIV/0!</v>
      </c>
      <c r="K569" s="51"/>
    </row>
    <row r="570" spans="1:11" ht="17.25" customHeight="1">
      <c r="A570" s="71" t="s">
        <v>167</v>
      </c>
      <c r="B570" s="650" t="s">
        <v>30</v>
      </c>
      <c r="C570" s="99" t="s">
        <v>145</v>
      </c>
      <c r="D570" s="100" t="s">
        <v>124</v>
      </c>
      <c r="E570" s="100" t="s">
        <v>884</v>
      </c>
      <c r="F570" s="100" t="s">
        <v>166</v>
      </c>
      <c r="G570" s="597">
        <v>1191000</v>
      </c>
      <c r="H570" s="597">
        <v>0</v>
      </c>
      <c r="I570" s="577">
        <v>0</v>
      </c>
      <c r="J570" s="204" t="e">
        <f t="shared" si="15"/>
        <v>#DIV/0!</v>
      </c>
      <c r="K570" s="51"/>
    </row>
    <row r="571" spans="1:11" ht="70.5" customHeight="1">
      <c r="A571" s="70" t="s">
        <v>414</v>
      </c>
      <c r="B571" s="650" t="s">
        <v>30</v>
      </c>
      <c r="C571" s="97" t="s">
        <v>145</v>
      </c>
      <c r="D571" s="98" t="s">
        <v>124</v>
      </c>
      <c r="E571" s="98" t="s">
        <v>441</v>
      </c>
      <c r="F571" s="98"/>
      <c r="G571" s="596">
        <f>G572</f>
        <v>12030</v>
      </c>
      <c r="H571" s="596">
        <f>H572</f>
        <v>0</v>
      </c>
      <c r="I571" s="576">
        <f>I572</f>
        <v>0</v>
      </c>
      <c r="J571" s="204" t="e">
        <f t="shared" si="15"/>
        <v>#DIV/0!</v>
      </c>
      <c r="K571" s="51"/>
    </row>
    <row r="572" spans="1:11" ht="17.25" customHeight="1">
      <c r="A572" s="85" t="s">
        <v>167</v>
      </c>
      <c r="B572" s="650" t="s">
        <v>30</v>
      </c>
      <c r="C572" s="99" t="s">
        <v>145</v>
      </c>
      <c r="D572" s="100" t="s">
        <v>124</v>
      </c>
      <c r="E572" s="100" t="s">
        <v>441</v>
      </c>
      <c r="F572" s="100" t="s">
        <v>166</v>
      </c>
      <c r="G572" s="597">
        <v>12030</v>
      </c>
      <c r="H572" s="597">
        <v>0</v>
      </c>
      <c r="I572" s="577">
        <v>0</v>
      </c>
      <c r="J572" s="204" t="e">
        <f t="shared" si="15"/>
        <v>#DIV/0!</v>
      </c>
      <c r="K572" s="51"/>
    </row>
    <row r="573" spans="1:11" ht="29.25" customHeight="1">
      <c r="A573" s="70" t="s">
        <v>887</v>
      </c>
      <c r="B573" s="650" t="s">
        <v>30</v>
      </c>
      <c r="C573" s="97" t="s">
        <v>145</v>
      </c>
      <c r="D573" s="98" t="s">
        <v>124</v>
      </c>
      <c r="E573" s="98" t="s">
        <v>886</v>
      </c>
      <c r="F573" s="98"/>
      <c r="G573" s="596">
        <f>G574</f>
        <v>839026.6</v>
      </c>
      <c r="H573" s="596">
        <f>H574</f>
        <v>0</v>
      </c>
      <c r="I573" s="576">
        <f>I574</f>
        <v>0</v>
      </c>
      <c r="J573" s="204" t="e">
        <f t="shared" si="15"/>
        <v>#DIV/0!</v>
      </c>
      <c r="K573" s="51"/>
    </row>
    <row r="574" spans="1:11" ht="14.25" customHeight="1">
      <c r="A574" s="85" t="s">
        <v>167</v>
      </c>
      <c r="B574" s="650" t="s">
        <v>30</v>
      </c>
      <c r="C574" s="99" t="s">
        <v>145</v>
      </c>
      <c r="D574" s="100" t="s">
        <v>124</v>
      </c>
      <c r="E574" s="100" t="s">
        <v>886</v>
      </c>
      <c r="F574" s="100" t="s">
        <v>166</v>
      </c>
      <c r="G574" s="597">
        <v>839026.6</v>
      </c>
      <c r="H574" s="597">
        <v>0</v>
      </c>
      <c r="I574" s="577">
        <v>0</v>
      </c>
      <c r="J574" s="204" t="e">
        <f t="shared" si="15"/>
        <v>#DIV/0!</v>
      </c>
      <c r="K574" s="51"/>
    </row>
    <row r="575" spans="1:11" ht="14.25" customHeight="1">
      <c r="A575" s="658" t="s">
        <v>276</v>
      </c>
      <c r="B575" s="632" t="s">
        <v>30</v>
      </c>
      <c r="C575" s="659" t="s">
        <v>145</v>
      </c>
      <c r="D575" s="644" t="s">
        <v>126</v>
      </c>
      <c r="E575" s="644"/>
      <c r="F575" s="644"/>
      <c r="G575" s="640">
        <f>G576</f>
        <v>9362040.489999998</v>
      </c>
      <c r="H575" s="640">
        <f>H576</f>
        <v>2235000</v>
      </c>
      <c r="I575" s="641">
        <f>I576</f>
        <v>683708</v>
      </c>
      <c r="J575" s="634">
        <f t="shared" si="15"/>
        <v>30.59096196868009</v>
      </c>
      <c r="K575" s="51"/>
    </row>
    <row r="576" spans="1:11" ht="27.75" customHeight="1">
      <c r="A576" s="87" t="s">
        <v>583</v>
      </c>
      <c r="B576" s="650" t="s">
        <v>30</v>
      </c>
      <c r="C576" s="129" t="s">
        <v>145</v>
      </c>
      <c r="D576" s="125" t="s">
        <v>126</v>
      </c>
      <c r="E576" s="125" t="s">
        <v>412</v>
      </c>
      <c r="F576" s="125"/>
      <c r="G576" s="610">
        <f>G577+G579+G581+G583</f>
        <v>9362040.489999998</v>
      </c>
      <c r="H576" s="610">
        <f>H577+H579+H581+H583</f>
        <v>2235000</v>
      </c>
      <c r="I576" s="591">
        <f>I577+I579+I581+I583</f>
        <v>683708</v>
      </c>
      <c r="J576" s="204">
        <f t="shared" si="15"/>
        <v>30.59096196868009</v>
      </c>
      <c r="K576" s="51"/>
    </row>
    <row r="577" spans="1:11" ht="57" customHeight="1">
      <c r="A577" s="72" t="s">
        <v>889</v>
      </c>
      <c r="B577" s="650" t="s">
        <v>30</v>
      </c>
      <c r="C577" s="97" t="s">
        <v>145</v>
      </c>
      <c r="D577" s="98" t="s">
        <v>126</v>
      </c>
      <c r="E577" s="98" t="s">
        <v>888</v>
      </c>
      <c r="F577" s="98"/>
      <c r="G577" s="596">
        <f>G578</f>
        <v>6327079.55</v>
      </c>
      <c r="H577" s="596">
        <f>H578</f>
        <v>0</v>
      </c>
      <c r="I577" s="576">
        <f>I578</f>
        <v>0</v>
      </c>
      <c r="J577" s="204" t="e">
        <f t="shared" si="15"/>
        <v>#DIV/0!</v>
      </c>
      <c r="K577" s="51"/>
    </row>
    <row r="578" spans="1:11" ht="21" customHeight="1">
      <c r="A578" s="71" t="s">
        <v>167</v>
      </c>
      <c r="B578" s="650" t="s">
        <v>30</v>
      </c>
      <c r="C578" s="99" t="s">
        <v>145</v>
      </c>
      <c r="D578" s="100" t="s">
        <v>126</v>
      </c>
      <c r="E578" s="100" t="s">
        <v>888</v>
      </c>
      <c r="F578" s="100" t="s">
        <v>166</v>
      </c>
      <c r="G578" s="597">
        <v>6327079.55</v>
      </c>
      <c r="H578" s="597">
        <v>0</v>
      </c>
      <c r="I578" s="577">
        <v>0</v>
      </c>
      <c r="J578" s="204" t="e">
        <f t="shared" si="15"/>
        <v>#DIV/0!</v>
      </c>
      <c r="K578" s="51"/>
    </row>
    <row r="579" spans="1:11" ht="68.25" customHeight="1">
      <c r="A579" s="72" t="s">
        <v>891</v>
      </c>
      <c r="B579" s="650" t="s">
        <v>30</v>
      </c>
      <c r="C579" s="97" t="s">
        <v>145</v>
      </c>
      <c r="D579" s="98" t="s">
        <v>126</v>
      </c>
      <c r="E579" s="98" t="s">
        <v>890</v>
      </c>
      <c r="F579" s="98"/>
      <c r="G579" s="596">
        <f>G580</f>
        <v>63913.35</v>
      </c>
      <c r="H579" s="596">
        <f>H580</f>
        <v>0</v>
      </c>
      <c r="I579" s="576">
        <f>I580</f>
        <v>0</v>
      </c>
      <c r="J579" s="204" t="e">
        <f t="shared" si="15"/>
        <v>#DIV/0!</v>
      </c>
      <c r="K579" s="51"/>
    </row>
    <row r="580" spans="1:11" ht="18.75" customHeight="1">
      <c r="A580" s="71" t="s">
        <v>167</v>
      </c>
      <c r="B580" s="650" t="s">
        <v>30</v>
      </c>
      <c r="C580" s="99" t="s">
        <v>145</v>
      </c>
      <c r="D580" s="100" t="s">
        <v>126</v>
      </c>
      <c r="E580" s="100" t="s">
        <v>890</v>
      </c>
      <c r="F580" s="100" t="s">
        <v>166</v>
      </c>
      <c r="G580" s="597">
        <v>63913.35</v>
      </c>
      <c r="H580" s="597">
        <v>0</v>
      </c>
      <c r="I580" s="577">
        <v>0</v>
      </c>
      <c r="J580" s="204" t="e">
        <f t="shared" si="15"/>
        <v>#DIV/0!</v>
      </c>
      <c r="K580" s="51"/>
    </row>
    <row r="581" spans="1:11" ht="68.25" customHeight="1">
      <c r="A581" s="72" t="s">
        <v>414</v>
      </c>
      <c r="B581" s="650" t="s">
        <v>30</v>
      </c>
      <c r="C581" s="97" t="s">
        <v>145</v>
      </c>
      <c r="D581" s="98" t="s">
        <v>126</v>
      </c>
      <c r="E581" s="98" t="s">
        <v>441</v>
      </c>
      <c r="F581" s="98"/>
      <c r="G581" s="596">
        <f>G582</f>
        <v>0</v>
      </c>
      <c r="H581" s="596">
        <f>H582</f>
        <v>346100</v>
      </c>
      <c r="I581" s="576">
        <f>I582</f>
        <v>0</v>
      </c>
      <c r="J581" s="204">
        <f t="shared" si="15"/>
        <v>0</v>
      </c>
      <c r="K581" s="51"/>
    </row>
    <row r="582" spans="1:11" ht="15" customHeight="1">
      <c r="A582" s="71" t="s">
        <v>167</v>
      </c>
      <c r="B582" s="650" t="s">
        <v>30</v>
      </c>
      <c r="C582" s="99" t="s">
        <v>145</v>
      </c>
      <c r="D582" s="100" t="s">
        <v>126</v>
      </c>
      <c r="E582" s="100" t="s">
        <v>441</v>
      </c>
      <c r="F582" s="100" t="s">
        <v>166</v>
      </c>
      <c r="G582" s="597">
        <v>0</v>
      </c>
      <c r="H582" s="597">
        <v>346100</v>
      </c>
      <c r="I582" s="577">
        <v>0</v>
      </c>
      <c r="J582" s="204">
        <f t="shared" si="15"/>
        <v>0</v>
      </c>
      <c r="K582" s="51"/>
    </row>
    <row r="583" spans="1:11" ht="54.75" customHeight="1">
      <c r="A583" s="72" t="s">
        <v>584</v>
      </c>
      <c r="B583" s="650" t="s">
        <v>30</v>
      </c>
      <c r="C583" s="97" t="s">
        <v>145</v>
      </c>
      <c r="D583" s="98" t="s">
        <v>126</v>
      </c>
      <c r="E583" s="98" t="s">
        <v>275</v>
      </c>
      <c r="F583" s="98"/>
      <c r="G583" s="596">
        <f>G584+G585</f>
        <v>2971047.59</v>
      </c>
      <c r="H583" s="596">
        <f>H584+H585</f>
        <v>1888900</v>
      </c>
      <c r="I583" s="576">
        <f>I584+I585</f>
        <v>683708</v>
      </c>
      <c r="J583" s="204">
        <f t="shared" si="15"/>
        <v>36.196092964159035</v>
      </c>
      <c r="K583" s="51"/>
    </row>
    <row r="584" spans="1:11" ht="13.5" customHeight="1">
      <c r="A584" s="71" t="s">
        <v>585</v>
      </c>
      <c r="B584" s="650" t="s">
        <v>30</v>
      </c>
      <c r="C584" s="99" t="s">
        <v>145</v>
      </c>
      <c r="D584" s="100" t="s">
        <v>126</v>
      </c>
      <c r="E584" s="100" t="s">
        <v>275</v>
      </c>
      <c r="F584" s="100" t="s">
        <v>166</v>
      </c>
      <c r="G584" s="597">
        <v>2687302.34</v>
      </c>
      <c r="H584" s="597">
        <v>1700000</v>
      </c>
      <c r="I584" s="577">
        <v>494808</v>
      </c>
      <c r="J584" s="204">
        <f t="shared" si="15"/>
        <v>29.10635294117647</v>
      </c>
      <c r="K584" s="51"/>
    </row>
    <row r="585" spans="1:11" ht="13.5" customHeight="1">
      <c r="A585" s="71" t="s">
        <v>586</v>
      </c>
      <c r="B585" s="650" t="s">
        <v>30</v>
      </c>
      <c r="C585" s="99" t="s">
        <v>145</v>
      </c>
      <c r="D585" s="100" t="s">
        <v>126</v>
      </c>
      <c r="E585" s="100" t="s">
        <v>275</v>
      </c>
      <c r="F585" s="100" t="s">
        <v>166</v>
      </c>
      <c r="G585" s="597">
        <v>283745.25</v>
      </c>
      <c r="H585" s="597">
        <v>188900</v>
      </c>
      <c r="I585" s="577">
        <v>188900</v>
      </c>
      <c r="J585" s="204">
        <f t="shared" si="15"/>
        <v>100</v>
      </c>
      <c r="K585" s="51"/>
    </row>
    <row r="586" spans="1:11" ht="15" customHeight="1">
      <c r="A586" s="657" t="s">
        <v>162</v>
      </c>
      <c r="B586" s="632" t="s">
        <v>30</v>
      </c>
      <c r="C586" s="659" t="s">
        <v>145</v>
      </c>
      <c r="D586" s="644" t="s">
        <v>123</v>
      </c>
      <c r="E586" s="644"/>
      <c r="F586" s="644"/>
      <c r="G586" s="640">
        <f>G587</f>
        <v>379687.47</v>
      </c>
      <c r="H586" s="640">
        <f>H587</f>
        <v>2386812.8200000003</v>
      </c>
      <c r="I586" s="641">
        <f>I587</f>
        <v>486724.62</v>
      </c>
      <c r="J586" s="634">
        <f t="shared" si="15"/>
        <v>20.392240896376617</v>
      </c>
      <c r="K586" s="51"/>
    </row>
    <row r="587" spans="1:11" ht="31.5" customHeight="1">
      <c r="A587" s="87" t="s">
        <v>411</v>
      </c>
      <c r="B587" s="650" t="s">
        <v>30</v>
      </c>
      <c r="C587" s="129" t="s">
        <v>145</v>
      </c>
      <c r="D587" s="125" t="s">
        <v>123</v>
      </c>
      <c r="E587" s="125" t="s">
        <v>412</v>
      </c>
      <c r="F587" s="125"/>
      <c r="G587" s="610">
        <f>G588+G590+G598+G592+G594+G596</f>
        <v>379687.47</v>
      </c>
      <c r="H587" s="610">
        <f>H588+H590+H598+H592+H594+H596</f>
        <v>2386812.8200000003</v>
      </c>
      <c r="I587" s="591">
        <f>I588+I590+I598+I592+I594+I596</f>
        <v>486724.62</v>
      </c>
      <c r="J587" s="204">
        <f t="shared" si="15"/>
        <v>20.392240896376617</v>
      </c>
      <c r="K587" s="51"/>
    </row>
    <row r="588" spans="1:11" ht="69" customHeight="1">
      <c r="A588" s="72" t="s">
        <v>680</v>
      </c>
      <c r="B588" s="650" t="s">
        <v>30</v>
      </c>
      <c r="C588" s="97" t="s">
        <v>145</v>
      </c>
      <c r="D588" s="98" t="s">
        <v>123</v>
      </c>
      <c r="E588" s="98" t="s">
        <v>690</v>
      </c>
      <c r="F588" s="98"/>
      <c r="G588" s="596">
        <f>G589</f>
        <v>0</v>
      </c>
      <c r="H588" s="596">
        <f>H589</f>
        <v>1802135.82</v>
      </c>
      <c r="I588" s="576">
        <f>I589</f>
        <v>0</v>
      </c>
      <c r="J588" s="204">
        <f aca="true" t="shared" si="17" ref="J588:J609">I588/H588*100</f>
        <v>0</v>
      </c>
      <c r="K588" s="51"/>
    </row>
    <row r="589" spans="1:11" ht="20.25" customHeight="1">
      <c r="A589" s="71" t="s">
        <v>327</v>
      </c>
      <c r="B589" s="650" t="s">
        <v>30</v>
      </c>
      <c r="C589" s="99" t="s">
        <v>145</v>
      </c>
      <c r="D589" s="100" t="s">
        <v>123</v>
      </c>
      <c r="E589" s="100" t="s">
        <v>690</v>
      </c>
      <c r="F589" s="100" t="s">
        <v>168</v>
      </c>
      <c r="G589" s="597"/>
      <c r="H589" s="597">
        <v>1802135.82</v>
      </c>
      <c r="I589" s="577">
        <v>0</v>
      </c>
      <c r="J589" s="204">
        <f t="shared" si="17"/>
        <v>0</v>
      </c>
      <c r="K589" s="51"/>
    </row>
    <row r="590" spans="1:11" ht="27" customHeight="1">
      <c r="A590" s="72" t="s">
        <v>896</v>
      </c>
      <c r="B590" s="650" t="s">
        <v>30</v>
      </c>
      <c r="C590" s="97" t="s">
        <v>145</v>
      </c>
      <c r="D590" s="98" t="s">
        <v>123</v>
      </c>
      <c r="E590" s="98" t="s">
        <v>895</v>
      </c>
      <c r="F590" s="98"/>
      <c r="G590" s="605">
        <f>G591</f>
        <v>60436.77</v>
      </c>
      <c r="H590" s="605">
        <f>H591</f>
        <v>0</v>
      </c>
      <c r="I590" s="586">
        <f>I591</f>
        <v>0</v>
      </c>
      <c r="J590" s="204" t="e">
        <f t="shared" si="17"/>
        <v>#DIV/0!</v>
      </c>
      <c r="K590" s="51"/>
    </row>
    <row r="591" spans="1:11" ht="20.25" customHeight="1">
      <c r="A591" s="71" t="s">
        <v>327</v>
      </c>
      <c r="B591" s="650" t="s">
        <v>30</v>
      </c>
      <c r="C591" s="99" t="s">
        <v>145</v>
      </c>
      <c r="D591" s="100" t="s">
        <v>123</v>
      </c>
      <c r="E591" s="100" t="s">
        <v>895</v>
      </c>
      <c r="F591" s="100" t="s">
        <v>168</v>
      </c>
      <c r="G591" s="597">
        <f>58436.77+2000</f>
        <v>60436.77</v>
      </c>
      <c r="H591" s="597">
        <v>0</v>
      </c>
      <c r="I591" s="577">
        <v>0</v>
      </c>
      <c r="J591" s="204" t="e">
        <f t="shared" si="17"/>
        <v>#DIV/0!</v>
      </c>
      <c r="K591" s="51"/>
    </row>
    <row r="592" spans="1:11" ht="27" customHeight="1">
      <c r="A592" s="72" t="s">
        <v>683</v>
      </c>
      <c r="B592" s="650" t="s">
        <v>30</v>
      </c>
      <c r="C592" s="97" t="s">
        <v>145</v>
      </c>
      <c r="D592" s="98" t="s">
        <v>123</v>
      </c>
      <c r="E592" s="98" t="s">
        <v>688</v>
      </c>
      <c r="F592" s="98"/>
      <c r="G592" s="605">
        <f>G593</f>
        <v>0</v>
      </c>
      <c r="H592" s="605">
        <f>H593</f>
        <v>319000</v>
      </c>
      <c r="I592" s="586">
        <f>I593</f>
        <v>252007.04</v>
      </c>
      <c r="J592" s="204">
        <f t="shared" si="17"/>
        <v>78.99907210031348</v>
      </c>
      <c r="K592" s="51"/>
    </row>
    <row r="593" spans="1:11" ht="20.25" customHeight="1">
      <c r="A593" s="71" t="s">
        <v>327</v>
      </c>
      <c r="B593" s="650" t="s">
        <v>30</v>
      </c>
      <c r="C593" s="99" t="s">
        <v>145</v>
      </c>
      <c r="D593" s="100" t="s">
        <v>123</v>
      </c>
      <c r="E593" s="100" t="s">
        <v>688</v>
      </c>
      <c r="F593" s="100" t="s">
        <v>168</v>
      </c>
      <c r="G593" s="597"/>
      <c r="H593" s="597">
        <v>319000</v>
      </c>
      <c r="I593" s="577">
        <v>252007.04</v>
      </c>
      <c r="J593" s="204">
        <f t="shared" si="17"/>
        <v>78.99907210031348</v>
      </c>
      <c r="K593" s="51"/>
    </row>
    <row r="594" spans="1:11" ht="42" customHeight="1">
      <c r="A594" s="70" t="s">
        <v>546</v>
      </c>
      <c r="B594" s="650" t="s">
        <v>30</v>
      </c>
      <c r="C594" s="97" t="s">
        <v>145</v>
      </c>
      <c r="D594" s="98" t="s">
        <v>123</v>
      </c>
      <c r="E594" s="98" t="s">
        <v>687</v>
      </c>
      <c r="F594" s="110"/>
      <c r="G594" s="605">
        <f>G595</f>
        <v>5500</v>
      </c>
      <c r="H594" s="605">
        <f>H595</f>
        <v>20677</v>
      </c>
      <c r="I594" s="586">
        <f>I595</f>
        <v>16335.35</v>
      </c>
      <c r="J594" s="204">
        <f t="shared" si="17"/>
        <v>79.00251487159646</v>
      </c>
      <c r="K594" s="51"/>
    </row>
    <row r="595" spans="1:11" ht="21.75" customHeight="1">
      <c r="A595" s="71" t="s">
        <v>417</v>
      </c>
      <c r="B595" s="650" t="s">
        <v>30</v>
      </c>
      <c r="C595" s="99" t="s">
        <v>145</v>
      </c>
      <c r="D595" s="100" t="s">
        <v>123</v>
      </c>
      <c r="E595" s="100" t="s">
        <v>687</v>
      </c>
      <c r="F595" s="104" t="s">
        <v>168</v>
      </c>
      <c r="G595" s="597">
        <v>5500</v>
      </c>
      <c r="H595" s="597">
        <v>20677</v>
      </c>
      <c r="I595" s="577">
        <v>16335.35</v>
      </c>
      <c r="J595" s="204">
        <f t="shared" si="17"/>
        <v>79.00251487159646</v>
      </c>
      <c r="K595" s="51"/>
    </row>
    <row r="596" spans="1:11" ht="39.75" customHeight="1">
      <c r="A596" s="70" t="s">
        <v>792</v>
      </c>
      <c r="B596" s="650" t="s">
        <v>30</v>
      </c>
      <c r="C596" s="97" t="s">
        <v>145</v>
      </c>
      <c r="D596" s="98" t="s">
        <v>123</v>
      </c>
      <c r="E596" s="98" t="s">
        <v>689</v>
      </c>
      <c r="F596" s="110"/>
      <c r="G596" s="605">
        <f>G597</f>
        <v>163000</v>
      </c>
      <c r="H596" s="605">
        <f>H597</f>
        <v>15000</v>
      </c>
      <c r="I596" s="586">
        <f>I597</f>
        <v>11852.23</v>
      </c>
      <c r="J596" s="204">
        <f t="shared" si="17"/>
        <v>79.01486666666666</v>
      </c>
      <c r="K596" s="51"/>
    </row>
    <row r="597" spans="1:11" ht="18" customHeight="1">
      <c r="A597" s="71" t="s">
        <v>417</v>
      </c>
      <c r="B597" s="650" t="s">
        <v>30</v>
      </c>
      <c r="C597" s="99" t="s">
        <v>145</v>
      </c>
      <c r="D597" s="100" t="s">
        <v>123</v>
      </c>
      <c r="E597" s="100" t="s">
        <v>689</v>
      </c>
      <c r="F597" s="104" t="s">
        <v>168</v>
      </c>
      <c r="G597" s="597">
        <v>163000</v>
      </c>
      <c r="H597" s="597">
        <v>15000</v>
      </c>
      <c r="I597" s="577">
        <v>11852.23</v>
      </c>
      <c r="J597" s="204">
        <f t="shared" si="17"/>
        <v>79.01486666666666</v>
      </c>
      <c r="K597" s="51"/>
    </row>
    <row r="598" spans="1:11" ht="27.75" customHeight="1">
      <c r="A598" s="72" t="s">
        <v>587</v>
      </c>
      <c r="B598" s="650" t="s">
        <v>30</v>
      </c>
      <c r="C598" s="97" t="s">
        <v>145</v>
      </c>
      <c r="D598" s="98" t="s">
        <v>123</v>
      </c>
      <c r="E598" s="98" t="s">
        <v>642</v>
      </c>
      <c r="F598" s="98"/>
      <c r="G598" s="596">
        <f>G599+G600</f>
        <v>150750.7</v>
      </c>
      <c r="H598" s="596">
        <f>H599+H600</f>
        <v>230000</v>
      </c>
      <c r="I598" s="576">
        <f>I599+I600</f>
        <v>206530</v>
      </c>
      <c r="J598" s="204">
        <f t="shared" si="17"/>
        <v>89.79565217391304</v>
      </c>
      <c r="K598" s="51"/>
    </row>
    <row r="599" spans="1:11" ht="18" customHeight="1">
      <c r="A599" s="71" t="s">
        <v>327</v>
      </c>
      <c r="B599" s="650" t="s">
        <v>30</v>
      </c>
      <c r="C599" s="99" t="s">
        <v>145</v>
      </c>
      <c r="D599" s="100" t="s">
        <v>123</v>
      </c>
      <c r="E599" s="100" t="s">
        <v>642</v>
      </c>
      <c r="F599" s="100" t="s">
        <v>168</v>
      </c>
      <c r="G599" s="597">
        <v>150750.7</v>
      </c>
      <c r="H599" s="597">
        <v>200000</v>
      </c>
      <c r="I599" s="577">
        <v>176530</v>
      </c>
      <c r="J599" s="204">
        <f t="shared" si="17"/>
        <v>88.265</v>
      </c>
      <c r="K599" s="51"/>
    </row>
    <row r="600" spans="1:11" ht="30" customHeight="1" thickBot="1">
      <c r="A600" s="621" t="s">
        <v>806</v>
      </c>
      <c r="B600" s="671" t="s">
        <v>30</v>
      </c>
      <c r="C600" s="201" t="s">
        <v>145</v>
      </c>
      <c r="D600" s="202" t="s">
        <v>123</v>
      </c>
      <c r="E600" s="202" t="s">
        <v>642</v>
      </c>
      <c r="F600" s="202" t="s">
        <v>168</v>
      </c>
      <c r="G600" s="619">
        <v>0</v>
      </c>
      <c r="H600" s="619">
        <v>30000</v>
      </c>
      <c r="I600" s="593">
        <v>30000</v>
      </c>
      <c r="J600" s="620">
        <f t="shared" si="17"/>
        <v>100</v>
      </c>
      <c r="K600" s="51"/>
    </row>
    <row r="601" spans="1:11" ht="18" customHeight="1" thickBot="1">
      <c r="A601" s="622" t="s">
        <v>159</v>
      </c>
      <c r="B601" s="350" t="s">
        <v>30</v>
      </c>
      <c r="C601" s="351" t="s">
        <v>121</v>
      </c>
      <c r="D601" s="351"/>
      <c r="E601" s="133"/>
      <c r="F601" s="351"/>
      <c r="G601" s="625">
        <f aca="true" t="shared" si="18" ref="G601:I603">G602</f>
        <v>750000</v>
      </c>
      <c r="H601" s="625">
        <f t="shared" si="18"/>
        <v>1050000</v>
      </c>
      <c r="I601" s="626">
        <f t="shared" si="18"/>
        <v>1000000</v>
      </c>
      <c r="J601" s="627">
        <f t="shared" si="17"/>
        <v>95.23809523809523</v>
      </c>
      <c r="K601" s="51"/>
    </row>
    <row r="602" spans="1:11" ht="12" customHeight="1">
      <c r="A602" s="661" t="s">
        <v>141</v>
      </c>
      <c r="B602" s="660" t="s">
        <v>30</v>
      </c>
      <c r="C602" s="662" t="s">
        <v>121</v>
      </c>
      <c r="D602" s="663" t="s">
        <v>124</v>
      </c>
      <c r="E602" s="664"/>
      <c r="F602" s="663"/>
      <c r="G602" s="665">
        <f t="shared" si="18"/>
        <v>750000</v>
      </c>
      <c r="H602" s="665">
        <f t="shared" si="18"/>
        <v>1050000</v>
      </c>
      <c r="I602" s="666">
        <f t="shared" si="18"/>
        <v>1000000</v>
      </c>
      <c r="J602" s="667">
        <f t="shared" si="17"/>
        <v>95.23809523809523</v>
      </c>
      <c r="K602" s="51"/>
    </row>
    <row r="603" spans="1:11" ht="29.25" customHeight="1">
      <c r="A603" s="91" t="s">
        <v>102</v>
      </c>
      <c r="B603" s="650" t="s">
        <v>30</v>
      </c>
      <c r="C603" s="131" t="s">
        <v>121</v>
      </c>
      <c r="D603" s="132" t="s">
        <v>124</v>
      </c>
      <c r="E603" s="132" t="s">
        <v>643</v>
      </c>
      <c r="F603" s="132"/>
      <c r="G603" s="610">
        <f t="shared" si="18"/>
        <v>750000</v>
      </c>
      <c r="H603" s="610">
        <f t="shared" si="18"/>
        <v>1050000</v>
      </c>
      <c r="I603" s="591">
        <f t="shared" si="18"/>
        <v>1000000</v>
      </c>
      <c r="J603" s="204">
        <f t="shared" si="17"/>
        <v>95.23809523809523</v>
      </c>
      <c r="K603" s="51"/>
    </row>
    <row r="604" spans="1:11" ht="59.25" customHeight="1" thickBot="1">
      <c r="A604" s="621" t="s">
        <v>415</v>
      </c>
      <c r="B604" s="671" t="s">
        <v>30</v>
      </c>
      <c r="C604" s="201" t="s">
        <v>121</v>
      </c>
      <c r="D604" s="202" t="s">
        <v>124</v>
      </c>
      <c r="E604" s="202" t="s">
        <v>643</v>
      </c>
      <c r="F604" s="202" t="s">
        <v>264</v>
      </c>
      <c r="G604" s="619">
        <v>750000</v>
      </c>
      <c r="H604" s="619">
        <v>1050000</v>
      </c>
      <c r="I604" s="593">
        <v>1000000</v>
      </c>
      <c r="J604" s="620">
        <f t="shared" si="17"/>
        <v>95.23809523809523</v>
      </c>
      <c r="K604" s="51"/>
    </row>
    <row r="605" spans="1:11" ht="27" customHeight="1" thickBot="1">
      <c r="A605" s="622" t="s">
        <v>156</v>
      </c>
      <c r="B605" s="350" t="s">
        <v>30</v>
      </c>
      <c r="C605" s="623" t="s">
        <v>152</v>
      </c>
      <c r="D605" s="624"/>
      <c r="E605" s="133"/>
      <c r="F605" s="624"/>
      <c r="G605" s="625">
        <f aca="true" t="shared" si="19" ref="G605:I607">G606</f>
        <v>2752646.95</v>
      </c>
      <c r="H605" s="625">
        <f t="shared" si="19"/>
        <v>4998000</v>
      </c>
      <c r="I605" s="626">
        <f t="shared" si="19"/>
        <v>2596586.73</v>
      </c>
      <c r="J605" s="627">
        <f t="shared" si="17"/>
        <v>51.9525156062425</v>
      </c>
      <c r="K605" s="51"/>
    </row>
    <row r="606" spans="1:11" ht="12.75" customHeight="1">
      <c r="A606" s="661" t="s">
        <v>5</v>
      </c>
      <c r="B606" s="660" t="s">
        <v>30</v>
      </c>
      <c r="C606" s="668" t="s">
        <v>152</v>
      </c>
      <c r="D606" s="669" t="s">
        <v>117</v>
      </c>
      <c r="E606" s="664"/>
      <c r="F606" s="669"/>
      <c r="G606" s="665">
        <f t="shared" si="19"/>
        <v>2752646.95</v>
      </c>
      <c r="H606" s="665">
        <f t="shared" si="19"/>
        <v>4998000</v>
      </c>
      <c r="I606" s="666">
        <f t="shared" si="19"/>
        <v>2596586.73</v>
      </c>
      <c r="J606" s="667">
        <f t="shared" si="17"/>
        <v>51.9525156062425</v>
      </c>
      <c r="K606" s="51"/>
    </row>
    <row r="607" spans="1:12" ht="28.5" customHeight="1">
      <c r="A607" s="84" t="s">
        <v>103</v>
      </c>
      <c r="B607" s="650" t="s">
        <v>30</v>
      </c>
      <c r="C607" s="97" t="s">
        <v>152</v>
      </c>
      <c r="D607" s="98" t="s">
        <v>117</v>
      </c>
      <c r="E607" s="98" t="s">
        <v>199</v>
      </c>
      <c r="F607" s="98"/>
      <c r="G607" s="596">
        <f t="shared" si="19"/>
        <v>2752646.95</v>
      </c>
      <c r="H607" s="596">
        <f t="shared" si="19"/>
        <v>4998000</v>
      </c>
      <c r="I607" s="576">
        <f t="shared" si="19"/>
        <v>2596586.73</v>
      </c>
      <c r="J607" s="204">
        <f t="shared" si="17"/>
        <v>51.9525156062425</v>
      </c>
      <c r="K607" s="51"/>
      <c r="L607" s="51"/>
    </row>
    <row r="608" spans="1:11" ht="13.5" customHeight="1" thickBot="1">
      <c r="A608" s="190" t="s">
        <v>5</v>
      </c>
      <c r="B608" s="671" t="s">
        <v>30</v>
      </c>
      <c r="C608" s="201" t="s">
        <v>152</v>
      </c>
      <c r="D608" s="202" t="s">
        <v>117</v>
      </c>
      <c r="E608" s="202" t="s">
        <v>199</v>
      </c>
      <c r="F608" s="202" t="s">
        <v>6</v>
      </c>
      <c r="G608" s="619">
        <f>2537341.74+215305.21</f>
        <v>2752646.95</v>
      </c>
      <c r="H608" s="619">
        <v>4998000</v>
      </c>
      <c r="I608" s="593">
        <v>2596586.73</v>
      </c>
      <c r="J608" s="620">
        <f t="shared" si="17"/>
        <v>51.9525156062425</v>
      </c>
      <c r="K608" s="51"/>
    </row>
    <row r="609" spans="1:11" ht="17.25" customHeight="1" thickBot="1">
      <c r="A609" s="191" t="s">
        <v>416</v>
      </c>
      <c r="B609" s="350" t="s">
        <v>30</v>
      </c>
      <c r="C609" s="351"/>
      <c r="D609" s="351"/>
      <c r="E609" s="133"/>
      <c r="F609" s="351"/>
      <c r="G609" s="352">
        <f>G12+G118+G125+G136+G177+G302+G470+G524+G560+G601+G605</f>
        <v>979951446.5000001</v>
      </c>
      <c r="H609" s="352">
        <f>H12+H118+H125+H136+H177+H302+H470+H524+H560+H601+H605</f>
        <v>1431947331.99</v>
      </c>
      <c r="I609" s="429">
        <f>I12+I118+I125+I136+I177+I302+I470+I524+I560+I601+I605</f>
        <v>955486792.8199998</v>
      </c>
      <c r="J609" s="627">
        <f t="shared" si="17"/>
        <v>66.72639219852763</v>
      </c>
      <c r="K609" s="51"/>
    </row>
    <row r="610" spans="1:10" ht="15.75">
      <c r="A610" s="47"/>
      <c r="B610" s="48"/>
      <c r="C610" s="49"/>
      <c r="D610" s="49"/>
      <c r="E610" s="49"/>
      <c r="F610" s="49"/>
      <c r="G610" s="49"/>
      <c r="H610" s="141"/>
      <c r="I610" s="141"/>
      <c r="J610" s="142"/>
    </row>
    <row r="611" spans="1:10" ht="15.75">
      <c r="A611" s="47"/>
      <c r="B611" s="48"/>
      <c r="C611" s="49"/>
      <c r="D611" s="49"/>
      <c r="E611" s="49"/>
      <c r="F611" s="49"/>
      <c r="G611" s="49"/>
      <c r="H611" s="143"/>
      <c r="I611" s="141"/>
      <c r="J611" s="142"/>
    </row>
    <row r="612" spans="5:10" ht="15" customHeight="1">
      <c r="E612" s="470" t="s">
        <v>312</v>
      </c>
      <c r="F612" s="470"/>
      <c r="G612" s="354"/>
      <c r="H612" s="45">
        <f>H13+H21+H30+H60+H63+H126+H144+H153+H161+H164+H175+H198+H202+H208+H215+H231+H245+H250+H252+H254+H257+H259+H266+H270+H272+H274+H278+H294+H299+H304+H309+H311+H340+H346+H359+H362+H388+H390+H391+H395+H405+H407+H409+H414+H416+H418+H420+H430+H435+H439+H449+H463+H465+H468+H475+H477+H486+H492+H496+H500+H504+H506+H516+H527+H535+H555+H564+H566+H581+H585+H597+H600+H604+H608</f>
        <v>917100977.8499999</v>
      </c>
      <c r="I612" s="45">
        <f>I13+I21+I30+I60+I63+I126+I144+I153+I161+I164+I175+I198+I202+I208+I215+I231+I245+I250+I252+I254+I257+I259+I266+I270+I272+I274+I278+I294+I299+I304+I309+I311+I340+I346+I359+I362+I388+I390+I391+I395+I405+I407+I409+I414+I416+I418+I420+I430+I435+I439+I449+I463+I465+I468+I475+I477+I486+I492+I496+I500+I504+I506+I516+I527+I535+I555+I564+I566+I581+I585+I597+I600+I604+I608</f>
        <v>661944870.0500002</v>
      </c>
      <c r="J612" s="135">
        <f>I612/H612*100</f>
        <v>72.177970151316</v>
      </c>
    </row>
    <row r="613" spans="5:11" ht="12.75" customHeight="1">
      <c r="E613" s="471" t="s">
        <v>313</v>
      </c>
      <c r="F613" s="471"/>
      <c r="G613" s="355"/>
      <c r="H613" s="279">
        <f>H157+H204+H228+H243+H246+H280+H489+H501+H507+H593+H598</f>
        <v>6643911.1</v>
      </c>
      <c r="I613" s="279">
        <f>I157+I204+I228+I243+I246+I280+I489+I501+I507+I593+I598</f>
        <v>2643103.1</v>
      </c>
      <c r="J613" s="140">
        <f>I613/H613*100</f>
        <v>39.78233694306957</v>
      </c>
      <c r="K613" s="39"/>
    </row>
    <row r="614" spans="5:11" ht="12.75">
      <c r="E614" s="472" t="s">
        <v>314</v>
      </c>
      <c r="F614" s="472"/>
      <c r="G614" s="356"/>
      <c r="H614" s="45">
        <f>H308+H345</f>
        <v>13040000</v>
      </c>
      <c r="I614" s="45">
        <f>I308+I345</f>
        <v>9209120.21</v>
      </c>
      <c r="J614" s="136">
        <f>I614/H614*100</f>
        <v>70.6220875</v>
      </c>
      <c r="K614" s="39"/>
    </row>
    <row r="615" spans="5:11" ht="12.75">
      <c r="E615" s="472" t="s">
        <v>315</v>
      </c>
      <c r="F615" s="472"/>
      <c r="G615" s="356"/>
      <c r="H615" s="280">
        <f>H39+H43+H58+H120+H141+H149+H151+H158+H162+H179+H181+H188+H206+H220+H222+H229+H236+H240+H248+H264+H268+H277+H321+H328+H358+H360+H361+H363+H369+H375+H379+H387+H389+H399+H404+H406+H408++H422+H427+H458+H461+H478+H480+H490+H508+H529+H532+H539+H546+H551+H558+H584+H588+H594</f>
        <v>906768757.4100002</v>
      </c>
      <c r="I615" s="280">
        <f>I39+I43+I58+I120+I141+I149+I151+I158+I162+I179+I181+I188+I206+I220+I222+I229+I236+I240+I248+I264+I268+I277+I321+I328+I358+I360+I361+I363+I369+I375+I379+I387+I389+I399+I404+I406+I408++I422+I427+I458+I461+I478+I480+I490+I508+I529+I532+I539+I546+I551+I558+I584+I588+I594</f>
        <v>581487109.58</v>
      </c>
      <c r="J615" s="135">
        <f>I615/H615*100</f>
        <v>64.12738692507439</v>
      </c>
      <c r="K615" s="39"/>
    </row>
    <row r="616" spans="5:10" ht="12.75">
      <c r="E616" s="466" t="s">
        <v>316</v>
      </c>
      <c r="F616" s="466"/>
      <c r="G616" s="353"/>
      <c r="H616" s="44">
        <f>SUM(H612:H615)</f>
        <v>1843553646.3600001</v>
      </c>
      <c r="I616" s="44">
        <f>SUM(I612:I615)</f>
        <v>1255284202.9400003</v>
      </c>
      <c r="J616" s="46"/>
    </row>
    <row r="618" spans="9:11" ht="12.75">
      <c r="I618" s="39"/>
      <c r="J618" s="39"/>
      <c r="K618" s="39"/>
    </row>
    <row r="619" spans="8:11" ht="12.75">
      <c r="H619" s="53"/>
      <c r="I619" s="134"/>
      <c r="J619" s="39"/>
      <c r="K619" s="39"/>
    </row>
    <row r="620" spans="9:11" ht="12.75">
      <c r="I620" s="39"/>
      <c r="J620" s="39"/>
      <c r="K620" s="39"/>
    </row>
    <row r="621" spans="9:11" ht="12.75">
      <c r="I621" s="39"/>
      <c r="J621" s="39"/>
      <c r="K621" s="39"/>
    </row>
  </sheetData>
  <sheetProtection/>
  <mergeCells count="17">
    <mergeCell ref="E616:F616"/>
    <mergeCell ref="A5:A10"/>
    <mergeCell ref="E612:F612"/>
    <mergeCell ref="E613:F613"/>
    <mergeCell ref="E614:F614"/>
    <mergeCell ref="E615:F615"/>
    <mergeCell ref="B5:B10"/>
    <mergeCell ref="C5:C10"/>
    <mergeCell ref="D5:D10"/>
    <mergeCell ref="F2:J2"/>
    <mergeCell ref="J5:J10"/>
    <mergeCell ref="E5:E10"/>
    <mergeCell ref="F5:F10"/>
    <mergeCell ref="H5:H10"/>
    <mergeCell ref="I5:I10"/>
    <mergeCell ref="A4:J4"/>
    <mergeCell ref="G5:G10"/>
  </mergeCells>
  <printOptions/>
  <pageMargins left="0.984251968503937" right="0.03937007874015748" top="0.15748031496062992" bottom="0.11811023622047245" header="0" footer="0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60"/>
  <sheetViews>
    <sheetView view="pageBreakPreview" zoomScaleSheetLayoutView="100" zoomScalePageLayoutView="0" workbookViewId="0" topLeftCell="A41">
      <selection activeCell="I51" sqref="I51"/>
    </sheetView>
  </sheetViews>
  <sheetFormatPr defaultColWidth="9.00390625" defaultRowHeight="12.75"/>
  <cols>
    <col min="1" max="1" width="46.625" style="16" customWidth="1"/>
    <col min="2" max="2" width="6.625" style="16" customWidth="1"/>
    <col min="3" max="3" width="6.875" style="16" customWidth="1"/>
    <col min="4" max="4" width="6.375" style="16" customWidth="1"/>
    <col min="5" max="5" width="12.625" style="16" hidden="1" customWidth="1"/>
    <col min="6" max="6" width="8.00390625" style="16" hidden="1" customWidth="1"/>
    <col min="7" max="7" width="16.875" style="16" customWidth="1"/>
    <col min="8" max="8" width="19.625" style="16" customWidth="1"/>
    <col min="9" max="9" width="16.625" style="16" customWidth="1"/>
    <col min="10" max="10" width="11.25390625" style="16" customWidth="1"/>
    <col min="11" max="11" width="10.875" style="16" customWidth="1"/>
    <col min="12" max="12" width="13.625" style="16" customWidth="1"/>
    <col min="13" max="13" width="13.875" style="16" bestFit="1" customWidth="1"/>
    <col min="14" max="16384" width="9.125" style="16" customWidth="1"/>
  </cols>
  <sheetData>
    <row r="1" spans="4:11" ht="12.75">
      <c r="D1" s="21" t="s">
        <v>911</v>
      </c>
      <c r="F1" s="16" t="s">
        <v>240</v>
      </c>
      <c r="I1" s="17"/>
      <c r="J1" s="17"/>
      <c r="K1" s="17"/>
    </row>
    <row r="2" spans="1:15" ht="30" customHeight="1">
      <c r="A2" s="51"/>
      <c r="B2" s="51"/>
      <c r="C2" s="51"/>
      <c r="D2" s="430"/>
      <c r="E2" s="431"/>
      <c r="F2" s="431"/>
      <c r="G2" s="431"/>
      <c r="H2" s="528" t="s">
        <v>910</v>
      </c>
      <c r="I2" s="448"/>
      <c r="J2" s="448"/>
      <c r="K2" s="448"/>
      <c r="L2" s="29"/>
      <c r="M2" s="29"/>
      <c r="N2" s="29"/>
      <c r="O2" s="29"/>
    </row>
    <row r="3" spans="1:11" ht="12.75">
      <c r="A3" s="51"/>
      <c r="B3" s="51"/>
      <c r="C3" s="51"/>
      <c r="D3" s="51"/>
      <c r="E3" s="51"/>
      <c r="F3" s="51"/>
      <c r="G3" s="51"/>
      <c r="H3" s="68"/>
      <c r="I3" s="68"/>
      <c r="J3" s="68"/>
      <c r="K3" s="68"/>
    </row>
    <row r="4" spans="1:11" ht="31.5" customHeight="1" thickBot="1">
      <c r="A4" s="482" t="s">
        <v>824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1" ht="12.75" customHeight="1">
      <c r="A5" s="483" t="s">
        <v>115</v>
      </c>
      <c r="B5" s="486" t="s">
        <v>146</v>
      </c>
      <c r="C5" s="489" t="s">
        <v>116</v>
      </c>
      <c r="D5" s="492" t="s">
        <v>125</v>
      </c>
      <c r="E5" s="495" t="s">
        <v>134</v>
      </c>
      <c r="F5" s="498" t="s">
        <v>135</v>
      </c>
      <c r="G5" s="463" t="s">
        <v>825</v>
      </c>
      <c r="H5" s="476" t="s">
        <v>442</v>
      </c>
      <c r="I5" s="476" t="s">
        <v>790</v>
      </c>
      <c r="J5" s="459" t="s">
        <v>645</v>
      </c>
      <c r="K5" s="479" t="s">
        <v>248</v>
      </c>
    </row>
    <row r="6" spans="1:11" ht="12.75">
      <c r="A6" s="484"/>
      <c r="B6" s="487"/>
      <c r="C6" s="490"/>
      <c r="D6" s="493"/>
      <c r="E6" s="496"/>
      <c r="F6" s="499"/>
      <c r="G6" s="464"/>
      <c r="H6" s="477"/>
      <c r="I6" s="477"/>
      <c r="J6" s="460"/>
      <c r="K6" s="480"/>
    </row>
    <row r="7" spans="1:11" ht="12.75">
      <c r="A7" s="484"/>
      <c r="B7" s="487"/>
      <c r="C7" s="490"/>
      <c r="D7" s="493"/>
      <c r="E7" s="496"/>
      <c r="F7" s="499"/>
      <c r="G7" s="464"/>
      <c r="H7" s="477"/>
      <c r="I7" s="477"/>
      <c r="J7" s="460"/>
      <c r="K7" s="480"/>
    </row>
    <row r="8" spans="1:11" ht="12.75">
      <c r="A8" s="484"/>
      <c r="B8" s="487"/>
      <c r="C8" s="490"/>
      <c r="D8" s="493"/>
      <c r="E8" s="496"/>
      <c r="F8" s="499"/>
      <c r="G8" s="464"/>
      <c r="H8" s="477"/>
      <c r="I8" s="477"/>
      <c r="J8" s="460"/>
      <c r="K8" s="480"/>
    </row>
    <row r="9" spans="1:11" ht="12.75">
      <c r="A9" s="484"/>
      <c r="B9" s="487"/>
      <c r="C9" s="490"/>
      <c r="D9" s="493"/>
      <c r="E9" s="496"/>
      <c r="F9" s="499"/>
      <c r="G9" s="464"/>
      <c r="H9" s="477"/>
      <c r="I9" s="477"/>
      <c r="J9" s="460"/>
      <c r="K9" s="480"/>
    </row>
    <row r="10" spans="1:11" ht="13.5" thickBot="1">
      <c r="A10" s="485"/>
      <c r="B10" s="488"/>
      <c r="C10" s="491"/>
      <c r="D10" s="494"/>
      <c r="E10" s="497"/>
      <c r="F10" s="500"/>
      <c r="G10" s="465"/>
      <c r="H10" s="478"/>
      <c r="I10" s="478"/>
      <c r="J10" s="501"/>
      <c r="K10" s="481"/>
    </row>
    <row r="11" spans="1:11" ht="13.5" thickBot="1">
      <c r="A11" s="273" t="s">
        <v>130</v>
      </c>
      <c r="B11" s="377" t="s">
        <v>30</v>
      </c>
      <c r="C11" s="419" t="s">
        <v>117</v>
      </c>
      <c r="D11" s="420"/>
      <c r="E11" s="419"/>
      <c r="F11" s="421"/>
      <c r="G11" s="381">
        <f>SUM(G12:G17)</f>
        <v>39347061.01</v>
      </c>
      <c r="H11" s="381">
        <f>SUM(H12:H17)</f>
        <v>63985360.7</v>
      </c>
      <c r="I11" s="381">
        <f>SUM(I12:I17)</f>
        <v>46528582.510000005</v>
      </c>
      <c r="J11" s="382">
        <f>I11/G11*100</f>
        <v>118.25173549347139</v>
      </c>
      <c r="K11" s="383">
        <f aca="true" t="shared" si="0" ref="K11:K17">I11/H11*100</f>
        <v>72.71754351460584</v>
      </c>
    </row>
    <row r="12" spans="1:11" ht="25.5">
      <c r="A12" s="511" t="s">
        <v>518</v>
      </c>
      <c r="B12" s="512" t="s">
        <v>30</v>
      </c>
      <c r="C12" s="422" t="s">
        <v>117</v>
      </c>
      <c r="D12" s="422" t="s">
        <v>124</v>
      </c>
      <c r="E12" s="513"/>
      <c r="F12" s="513"/>
      <c r="G12" s="408">
        <v>1894553.43</v>
      </c>
      <c r="H12" s="408">
        <v>3833679.65</v>
      </c>
      <c r="I12" s="408">
        <v>2869076.88</v>
      </c>
      <c r="J12" s="409">
        <f>I12/G12*100</f>
        <v>151.4381613402162</v>
      </c>
      <c r="K12" s="410">
        <f>I12/H12*100</f>
        <v>74.83872263557546</v>
      </c>
    </row>
    <row r="13" spans="1:11" ht="51">
      <c r="A13" s="206" t="s">
        <v>521</v>
      </c>
      <c r="B13" s="359" t="s">
        <v>30</v>
      </c>
      <c r="C13" s="365" t="s">
        <v>117</v>
      </c>
      <c r="D13" s="195" t="s">
        <v>126</v>
      </c>
      <c r="E13" s="361"/>
      <c r="F13" s="361"/>
      <c r="G13" s="362">
        <v>567980.62</v>
      </c>
      <c r="H13" s="362">
        <v>7595.99</v>
      </c>
      <c r="I13" s="362">
        <v>7595.99</v>
      </c>
      <c r="J13" s="363">
        <f>I13/G13*100</f>
        <v>1.337367813711672</v>
      </c>
      <c r="K13" s="364">
        <f>I13/H13*100</f>
        <v>100</v>
      </c>
    </row>
    <row r="14" spans="1:11" ht="40.5" customHeight="1">
      <c r="A14" s="267" t="s">
        <v>331</v>
      </c>
      <c r="B14" s="359" t="s">
        <v>30</v>
      </c>
      <c r="C14" s="365" t="s">
        <v>117</v>
      </c>
      <c r="D14" s="195" t="s">
        <v>127</v>
      </c>
      <c r="E14" s="195"/>
      <c r="F14" s="195"/>
      <c r="G14" s="362">
        <v>22765629.54</v>
      </c>
      <c r="H14" s="362">
        <v>36684013.77</v>
      </c>
      <c r="I14" s="362">
        <v>24032483.89</v>
      </c>
      <c r="J14" s="363">
        <f aca="true" t="shared" si="1" ref="J14:J55">I14/G14*100</f>
        <v>105.56476748325407</v>
      </c>
      <c r="K14" s="364">
        <f t="shared" si="0"/>
        <v>65.51214390191305</v>
      </c>
    </row>
    <row r="15" spans="1:11" ht="20.25" customHeight="1">
      <c r="A15" s="267" t="s">
        <v>237</v>
      </c>
      <c r="B15" s="366" t="s">
        <v>30</v>
      </c>
      <c r="C15" s="365" t="s">
        <v>117</v>
      </c>
      <c r="D15" s="367" t="s">
        <v>123</v>
      </c>
      <c r="E15" s="195" t="s">
        <v>180</v>
      </c>
      <c r="F15" s="368"/>
      <c r="G15" s="362">
        <v>5800</v>
      </c>
      <c r="H15" s="362">
        <v>200</v>
      </c>
      <c r="I15" s="362">
        <v>200</v>
      </c>
      <c r="J15" s="363">
        <f t="shared" si="1"/>
        <v>3.4482758620689653</v>
      </c>
      <c r="K15" s="364">
        <f t="shared" si="0"/>
        <v>100</v>
      </c>
    </row>
    <row r="16" spans="1:11" ht="20.25" customHeight="1">
      <c r="A16" s="267" t="s">
        <v>238</v>
      </c>
      <c r="B16" s="366" t="s">
        <v>30</v>
      </c>
      <c r="C16" s="365" t="s">
        <v>117</v>
      </c>
      <c r="D16" s="367" t="s">
        <v>145</v>
      </c>
      <c r="E16" s="195" t="s">
        <v>180</v>
      </c>
      <c r="F16" s="368"/>
      <c r="G16" s="362">
        <v>0</v>
      </c>
      <c r="H16" s="362">
        <v>100000</v>
      </c>
      <c r="I16" s="362">
        <v>0</v>
      </c>
      <c r="J16" s="363" t="e">
        <f t="shared" si="1"/>
        <v>#DIV/0!</v>
      </c>
      <c r="K16" s="364">
        <f t="shared" si="0"/>
        <v>0</v>
      </c>
    </row>
    <row r="17" spans="1:11" ht="20.25" customHeight="1" thickBot="1">
      <c r="A17" s="268" t="s">
        <v>131</v>
      </c>
      <c r="B17" s="369" t="s">
        <v>30</v>
      </c>
      <c r="C17" s="370" t="s">
        <v>117</v>
      </c>
      <c r="D17" s="371" t="s">
        <v>152</v>
      </c>
      <c r="E17" s="372" t="s">
        <v>180</v>
      </c>
      <c r="F17" s="373"/>
      <c r="G17" s="374">
        <v>14113097.42</v>
      </c>
      <c r="H17" s="374">
        <v>23359871.29</v>
      </c>
      <c r="I17" s="374">
        <v>19619225.75</v>
      </c>
      <c r="J17" s="375">
        <f t="shared" si="1"/>
        <v>139.0143153280947</v>
      </c>
      <c r="K17" s="376">
        <f t="shared" si="0"/>
        <v>83.98687435576193</v>
      </c>
    </row>
    <row r="18" spans="1:11" ht="20.25" customHeight="1" thickBot="1">
      <c r="A18" s="269" t="s">
        <v>160</v>
      </c>
      <c r="B18" s="377" t="s">
        <v>30</v>
      </c>
      <c r="C18" s="378" t="s">
        <v>124</v>
      </c>
      <c r="D18" s="379"/>
      <c r="E18" s="378"/>
      <c r="F18" s="380"/>
      <c r="G18" s="381">
        <f>G19</f>
        <v>572773.83</v>
      </c>
      <c r="H18" s="381">
        <f>H19</f>
        <v>442300</v>
      </c>
      <c r="I18" s="381">
        <f>I19</f>
        <v>207255.66</v>
      </c>
      <c r="J18" s="382">
        <f t="shared" si="1"/>
        <v>36.18455473079138</v>
      </c>
      <c r="K18" s="383">
        <f aca="true" t="shared" si="2" ref="K18:K34">I18/H18*100</f>
        <v>46.858616323762156</v>
      </c>
    </row>
    <row r="19" spans="1:11" ht="20.25" customHeight="1" thickBot="1">
      <c r="A19" s="514" t="s">
        <v>161</v>
      </c>
      <c r="B19" s="358" t="s">
        <v>30</v>
      </c>
      <c r="C19" s="515" t="s">
        <v>124</v>
      </c>
      <c r="D19" s="516" t="s">
        <v>126</v>
      </c>
      <c r="E19" s="392"/>
      <c r="F19" s="393"/>
      <c r="G19" s="517">
        <v>572773.83</v>
      </c>
      <c r="H19" s="517">
        <v>442300</v>
      </c>
      <c r="I19" s="517">
        <v>207255.66</v>
      </c>
      <c r="J19" s="518">
        <f t="shared" si="1"/>
        <v>36.18455473079138</v>
      </c>
      <c r="K19" s="519">
        <f t="shared" si="2"/>
        <v>46.858616323762156</v>
      </c>
    </row>
    <row r="20" spans="1:11" ht="31.5" customHeight="1" thickBot="1">
      <c r="A20" s="269" t="s">
        <v>242</v>
      </c>
      <c r="B20" s="377" t="s">
        <v>30</v>
      </c>
      <c r="C20" s="378" t="s">
        <v>126</v>
      </c>
      <c r="D20" s="379"/>
      <c r="E20" s="521"/>
      <c r="F20" s="522"/>
      <c r="G20" s="381">
        <f>SUM(G21:G21)</f>
        <v>938302.61</v>
      </c>
      <c r="H20" s="381">
        <f>SUM(H21:H21)</f>
        <v>500000</v>
      </c>
      <c r="I20" s="381">
        <f>SUM(I21:I21)</f>
        <v>296799</v>
      </c>
      <c r="J20" s="382">
        <f t="shared" si="1"/>
        <v>31.631479741913964</v>
      </c>
      <c r="K20" s="383">
        <f>I20/H20*100</f>
        <v>59.35979999999999</v>
      </c>
    </row>
    <row r="21" spans="1:11" ht="33" customHeight="1" thickBot="1">
      <c r="A21" s="357" t="s">
        <v>243</v>
      </c>
      <c r="B21" s="520" t="s">
        <v>30</v>
      </c>
      <c r="C21" s="387" t="s">
        <v>126</v>
      </c>
      <c r="D21" s="387" t="s">
        <v>147</v>
      </c>
      <c r="E21" s="387"/>
      <c r="F21" s="387"/>
      <c r="G21" s="389">
        <v>938302.61</v>
      </c>
      <c r="H21" s="389">
        <v>500000</v>
      </c>
      <c r="I21" s="389">
        <v>296799</v>
      </c>
      <c r="J21" s="390">
        <f t="shared" si="1"/>
        <v>31.631479741913964</v>
      </c>
      <c r="K21" s="391">
        <f>I21/H21*100</f>
        <v>59.35979999999999</v>
      </c>
    </row>
    <row r="22" spans="1:11" ht="20.25" customHeight="1" thickBot="1">
      <c r="A22" s="269" t="s">
        <v>143</v>
      </c>
      <c r="B22" s="377" t="s">
        <v>30</v>
      </c>
      <c r="C22" s="378" t="s">
        <v>127</v>
      </c>
      <c r="D22" s="379"/>
      <c r="E22" s="378"/>
      <c r="F22" s="380"/>
      <c r="G22" s="381">
        <f>SUM(G23:G27)</f>
        <v>22155162.26</v>
      </c>
      <c r="H22" s="381">
        <f>SUM(H23:H27)</f>
        <v>68045497.92</v>
      </c>
      <c r="I22" s="381">
        <f>SUM(I23:I27)</f>
        <v>18676989.09</v>
      </c>
      <c r="J22" s="382">
        <f t="shared" si="1"/>
        <v>84.3008454229213</v>
      </c>
      <c r="K22" s="383">
        <f t="shared" si="2"/>
        <v>27.447795461733904</v>
      </c>
    </row>
    <row r="23" spans="1:11" ht="20.25" customHeight="1">
      <c r="A23" s="357" t="s">
        <v>813</v>
      </c>
      <c r="B23" s="384" t="s">
        <v>30</v>
      </c>
      <c r="C23" s="387" t="s">
        <v>127</v>
      </c>
      <c r="D23" s="386" t="s">
        <v>117</v>
      </c>
      <c r="E23" s="401"/>
      <c r="F23" s="402"/>
      <c r="G23" s="389">
        <v>0</v>
      </c>
      <c r="H23" s="389">
        <v>172500</v>
      </c>
      <c r="I23" s="389">
        <v>0</v>
      </c>
      <c r="J23" s="363" t="e">
        <f>I23/G23*100</f>
        <v>#DIV/0!</v>
      </c>
      <c r="K23" s="364">
        <f>I23/H23*100</f>
        <v>0</v>
      </c>
    </row>
    <row r="24" spans="1:11" ht="20.25" customHeight="1">
      <c r="A24" s="271" t="s">
        <v>8</v>
      </c>
      <c r="B24" s="366" t="s">
        <v>30</v>
      </c>
      <c r="C24" s="195" t="s">
        <v>127</v>
      </c>
      <c r="D24" s="367" t="s">
        <v>123</v>
      </c>
      <c r="E24" s="195"/>
      <c r="F24" s="368"/>
      <c r="G24" s="362">
        <v>559310</v>
      </c>
      <c r="H24" s="362">
        <v>1502700</v>
      </c>
      <c r="I24" s="362">
        <v>1075100</v>
      </c>
      <c r="J24" s="363">
        <f t="shared" si="1"/>
        <v>192.21898410541561</v>
      </c>
      <c r="K24" s="364">
        <f t="shared" si="2"/>
        <v>71.5445531376855</v>
      </c>
    </row>
    <row r="25" spans="1:11" ht="20.25" customHeight="1">
      <c r="A25" s="271" t="s">
        <v>677</v>
      </c>
      <c r="B25" s="366" t="s">
        <v>30</v>
      </c>
      <c r="C25" s="195" t="s">
        <v>127</v>
      </c>
      <c r="D25" s="367" t="s">
        <v>119</v>
      </c>
      <c r="E25" s="195"/>
      <c r="F25" s="368"/>
      <c r="G25" s="362">
        <v>0</v>
      </c>
      <c r="H25" s="362">
        <v>100000</v>
      </c>
      <c r="I25" s="362">
        <v>0</v>
      </c>
      <c r="J25" s="363" t="e">
        <f>I25/G25*100</f>
        <v>#DIV/0!</v>
      </c>
      <c r="K25" s="364">
        <f>I25/H25*100</f>
        <v>0</v>
      </c>
    </row>
    <row r="26" spans="1:11" ht="20.25" customHeight="1">
      <c r="A26" s="271" t="s">
        <v>107</v>
      </c>
      <c r="B26" s="366" t="s">
        <v>30</v>
      </c>
      <c r="C26" s="195" t="s">
        <v>127</v>
      </c>
      <c r="D26" s="367" t="s">
        <v>120</v>
      </c>
      <c r="E26" s="195"/>
      <c r="F26" s="368"/>
      <c r="G26" s="362">
        <v>14325603.65</v>
      </c>
      <c r="H26" s="362">
        <v>65230297.93</v>
      </c>
      <c r="I26" s="362">
        <v>17601889.09</v>
      </c>
      <c r="J26" s="363">
        <f t="shared" si="1"/>
        <v>122.87013880912446</v>
      </c>
      <c r="K26" s="364">
        <f t="shared" si="2"/>
        <v>26.984223050596757</v>
      </c>
    </row>
    <row r="27" spans="1:11" ht="21" customHeight="1" thickBot="1">
      <c r="A27" s="272" t="s">
        <v>150</v>
      </c>
      <c r="B27" s="369" t="s">
        <v>30</v>
      </c>
      <c r="C27" s="372" t="s">
        <v>127</v>
      </c>
      <c r="D27" s="371" t="s">
        <v>121</v>
      </c>
      <c r="E27" s="372"/>
      <c r="F27" s="373"/>
      <c r="G27" s="374">
        <v>7270248.61</v>
      </c>
      <c r="H27" s="374">
        <v>1039999.99</v>
      </c>
      <c r="I27" s="374">
        <v>0</v>
      </c>
      <c r="J27" s="375">
        <f t="shared" si="1"/>
        <v>0</v>
      </c>
      <c r="K27" s="376">
        <f t="shared" si="2"/>
        <v>0</v>
      </c>
    </row>
    <row r="28" spans="1:11" ht="20.25" customHeight="1" thickBot="1">
      <c r="A28" s="273" t="s">
        <v>108</v>
      </c>
      <c r="B28" s="377" t="s">
        <v>30</v>
      </c>
      <c r="C28" s="378" t="s">
        <v>123</v>
      </c>
      <c r="D28" s="379"/>
      <c r="E28" s="378"/>
      <c r="F28" s="380"/>
      <c r="G28" s="381">
        <f>G29+G31+G30+G32</f>
        <v>417625742.74</v>
      </c>
      <c r="H28" s="381">
        <f>H29+H31+H30+H32</f>
        <v>650637220.44</v>
      </c>
      <c r="I28" s="381">
        <f>I29+I31+I30+I32</f>
        <v>421481032.45</v>
      </c>
      <c r="J28" s="382">
        <f t="shared" si="1"/>
        <v>100.92314465212459</v>
      </c>
      <c r="K28" s="383">
        <f t="shared" si="2"/>
        <v>64.77972965717656</v>
      </c>
    </row>
    <row r="29" spans="1:11" ht="20.25" customHeight="1">
      <c r="A29" s="274" t="s">
        <v>108</v>
      </c>
      <c r="B29" s="403" t="s">
        <v>30</v>
      </c>
      <c r="C29" s="404" t="s">
        <v>123</v>
      </c>
      <c r="D29" s="405" t="s">
        <v>117</v>
      </c>
      <c r="E29" s="406"/>
      <c r="F29" s="407"/>
      <c r="G29" s="408">
        <v>391312733.62</v>
      </c>
      <c r="H29" s="408">
        <v>573797408.94</v>
      </c>
      <c r="I29" s="408">
        <v>390179529.25</v>
      </c>
      <c r="J29" s="409">
        <f t="shared" si="1"/>
        <v>99.71040953369526</v>
      </c>
      <c r="K29" s="410">
        <f t="shared" si="2"/>
        <v>67.99952791191494</v>
      </c>
    </row>
    <row r="30" spans="1:11" ht="20.25" customHeight="1">
      <c r="A30" s="267" t="s">
        <v>244</v>
      </c>
      <c r="B30" s="366" t="s">
        <v>30</v>
      </c>
      <c r="C30" s="360" t="s">
        <v>123</v>
      </c>
      <c r="D30" s="411" t="s">
        <v>124</v>
      </c>
      <c r="E30" s="195"/>
      <c r="F30" s="368"/>
      <c r="G30" s="362">
        <v>3828864.26</v>
      </c>
      <c r="H30" s="362">
        <v>40141876.89</v>
      </c>
      <c r="I30" s="362">
        <v>19494101.02</v>
      </c>
      <c r="J30" s="363">
        <f t="shared" si="1"/>
        <v>509.13533873880397</v>
      </c>
      <c r="K30" s="364">
        <f>I30/H30*100</f>
        <v>48.56300335288084</v>
      </c>
    </row>
    <row r="31" spans="1:11" ht="15" customHeight="1">
      <c r="A31" s="267" t="s">
        <v>104</v>
      </c>
      <c r="B31" s="366" t="s">
        <v>30</v>
      </c>
      <c r="C31" s="360" t="s">
        <v>123</v>
      </c>
      <c r="D31" s="411" t="s">
        <v>126</v>
      </c>
      <c r="E31" s="195"/>
      <c r="F31" s="412"/>
      <c r="G31" s="362">
        <v>22393514.16</v>
      </c>
      <c r="H31" s="362">
        <v>36131201.28</v>
      </c>
      <c r="I31" s="362">
        <v>11279779.85</v>
      </c>
      <c r="J31" s="363">
        <f t="shared" si="1"/>
        <v>50.37074471387925</v>
      </c>
      <c r="K31" s="364">
        <f t="shared" si="2"/>
        <v>31.218944984936854</v>
      </c>
    </row>
    <row r="32" spans="1:11" ht="30.75" customHeight="1" thickBot="1">
      <c r="A32" s="268" t="s">
        <v>295</v>
      </c>
      <c r="B32" s="369" t="s">
        <v>30</v>
      </c>
      <c r="C32" s="413" t="s">
        <v>123</v>
      </c>
      <c r="D32" s="414" t="s">
        <v>123</v>
      </c>
      <c r="E32" s="372"/>
      <c r="F32" s="415"/>
      <c r="G32" s="374">
        <v>90630.7</v>
      </c>
      <c r="H32" s="374">
        <v>566733.33</v>
      </c>
      <c r="I32" s="374">
        <v>527622.33</v>
      </c>
      <c r="J32" s="375">
        <f t="shared" si="1"/>
        <v>582.1673340269908</v>
      </c>
      <c r="K32" s="376">
        <f>I32/H32*100</f>
        <v>93.09887068050153</v>
      </c>
    </row>
    <row r="33" spans="1:12" ht="21.75" customHeight="1" thickBot="1">
      <c r="A33" s="273" t="s">
        <v>136</v>
      </c>
      <c r="B33" s="377" t="s">
        <v>30</v>
      </c>
      <c r="C33" s="378" t="s">
        <v>118</v>
      </c>
      <c r="D33" s="379"/>
      <c r="E33" s="378"/>
      <c r="F33" s="380"/>
      <c r="G33" s="381">
        <f>G34+G35+G36+G37+G38</f>
        <v>425314715.8</v>
      </c>
      <c r="H33" s="381">
        <f>H34+H35+H36+H37+H38</f>
        <v>552339611.65</v>
      </c>
      <c r="I33" s="381">
        <f>I34+I35+I36+I37+I38</f>
        <v>403063647.96999997</v>
      </c>
      <c r="J33" s="382">
        <f t="shared" si="1"/>
        <v>94.76832872143945</v>
      </c>
      <c r="K33" s="383">
        <f t="shared" si="2"/>
        <v>72.97388046566694</v>
      </c>
      <c r="L33" s="18"/>
    </row>
    <row r="34" spans="1:11" ht="15.75" customHeight="1">
      <c r="A34" s="274" t="s">
        <v>137</v>
      </c>
      <c r="B34" s="403" t="s">
        <v>30</v>
      </c>
      <c r="C34" s="404" t="s">
        <v>118</v>
      </c>
      <c r="D34" s="405" t="s">
        <v>117</v>
      </c>
      <c r="E34" s="406"/>
      <c r="F34" s="407"/>
      <c r="G34" s="408">
        <v>74319976.84</v>
      </c>
      <c r="H34" s="408">
        <v>101177123.91</v>
      </c>
      <c r="I34" s="408">
        <v>79012966.82</v>
      </c>
      <c r="J34" s="409">
        <f t="shared" si="1"/>
        <v>106.31457406143076</v>
      </c>
      <c r="K34" s="410">
        <f t="shared" si="2"/>
        <v>78.09370712127016</v>
      </c>
    </row>
    <row r="35" spans="1:12" ht="20.25" customHeight="1">
      <c r="A35" s="267" t="s">
        <v>138</v>
      </c>
      <c r="B35" s="366" t="s">
        <v>30</v>
      </c>
      <c r="C35" s="360" t="s">
        <v>118</v>
      </c>
      <c r="D35" s="411" t="s">
        <v>124</v>
      </c>
      <c r="E35" s="195"/>
      <c r="F35" s="412"/>
      <c r="G35" s="362">
        <v>324289064.9</v>
      </c>
      <c r="H35" s="362">
        <v>415521894.2</v>
      </c>
      <c r="I35" s="362">
        <v>295250261.69</v>
      </c>
      <c r="J35" s="363">
        <f t="shared" si="1"/>
        <v>91.04539549646714</v>
      </c>
      <c r="K35" s="364">
        <f aca="true" t="shared" si="3" ref="K35:K40">I35/H35*100</f>
        <v>71.05528392395358</v>
      </c>
      <c r="L35" s="18"/>
    </row>
    <row r="36" spans="1:11" ht="20.25" customHeight="1">
      <c r="A36" s="267" t="s">
        <v>113</v>
      </c>
      <c r="B36" s="366" t="s">
        <v>30</v>
      </c>
      <c r="C36" s="360" t="s">
        <v>118</v>
      </c>
      <c r="D36" s="411" t="s">
        <v>126</v>
      </c>
      <c r="E36" s="195"/>
      <c r="F36" s="412"/>
      <c r="G36" s="362">
        <v>14426216.46</v>
      </c>
      <c r="H36" s="362">
        <v>19450445.12</v>
      </c>
      <c r="I36" s="362">
        <v>15241649.06</v>
      </c>
      <c r="J36" s="363">
        <f t="shared" si="1"/>
        <v>105.65243563522684</v>
      </c>
      <c r="K36" s="364">
        <f t="shared" si="3"/>
        <v>78.3614409128751</v>
      </c>
    </row>
    <row r="37" spans="1:11" ht="19.5" customHeight="1">
      <c r="A37" s="275" t="s">
        <v>165</v>
      </c>
      <c r="B37" s="366" t="s">
        <v>30</v>
      </c>
      <c r="C37" s="365" t="s">
        <v>118</v>
      </c>
      <c r="D37" s="367" t="s">
        <v>118</v>
      </c>
      <c r="E37" s="195"/>
      <c r="F37" s="368"/>
      <c r="G37" s="362">
        <v>971303.74</v>
      </c>
      <c r="H37" s="362">
        <v>2024930.04</v>
      </c>
      <c r="I37" s="362">
        <v>999898.46</v>
      </c>
      <c r="J37" s="363">
        <f t="shared" si="1"/>
        <v>102.94395242419225</v>
      </c>
      <c r="K37" s="364">
        <f t="shared" si="3"/>
        <v>49.37940769548759</v>
      </c>
    </row>
    <row r="38" spans="1:11" ht="18.75" customHeight="1" thickBot="1">
      <c r="A38" s="268" t="s">
        <v>139</v>
      </c>
      <c r="B38" s="369" t="s">
        <v>30</v>
      </c>
      <c r="C38" s="413" t="s">
        <v>118</v>
      </c>
      <c r="D38" s="371" t="s">
        <v>120</v>
      </c>
      <c r="E38" s="372"/>
      <c r="F38" s="373"/>
      <c r="G38" s="374">
        <v>11308153.86</v>
      </c>
      <c r="H38" s="374">
        <v>14165218.38</v>
      </c>
      <c r="I38" s="374">
        <v>12558871.94</v>
      </c>
      <c r="J38" s="375">
        <f t="shared" si="1"/>
        <v>111.06032068085072</v>
      </c>
      <c r="K38" s="376">
        <f t="shared" si="3"/>
        <v>88.65992463435639</v>
      </c>
    </row>
    <row r="39" spans="1:11" ht="27.75" customHeight="1" thickBot="1">
      <c r="A39" s="273" t="s">
        <v>163</v>
      </c>
      <c r="B39" s="377" t="s">
        <v>30</v>
      </c>
      <c r="C39" s="416" t="s">
        <v>119</v>
      </c>
      <c r="D39" s="379"/>
      <c r="E39" s="378"/>
      <c r="F39" s="380"/>
      <c r="G39" s="381">
        <f>G40</f>
        <v>26864098.99</v>
      </c>
      <c r="H39" s="381">
        <f>H40</f>
        <v>36575228.46</v>
      </c>
      <c r="I39" s="381">
        <f>I40</f>
        <v>27910209.06</v>
      </c>
      <c r="J39" s="382">
        <f t="shared" si="1"/>
        <v>103.89408209964313</v>
      </c>
      <c r="K39" s="383">
        <f t="shared" si="3"/>
        <v>76.30904914380403</v>
      </c>
    </row>
    <row r="40" spans="1:11" ht="22.5" customHeight="1" thickBot="1">
      <c r="A40" s="270" t="s">
        <v>140</v>
      </c>
      <c r="B40" s="384" t="s">
        <v>30</v>
      </c>
      <c r="C40" s="387" t="s">
        <v>119</v>
      </c>
      <c r="D40" s="386" t="s">
        <v>117</v>
      </c>
      <c r="E40" s="387"/>
      <c r="F40" s="388"/>
      <c r="G40" s="389">
        <v>26864098.99</v>
      </c>
      <c r="H40" s="389">
        <v>36575228.46</v>
      </c>
      <c r="I40" s="389">
        <v>27910209.06</v>
      </c>
      <c r="J40" s="390">
        <f t="shared" si="1"/>
        <v>103.89408209964313</v>
      </c>
      <c r="K40" s="391">
        <f t="shared" si="3"/>
        <v>76.30904914380403</v>
      </c>
    </row>
    <row r="41" spans="1:11" ht="22.5" customHeight="1" thickBot="1">
      <c r="A41" s="273" t="s">
        <v>128</v>
      </c>
      <c r="B41" s="377" t="s">
        <v>30</v>
      </c>
      <c r="C41" s="416" t="s">
        <v>122</v>
      </c>
      <c r="D41" s="379"/>
      <c r="E41" s="378"/>
      <c r="F41" s="380"/>
      <c r="G41" s="381">
        <f>G42+G43+G44+G45</f>
        <v>16291610.96</v>
      </c>
      <c r="H41" s="381">
        <f>H42+H43+H44+H45</f>
        <v>28779300</v>
      </c>
      <c r="I41" s="381">
        <f>I42+I43+I44+I45</f>
        <v>15020485.05</v>
      </c>
      <c r="J41" s="382">
        <f t="shared" si="1"/>
        <v>92.19766594524671</v>
      </c>
      <c r="K41" s="383">
        <f aca="true" t="shared" si="4" ref="K41:K50">I41/H41*100</f>
        <v>52.191974961170004</v>
      </c>
    </row>
    <row r="42" spans="1:11" ht="22.5" customHeight="1">
      <c r="A42" s="274" t="s">
        <v>132</v>
      </c>
      <c r="B42" s="403" t="s">
        <v>30</v>
      </c>
      <c r="C42" s="417" t="s">
        <v>122</v>
      </c>
      <c r="D42" s="405" t="s">
        <v>117</v>
      </c>
      <c r="E42" s="404"/>
      <c r="F42" s="418"/>
      <c r="G42" s="408">
        <v>4620766.01</v>
      </c>
      <c r="H42" s="408">
        <v>6400000</v>
      </c>
      <c r="I42" s="408">
        <v>4636618.94</v>
      </c>
      <c r="J42" s="409">
        <f t="shared" si="1"/>
        <v>100.34308012926196</v>
      </c>
      <c r="K42" s="410">
        <f t="shared" si="4"/>
        <v>72.4471709375</v>
      </c>
    </row>
    <row r="43" spans="1:11" ht="22.5" customHeight="1">
      <c r="A43" s="267" t="s">
        <v>129</v>
      </c>
      <c r="B43" s="366" t="s">
        <v>30</v>
      </c>
      <c r="C43" s="365" t="s">
        <v>122</v>
      </c>
      <c r="D43" s="367" t="s">
        <v>126</v>
      </c>
      <c r="E43" s="195"/>
      <c r="F43" s="368"/>
      <c r="G43" s="362">
        <v>2884801.09</v>
      </c>
      <c r="H43" s="362">
        <v>10670000</v>
      </c>
      <c r="I43" s="362">
        <v>4388913.03</v>
      </c>
      <c r="J43" s="363">
        <f t="shared" si="1"/>
        <v>152.13919064347</v>
      </c>
      <c r="K43" s="364">
        <f t="shared" si="4"/>
        <v>41.13320552952203</v>
      </c>
    </row>
    <row r="44" spans="1:11" ht="22.5" customHeight="1">
      <c r="A44" s="267" t="s">
        <v>157</v>
      </c>
      <c r="B44" s="366" t="s">
        <v>30</v>
      </c>
      <c r="C44" s="365" t="s">
        <v>122</v>
      </c>
      <c r="D44" s="367" t="s">
        <v>127</v>
      </c>
      <c r="E44" s="195"/>
      <c r="F44" s="368"/>
      <c r="G44" s="362">
        <v>7835136.86</v>
      </c>
      <c r="H44" s="362">
        <v>10431800</v>
      </c>
      <c r="I44" s="362">
        <v>5156347.99</v>
      </c>
      <c r="J44" s="363">
        <f t="shared" si="1"/>
        <v>65.8105669643657</v>
      </c>
      <c r="K44" s="364">
        <f t="shared" si="4"/>
        <v>49.42913006384325</v>
      </c>
    </row>
    <row r="45" spans="1:11" ht="22.5" customHeight="1" thickBot="1">
      <c r="A45" s="268" t="s">
        <v>101</v>
      </c>
      <c r="B45" s="369" t="s">
        <v>30</v>
      </c>
      <c r="C45" s="370" t="s">
        <v>122</v>
      </c>
      <c r="D45" s="371" t="s">
        <v>52</v>
      </c>
      <c r="E45" s="372"/>
      <c r="F45" s="373"/>
      <c r="G45" s="374">
        <v>950907</v>
      </c>
      <c r="H45" s="374">
        <v>1277500</v>
      </c>
      <c r="I45" s="374">
        <v>838605.09</v>
      </c>
      <c r="J45" s="375">
        <f t="shared" si="1"/>
        <v>88.19002173714149</v>
      </c>
      <c r="K45" s="376">
        <f t="shared" si="4"/>
        <v>65.64423405088063</v>
      </c>
    </row>
    <row r="46" spans="1:11" ht="16.5" customHeight="1" thickBot="1">
      <c r="A46" s="273" t="s">
        <v>158</v>
      </c>
      <c r="B46" s="377" t="s">
        <v>30</v>
      </c>
      <c r="C46" s="419" t="s">
        <v>145</v>
      </c>
      <c r="D46" s="420"/>
      <c r="E46" s="378"/>
      <c r="F46" s="421"/>
      <c r="G46" s="381">
        <f>G47+G49+G50+G48</f>
        <v>27339331.35</v>
      </c>
      <c r="H46" s="381">
        <f>H47+H49+H50+H48</f>
        <v>24594812.82</v>
      </c>
      <c r="I46" s="381">
        <f>I47+I49+I50+I48</f>
        <v>18705205.3</v>
      </c>
      <c r="J46" s="382">
        <f t="shared" si="1"/>
        <v>68.41866416019717</v>
      </c>
      <c r="K46" s="383">
        <f t="shared" si="4"/>
        <v>76.05345662476158</v>
      </c>
    </row>
    <row r="47" spans="1:11" ht="22.5" customHeight="1">
      <c r="A47" s="274" t="s">
        <v>267</v>
      </c>
      <c r="B47" s="403" t="s">
        <v>30</v>
      </c>
      <c r="C47" s="422" t="s">
        <v>145</v>
      </c>
      <c r="D47" s="423" t="s">
        <v>117</v>
      </c>
      <c r="E47" s="406"/>
      <c r="F47" s="424"/>
      <c r="G47" s="408">
        <v>15555546.79</v>
      </c>
      <c r="H47" s="408">
        <v>19973000</v>
      </c>
      <c r="I47" s="408">
        <v>17534772.68</v>
      </c>
      <c r="J47" s="409">
        <f t="shared" si="1"/>
        <v>112.72360217689268</v>
      </c>
      <c r="K47" s="410">
        <f>I47/H47*100</f>
        <v>87.79238311720823</v>
      </c>
    </row>
    <row r="48" spans="1:11" ht="15.75" customHeight="1">
      <c r="A48" s="267" t="s">
        <v>294</v>
      </c>
      <c r="B48" s="366" t="s">
        <v>30</v>
      </c>
      <c r="C48" s="360" t="s">
        <v>145</v>
      </c>
      <c r="D48" s="425" t="s">
        <v>124</v>
      </c>
      <c r="E48" s="426"/>
      <c r="F48" s="427"/>
      <c r="G48" s="362">
        <v>2042056.6</v>
      </c>
      <c r="H48" s="362">
        <v>0</v>
      </c>
      <c r="I48" s="362">
        <v>0</v>
      </c>
      <c r="J48" s="363">
        <f t="shared" si="1"/>
        <v>0</v>
      </c>
      <c r="K48" s="364" t="e">
        <f>I48/H48*100</f>
        <v>#DIV/0!</v>
      </c>
    </row>
    <row r="49" spans="1:11" ht="15" customHeight="1">
      <c r="A49" s="267" t="s">
        <v>276</v>
      </c>
      <c r="B49" s="366" t="s">
        <v>30</v>
      </c>
      <c r="C49" s="360" t="s">
        <v>145</v>
      </c>
      <c r="D49" s="425" t="s">
        <v>126</v>
      </c>
      <c r="E49" s="426"/>
      <c r="F49" s="427"/>
      <c r="G49" s="362">
        <v>9362040.49</v>
      </c>
      <c r="H49" s="362">
        <v>2235000</v>
      </c>
      <c r="I49" s="362">
        <v>683708</v>
      </c>
      <c r="J49" s="363">
        <f t="shared" si="1"/>
        <v>7.302980592001264</v>
      </c>
      <c r="K49" s="364">
        <f>I49/H49*100</f>
        <v>30.59096196868009</v>
      </c>
    </row>
    <row r="50" spans="1:11" ht="15.75" customHeight="1" thickBot="1">
      <c r="A50" s="268" t="s">
        <v>162</v>
      </c>
      <c r="B50" s="369" t="s">
        <v>30</v>
      </c>
      <c r="C50" s="413" t="s">
        <v>145</v>
      </c>
      <c r="D50" s="414" t="s">
        <v>123</v>
      </c>
      <c r="E50" s="372"/>
      <c r="F50" s="415"/>
      <c r="G50" s="374">
        <v>379687.47</v>
      </c>
      <c r="H50" s="374">
        <v>2386812.82</v>
      </c>
      <c r="I50" s="374">
        <v>486724.62</v>
      </c>
      <c r="J50" s="375">
        <f t="shared" si="1"/>
        <v>128.19085654841336</v>
      </c>
      <c r="K50" s="376">
        <f t="shared" si="4"/>
        <v>20.392240896376617</v>
      </c>
    </row>
    <row r="51" spans="1:11" ht="17.25" customHeight="1" thickBot="1">
      <c r="A51" s="273" t="s">
        <v>159</v>
      </c>
      <c r="B51" s="377" t="s">
        <v>30</v>
      </c>
      <c r="C51" s="419" t="s">
        <v>121</v>
      </c>
      <c r="D51" s="420"/>
      <c r="E51" s="378"/>
      <c r="F51" s="421"/>
      <c r="G51" s="381">
        <f>G52</f>
        <v>750000</v>
      </c>
      <c r="H51" s="381">
        <f>H52</f>
        <v>1050000</v>
      </c>
      <c r="I51" s="381">
        <f>I52</f>
        <v>1000000</v>
      </c>
      <c r="J51" s="382">
        <f t="shared" si="1"/>
        <v>133.33333333333331</v>
      </c>
      <c r="K51" s="383">
        <f>I51/H51*100</f>
        <v>95.23809523809523</v>
      </c>
    </row>
    <row r="52" spans="1:11" ht="15" customHeight="1">
      <c r="A52" s="505" t="s">
        <v>141</v>
      </c>
      <c r="B52" s="506" t="s">
        <v>30</v>
      </c>
      <c r="C52" s="525" t="s">
        <v>121</v>
      </c>
      <c r="D52" s="526" t="s">
        <v>124</v>
      </c>
      <c r="E52" s="507"/>
      <c r="F52" s="527"/>
      <c r="G52" s="508">
        <v>750000</v>
      </c>
      <c r="H52" s="508">
        <v>1050000</v>
      </c>
      <c r="I52" s="508">
        <v>1000000</v>
      </c>
      <c r="J52" s="509">
        <f t="shared" si="1"/>
        <v>133.33333333333331</v>
      </c>
      <c r="K52" s="510">
        <f>I52/H52*100</f>
        <v>95.23809523809523</v>
      </c>
    </row>
    <row r="53" spans="1:11" ht="28.5" customHeight="1" thickBot="1">
      <c r="A53" s="523" t="s">
        <v>156</v>
      </c>
      <c r="B53" s="394" t="s">
        <v>30</v>
      </c>
      <c r="C53" s="524" t="s">
        <v>152</v>
      </c>
      <c r="D53" s="396"/>
      <c r="E53" s="395"/>
      <c r="F53" s="397"/>
      <c r="G53" s="398">
        <f>G54</f>
        <v>2752646.95</v>
      </c>
      <c r="H53" s="398">
        <f>H54</f>
        <v>4998000</v>
      </c>
      <c r="I53" s="398">
        <f>I54</f>
        <v>2596586.73</v>
      </c>
      <c r="J53" s="399">
        <f t="shared" si="1"/>
        <v>94.33053991904046</v>
      </c>
      <c r="K53" s="400">
        <f>I53/H53*100</f>
        <v>51.9525156062425</v>
      </c>
    </row>
    <row r="54" spans="1:11" ht="16.5" customHeight="1" thickBot="1">
      <c r="A54" s="270" t="s">
        <v>332</v>
      </c>
      <c r="B54" s="384" t="s">
        <v>30</v>
      </c>
      <c r="C54" s="385" t="s">
        <v>152</v>
      </c>
      <c r="D54" s="386" t="s">
        <v>117</v>
      </c>
      <c r="E54" s="387"/>
      <c r="F54" s="388"/>
      <c r="G54" s="389">
        <v>2752646.95</v>
      </c>
      <c r="H54" s="389">
        <v>4998000</v>
      </c>
      <c r="I54" s="389">
        <v>2596586.73</v>
      </c>
      <c r="J54" s="390">
        <f t="shared" si="1"/>
        <v>94.33053991904046</v>
      </c>
      <c r="K54" s="391">
        <f>I54/H54*100</f>
        <v>51.9525156062425</v>
      </c>
    </row>
    <row r="55" spans="1:11" ht="13.5" thickBot="1">
      <c r="A55" s="276" t="s">
        <v>133</v>
      </c>
      <c r="B55" s="377" t="s">
        <v>30</v>
      </c>
      <c r="C55" s="419"/>
      <c r="D55" s="420"/>
      <c r="E55" s="419"/>
      <c r="F55" s="421"/>
      <c r="G55" s="381">
        <f>G11+G18+G20+G22+G28+G33+G39+G41+G46+G51+G53</f>
        <v>979951446.5000001</v>
      </c>
      <c r="H55" s="381">
        <f>H11+H18+H20+H22+H28+H33+H39+H41+H46+H51+H53</f>
        <v>1431947331.99</v>
      </c>
      <c r="I55" s="381">
        <f>I11+I18+I20+I22+I28+I33+I39+I41+I46+I51+I53</f>
        <v>955486792.8199998</v>
      </c>
      <c r="J55" s="382">
        <f t="shared" si="1"/>
        <v>97.50348307894453</v>
      </c>
      <c r="K55" s="383">
        <f>I55/H55*100</f>
        <v>66.72639219852763</v>
      </c>
    </row>
    <row r="57" spans="5:12" ht="12.75">
      <c r="E57" s="21"/>
      <c r="F57" s="21"/>
      <c r="G57" s="21"/>
      <c r="H57" s="21"/>
      <c r="I57" s="21"/>
      <c r="J57" s="21"/>
      <c r="K57" s="21"/>
      <c r="L57" s="21"/>
    </row>
    <row r="58" spans="5:12" ht="12.75">
      <c r="E58" s="21"/>
      <c r="F58" s="21"/>
      <c r="G58" s="21"/>
      <c r="H58" s="21"/>
      <c r="I58" s="21"/>
      <c r="J58" s="21"/>
      <c r="K58" s="21"/>
      <c r="L58" s="21"/>
    </row>
    <row r="59" spans="5:12" ht="12.75">
      <c r="E59" s="21"/>
      <c r="F59" s="21"/>
      <c r="G59" s="21"/>
      <c r="H59" s="21"/>
      <c r="I59" s="21"/>
      <c r="J59" s="21"/>
      <c r="K59" s="21"/>
      <c r="L59" s="21"/>
    </row>
    <row r="60" spans="5:12" ht="12.75">
      <c r="E60" s="21"/>
      <c r="F60" s="21"/>
      <c r="G60" s="21"/>
      <c r="H60" s="21"/>
      <c r="I60" s="21"/>
      <c r="J60" s="21"/>
      <c r="K60" s="21"/>
      <c r="L60" s="21"/>
    </row>
  </sheetData>
  <sheetProtection/>
  <mergeCells count="13">
    <mergeCell ref="H5:H10"/>
    <mergeCell ref="G5:G10"/>
    <mergeCell ref="J5:J10"/>
    <mergeCell ref="H2:K2"/>
    <mergeCell ref="I5:I10"/>
    <mergeCell ref="K5:K10"/>
    <mergeCell ref="A4:K4"/>
    <mergeCell ref="A5:A10"/>
    <mergeCell ref="B5:B10"/>
    <mergeCell ref="C5:C10"/>
    <mergeCell ref="D5:D10"/>
    <mergeCell ref="E5:E10"/>
    <mergeCell ref="F5:F10"/>
  </mergeCells>
  <printOptions/>
  <pageMargins left="0.7874015748031497" right="0.2362204724409449" top="0.1968503937007874" bottom="0.1968503937007874" header="0" footer="0"/>
  <pageSetup fitToHeight="0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5.00390625" style="0" customWidth="1"/>
    <col min="2" max="2" width="34.25390625" style="0" customWidth="1"/>
    <col min="3" max="3" width="15.625" style="0" customWidth="1"/>
    <col min="4" max="4" width="15.75390625" style="0" customWidth="1"/>
    <col min="5" max="5" width="8.75390625" style="0" customWidth="1"/>
  </cols>
  <sheetData>
    <row r="1" spans="1:12" ht="45.75" customHeight="1">
      <c r="A1" s="19"/>
      <c r="B1" s="211"/>
      <c r="C1" s="504" t="s">
        <v>909</v>
      </c>
      <c r="D1" s="504"/>
      <c r="E1" s="504"/>
      <c r="F1" s="29"/>
      <c r="G1" s="29"/>
      <c r="H1" s="29"/>
      <c r="I1" s="29"/>
      <c r="J1" s="29"/>
      <c r="K1" s="29"/>
      <c r="L1" s="29"/>
    </row>
    <row r="2" spans="1:5" ht="12.75">
      <c r="A2" s="19"/>
      <c r="B2" s="19"/>
      <c r="C2" s="31"/>
      <c r="D2" s="19"/>
      <c r="E2" s="19"/>
    </row>
    <row r="3" spans="1:5" ht="15.75">
      <c r="A3" s="502" t="s">
        <v>826</v>
      </c>
      <c r="B3" s="502"/>
      <c r="C3" s="503"/>
      <c r="D3" s="502"/>
      <c r="E3" s="502"/>
    </row>
    <row r="4" spans="1:5" ht="16.5" thickBot="1">
      <c r="A4" s="20"/>
      <c r="B4" s="20"/>
      <c r="C4" s="30"/>
      <c r="D4" s="20"/>
      <c r="E4" s="19"/>
    </row>
    <row r="5" spans="1:5" ht="50.25" customHeight="1">
      <c r="A5" s="34" t="s">
        <v>79</v>
      </c>
      <c r="B5" s="35" t="s">
        <v>247</v>
      </c>
      <c r="C5" s="35" t="s">
        <v>669</v>
      </c>
      <c r="D5" s="35" t="s">
        <v>78</v>
      </c>
      <c r="E5" s="36" t="s">
        <v>248</v>
      </c>
    </row>
    <row r="6" spans="1:5" ht="12.75">
      <c r="A6" s="37">
        <v>1</v>
      </c>
      <c r="B6" s="27">
        <v>2</v>
      </c>
      <c r="C6" s="27">
        <v>3</v>
      </c>
      <c r="D6" s="27">
        <v>4</v>
      </c>
      <c r="E6" s="38">
        <v>5</v>
      </c>
    </row>
    <row r="7" spans="1:5" ht="44.25" customHeight="1">
      <c r="A7" s="254" t="s">
        <v>646</v>
      </c>
      <c r="B7" s="212" t="s">
        <v>647</v>
      </c>
      <c r="C7" s="259">
        <f>C8+C13+C18</f>
        <v>25987000</v>
      </c>
      <c r="D7" s="259">
        <f>D8+D13+D18</f>
        <v>7501880.470000029</v>
      </c>
      <c r="E7" s="264">
        <f>D7/C7*100</f>
        <v>28.867820333243653</v>
      </c>
    </row>
    <row r="8" spans="1:5" ht="25.5" customHeight="1">
      <c r="A8" s="254" t="s">
        <v>114</v>
      </c>
      <c r="B8" s="212" t="s">
        <v>293</v>
      </c>
      <c r="C8" s="259">
        <f>C9+C11</f>
        <v>24531000</v>
      </c>
      <c r="D8" s="259">
        <f>D9+D11</f>
        <v>11400000</v>
      </c>
      <c r="E8" s="264">
        <f aca="true" t="shared" si="0" ref="E8:E30">D8/C8*100</f>
        <v>46.47181117769353</v>
      </c>
    </row>
    <row r="9" spans="1:5" ht="44.25" customHeight="1">
      <c r="A9" s="254" t="s">
        <v>648</v>
      </c>
      <c r="B9" s="212" t="s">
        <v>292</v>
      </c>
      <c r="C9" s="259">
        <f>C10</f>
        <v>69531000</v>
      </c>
      <c r="D9" s="259">
        <f>D10</f>
        <v>46400000</v>
      </c>
      <c r="E9" s="264">
        <f t="shared" si="0"/>
        <v>66.73282420790726</v>
      </c>
    </row>
    <row r="10" spans="1:5" ht="42" customHeight="1">
      <c r="A10" s="255" t="s">
        <v>649</v>
      </c>
      <c r="B10" s="213" t="s">
        <v>650</v>
      </c>
      <c r="C10" s="260">
        <v>69531000</v>
      </c>
      <c r="D10" s="260">
        <v>46400000</v>
      </c>
      <c r="E10" s="265">
        <f>D10/C10*100</f>
        <v>66.73282420790726</v>
      </c>
    </row>
    <row r="11" spans="1:5" ht="42" customHeight="1">
      <c r="A11" s="254" t="s">
        <v>273</v>
      </c>
      <c r="B11" s="213" t="s">
        <v>291</v>
      </c>
      <c r="C11" s="259">
        <f>C12</f>
        <v>-45000000</v>
      </c>
      <c r="D11" s="259">
        <f>D12</f>
        <v>-35000000</v>
      </c>
      <c r="E11" s="264">
        <f>D11/C11*100</f>
        <v>77.77777777777779</v>
      </c>
    </row>
    <row r="12" spans="1:5" ht="42" customHeight="1">
      <c r="A12" s="256" t="s">
        <v>651</v>
      </c>
      <c r="B12" s="213" t="s">
        <v>652</v>
      </c>
      <c r="C12" s="260">
        <v>-45000000</v>
      </c>
      <c r="D12" s="260">
        <v>-35000000</v>
      </c>
      <c r="E12" s="265">
        <f>D12/C12*100</f>
        <v>77.77777777777779</v>
      </c>
    </row>
    <row r="13" spans="1:5" ht="57" customHeight="1">
      <c r="A13" s="254" t="s">
        <v>653</v>
      </c>
      <c r="B13" s="213" t="s">
        <v>654</v>
      </c>
      <c r="C13" s="259">
        <f>C14+C16</f>
        <v>-6970000</v>
      </c>
      <c r="D13" s="259">
        <f>D14+D16</f>
        <v>-5229000</v>
      </c>
      <c r="E13" s="265">
        <f t="shared" si="0"/>
        <v>75.02152080344334</v>
      </c>
    </row>
    <row r="14" spans="1:5" ht="54.75" customHeight="1">
      <c r="A14" s="254" t="s">
        <v>655</v>
      </c>
      <c r="B14" s="213" t="s">
        <v>656</v>
      </c>
      <c r="C14" s="259">
        <f>C15</f>
        <v>0</v>
      </c>
      <c r="D14" s="259">
        <f>D15</f>
        <v>0</v>
      </c>
      <c r="E14" s="265" t="e">
        <f t="shared" si="0"/>
        <v>#DIV/0!</v>
      </c>
    </row>
    <row r="15" spans="1:5" ht="57.75" customHeight="1">
      <c r="A15" s="255" t="s">
        <v>657</v>
      </c>
      <c r="B15" s="213" t="s">
        <v>658</v>
      </c>
      <c r="C15" s="260">
        <v>0</v>
      </c>
      <c r="D15" s="260">
        <v>0</v>
      </c>
      <c r="E15" s="265" t="e">
        <f>D15/C15*100</f>
        <v>#DIV/0!</v>
      </c>
    </row>
    <row r="16" spans="1:5" ht="75" customHeight="1">
      <c r="A16" s="254" t="s">
        <v>659</v>
      </c>
      <c r="B16" s="213" t="s">
        <v>670</v>
      </c>
      <c r="C16" s="259">
        <f>C17</f>
        <v>-6970000</v>
      </c>
      <c r="D16" s="259">
        <f>D17</f>
        <v>-5229000</v>
      </c>
      <c r="E16" s="265">
        <f t="shared" si="0"/>
        <v>75.02152080344334</v>
      </c>
    </row>
    <row r="17" spans="1:5" ht="57.75" customHeight="1">
      <c r="A17" s="255" t="s">
        <v>660</v>
      </c>
      <c r="B17" s="213" t="s">
        <v>661</v>
      </c>
      <c r="C17" s="260">
        <v>-6970000</v>
      </c>
      <c r="D17" s="260">
        <v>-5229000</v>
      </c>
      <c r="E17" s="265">
        <f t="shared" si="0"/>
        <v>75.02152080344334</v>
      </c>
    </row>
    <row r="18" spans="1:5" ht="30.75" customHeight="1">
      <c r="A18" s="254" t="s">
        <v>249</v>
      </c>
      <c r="B18" s="212" t="s">
        <v>250</v>
      </c>
      <c r="C18" s="259">
        <v>8426000</v>
      </c>
      <c r="D18" s="259">
        <f>D19+D23</f>
        <v>1330880.4700000286</v>
      </c>
      <c r="E18" s="265">
        <f t="shared" si="0"/>
        <v>15.794926062188805</v>
      </c>
    </row>
    <row r="19" spans="1:5" ht="39.75" customHeight="1">
      <c r="A19" s="254" t="s">
        <v>251</v>
      </c>
      <c r="B19" s="212" t="s">
        <v>290</v>
      </c>
      <c r="C19" s="261">
        <v>0</v>
      </c>
      <c r="D19" s="261">
        <f>D20</f>
        <v>-1009141865.03</v>
      </c>
      <c r="E19" s="264" t="e">
        <f t="shared" si="0"/>
        <v>#DIV/0!</v>
      </c>
    </row>
    <row r="20" spans="1:5" ht="27.75" customHeight="1">
      <c r="A20" s="255" t="s">
        <v>80</v>
      </c>
      <c r="B20" s="213" t="s">
        <v>289</v>
      </c>
      <c r="C20" s="262">
        <f>C21</f>
        <v>0</v>
      </c>
      <c r="D20" s="262">
        <f>D21</f>
        <v>-1009141865.03</v>
      </c>
      <c r="E20" s="264" t="e">
        <f t="shared" si="0"/>
        <v>#DIV/0!</v>
      </c>
    </row>
    <row r="21" spans="1:5" ht="26.25" customHeight="1">
      <c r="A21" s="255" t="s">
        <v>252</v>
      </c>
      <c r="B21" s="213" t="s">
        <v>288</v>
      </c>
      <c r="C21" s="262">
        <f>C22</f>
        <v>0</v>
      </c>
      <c r="D21" s="262">
        <f>D22</f>
        <v>-1009141865.03</v>
      </c>
      <c r="E21" s="265" t="e">
        <f t="shared" si="0"/>
        <v>#DIV/0!</v>
      </c>
    </row>
    <row r="22" spans="1:5" ht="27" customHeight="1">
      <c r="A22" s="255" t="s">
        <v>662</v>
      </c>
      <c r="B22" s="213" t="s">
        <v>663</v>
      </c>
      <c r="C22" s="262">
        <f>-C31</f>
        <v>0</v>
      </c>
      <c r="D22" s="262">
        <v>-1009141865.03</v>
      </c>
      <c r="E22" s="265" t="e">
        <f t="shared" si="0"/>
        <v>#DIV/0!</v>
      </c>
    </row>
    <row r="23" spans="1:5" ht="29.25" customHeight="1">
      <c r="A23" s="254" t="s">
        <v>81</v>
      </c>
      <c r="B23" s="212" t="s">
        <v>287</v>
      </c>
      <c r="C23" s="261">
        <f aca="true" t="shared" si="1" ref="C23:D25">C24</f>
        <v>0</v>
      </c>
      <c r="D23" s="261">
        <f t="shared" si="1"/>
        <v>1010472745.5</v>
      </c>
      <c r="E23" s="265" t="e">
        <f t="shared" si="0"/>
        <v>#DIV/0!</v>
      </c>
    </row>
    <row r="24" spans="1:5" ht="28.5" customHeight="1">
      <c r="A24" s="255" t="s">
        <v>253</v>
      </c>
      <c r="B24" s="213" t="s">
        <v>286</v>
      </c>
      <c r="C24" s="262">
        <f t="shared" si="1"/>
        <v>0</v>
      </c>
      <c r="D24" s="262">
        <f t="shared" si="1"/>
        <v>1010472745.5</v>
      </c>
      <c r="E24" s="264" t="e">
        <f t="shared" si="0"/>
        <v>#DIV/0!</v>
      </c>
    </row>
    <row r="25" spans="1:5" ht="27" customHeight="1">
      <c r="A25" s="255" t="s">
        <v>254</v>
      </c>
      <c r="B25" s="213" t="s">
        <v>285</v>
      </c>
      <c r="C25" s="262">
        <f t="shared" si="1"/>
        <v>0</v>
      </c>
      <c r="D25" s="262">
        <f t="shared" si="1"/>
        <v>1010472745.5</v>
      </c>
      <c r="E25" s="265" t="e">
        <f t="shared" si="0"/>
        <v>#DIV/0!</v>
      </c>
    </row>
    <row r="26" spans="1:5" ht="27.75" customHeight="1" thickBot="1">
      <c r="A26" s="257" t="s">
        <v>664</v>
      </c>
      <c r="B26" s="258" t="s">
        <v>665</v>
      </c>
      <c r="C26" s="263">
        <f>-C32</f>
        <v>0</v>
      </c>
      <c r="D26" s="263">
        <v>1010472745.5</v>
      </c>
      <c r="E26" s="266" t="e">
        <f t="shared" si="0"/>
        <v>#DIV/0!</v>
      </c>
    </row>
    <row r="27" spans="1:5" ht="0.75" customHeight="1">
      <c r="A27" s="26" t="s">
        <v>255</v>
      </c>
      <c r="B27" s="23" t="s">
        <v>256</v>
      </c>
      <c r="C27" s="28">
        <f aca="true" t="shared" si="2" ref="C27:D29">C28</f>
        <v>0</v>
      </c>
      <c r="D27" s="28">
        <f t="shared" si="2"/>
        <v>0</v>
      </c>
      <c r="E27" s="25" t="e">
        <f t="shared" si="0"/>
        <v>#DIV/0!</v>
      </c>
    </row>
    <row r="28" spans="1:5" ht="42" customHeight="1" hidden="1">
      <c r="A28" s="26" t="s">
        <v>82</v>
      </c>
      <c r="B28" s="23" t="s">
        <v>257</v>
      </c>
      <c r="C28" s="28">
        <f t="shared" si="2"/>
        <v>0</v>
      </c>
      <c r="D28" s="28">
        <f t="shared" si="2"/>
        <v>0</v>
      </c>
      <c r="E28" s="25" t="e">
        <f t="shared" si="0"/>
        <v>#DIV/0!</v>
      </c>
    </row>
    <row r="29" spans="1:5" ht="30" customHeight="1" hidden="1">
      <c r="A29" s="22" t="s">
        <v>258</v>
      </c>
      <c r="B29" s="23" t="s">
        <v>259</v>
      </c>
      <c r="C29" s="24">
        <f t="shared" si="2"/>
        <v>0</v>
      </c>
      <c r="D29" s="24">
        <f t="shared" si="2"/>
        <v>0</v>
      </c>
      <c r="E29" s="25" t="e">
        <f t="shared" si="0"/>
        <v>#DIV/0!</v>
      </c>
    </row>
    <row r="30" spans="1:5" ht="63" customHeight="1" hidden="1">
      <c r="A30" s="22" t="s">
        <v>85</v>
      </c>
      <c r="B30" s="23" t="s">
        <v>260</v>
      </c>
      <c r="C30" s="24">
        <v>0</v>
      </c>
      <c r="D30" s="24">
        <v>0</v>
      </c>
      <c r="E30" s="25" t="e">
        <f t="shared" si="0"/>
        <v>#DIV/0!</v>
      </c>
    </row>
  </sheetData>
  <sheetProtection/>
  <mergeCells count="2">
    <mergeCell ref="A3:E3"/>
    <mergeCell ref="C1:E1"/>
  </mergeCells>
  <printOptions/>
  <pageMargins left="0.7874015748031497" right="0.2362204724409449" top="0.15748031496062992" bottom="0.1574803149606299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</cp:lastModifiedBy>
  <cp:lastPrinted>2023-11-20T13:42:40Z</cp:lastPrinted>
  <dcterms:created xsi:type="dcterms:W3CDTF">2004-09-08T10:28:32Z</dcterms:created>
  <dcterms:modified xsi:type="dcterms:W3CDTF">2023-11-20T13:52:04Z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